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Ex1.xml" ContentType="application/vnd.ms-office.chartex+xml"/>
  <Override PartName="/xl/charts/style2.xml" ContentType="application/vnd.ms-office.chartstyle+xml"/>
  <Override PartName="/xl/charts/colors2.xml" ContentType="application/vnd.ms-office.chartcolorstyle+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docs.live.net/2d4ec21031c7f856/Escritorio/"/>
    </mc:Choice>
  </mc:AlternateContent>
  <xr:revisionPtr revIDLastSave="0" documentId="8_{D544DBDF-8974-456A-B52B-0B5BC101690E}" xr6:coauthVersionLast="46" xr6:coauthVersionMax="46" xr10:uidLastSave="{00000000-0000-0000-0000-000000000000}"/>
  <bookViews>
    <workbookView xWindow="-108" yWindow="-108" windowWidth="23256" windowHeight="12576" xr2:uid="{00000000-000D-0000-FFFF-FFFF00000000}"/>
  </bookViews>
  <sheets>
    <sheet name="INDICE" sheetId="15" r:id="rId1"/>
    <sheet name="TOTAL COSTEO" sheetId="1" r:id="rId2"/>
    <sheet name="1. Participación Territorial" sheetId="2" r:id="rId3"/>
    <sheet name="1. (Insumos)" sheetId="9" r:id="rId4"/>
    <sheet name="2. Plataforma Web" sheetId="3" r:id="rId5"/>
    <sheet name="2. (Insumos)" sheetId="10" r:id="rId6"/>
    <sheet name="3. App Participación" sheetId="4" r:id="rId7"/>
    <sheet name="3. (Insumos)" sheetId="11" r:id="rId8"/>
    <sheet name="4. Sistematización y Análisis" sheetId="5" r:id="rId9"/>
    <sheet name="4. (Insumos)" sheetId="12" r:id="rId10"/>
    <sheet name="5. Campaña Comunicacional" sheetId="6" r:id="rId11"/>
    <sheet name="5. (Insumos)" sheetId="13" r:id="rId12"/>
    <sheet name="6. Sesiones CC regiones" sheetId="7" r:id="rId13"/>
    <sheet name="6. (Insumos)" sheetId="14" r:id="rId14"/>
  </sheets>
  <definedNames>
    <definedName name="_xlchart.v1.0" hidden="1">'TOTAL COSTEO'!$B$34:$B$40</definedName>
    <definedName name="_xlchart.v1.1" hidden="1">'TOTAL COSTEO'!$C$34:$C$40</definedName>
    <definedName name="ALT">'1. Participación Territorial'!$A$90:$B$95</definedName>
    <definedName name="PRESENCIA">'1. Participación Territorial'!$A$98:$B$100</definedName>
    <definedName name="TERRITORIAL">'1. Participación Territorial'!$A$90:$B$95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 l="1"/>
  <c r="D87" i="2"/>
  <c r="E87" i="2"/>
  <c r="C87" i="2"/>
  <c r="F41" i="1"/>
  <c r="D41" i="1"/>
  <c r="B19" i="5"/>
  <c r="D19" i="5"/>
  <c r="C19" i="5"/>
  <c r="E79" i="2"/>
  <c r="D79" i="2"/>
  <c r="C79" i="2"/>
  <c r="E39" i="2"/>
  <c r="E38" i="2"/>
  <c r="D39" i="2"/>
  <c r="D38" i="2"/>
  <c r="C38" i="2"/>
  <c r="C39" i="2"/>
  <c r="B177" i="9"/>
  <c r="D78" i="2" l="1"/>
  <c r="D77" i="2" s="1"/>
  <c r="B178" i="9"/>
  <c r="B24" i="6"/>
  <c r="C24" i="6"/>
  <c r="D24" i="6"/>
  <c r="B25" i="6" l="1"/>
  <c r="B21" i="6" s="1"/>
  <c r="D25" i="6"/>
  <c r="D21" i="6" s="1"/>
  <c r="C25" i="6"/>
  <c r="C21" i="6" s="1"/>
  <c r="D18" i="7"/>
  <c r="D16" i="7"/>
  <c r="D17" i="7"/>
  <c r="B18" i="7" l="1"/>
  <c r="C11" i="1"/>
  <c r="F11" i="1" s="1"/>
  <c r="C9" i="1"/>
  <c r="F9" i="1" s="1"/>
  <c r="C14" i="4"/>
  <c r="B17" i="1"/>
  <c r="B15" i="1"/>
  <c r="B13" i="1"/>
  <c r="B11" i="1"/>
  <c r="B9" i="1"/>
  <c r="B6" i="1"/>
  <c r="C10" i="4"/>
  <c r="C11" i="4"/>
  <c r="C7" i="4"/>
  <c r="C8" i="4"/>
  <c r="C9" i="4"/>
  <c r="C24" i="11"/>
  <c r="E19" i="3"/>
  <c r="D19" i="3"/>
  <c r="C19" i="3"/>
  <c r="C14" i="3" s="1"/>
  <c r="C22" i="3" s="1"/>
  <c r="B22" i="6"/>
  <c r="C22" i="6"/>
  <c r="D22" i="6"/>
  <c r="D23" i="6"/>
  <c r="B15" i="7"/>
  <c r="C19" i="7"/>
  <c r="D19" i="7"/>
  <c r="C20" i="7"/>
  <c r="D20" i="7"/>
  <c r="B20" i="7"/>
  <c r="B19" i="7"/>
  <c r="C17" i="7"/>
  <c r="B17" i="7"/>
  <c r="C18" i="7"/>
  <c r="B150" i="9"/>
  <c r="C16" i="7"/>
  <c r="B16" i="7"/>
  <c r="D15" i="7"/>
  <c r="C15" i="7"/>
  <c r="D17" i="3"/>
  <c r="E18" i="3"/>
  <c r="E14" i="3" s="1"/>
  <c r="C24" i="3" s="1"/>
  <c r="C18" i="3"/>
  <c r="E74" i="2"/>
  <c r="B21" i="5"/>
  <c r="B143" i="9"/>
  <c r="C20" i="5" l="1"/>
  <c r="D20" i="5"/>
  <c r="D21" i="5"/>
  <c r="C37" i="1"/>
  <c r="C36" i="1"/>
  <c r="B30" i="6"/>
  <c r="C15" i="1" s="1"/>
  <c r="C39" i="1" s="1"/>
  <c r="C23" i="6"/>
  <c r="B23" i="6" s="1"/>
  <c r="B28" i="6" s="1"/>
  <c r="D11" i="1"/>
  <c r="C21" i="5"/>
  <c r="C18" i="5" s="1"/>
  <c r="B25" i="5" s="1"/>
  <c r="C74" i="2"/>
  <c r="D74" i="2"/>
  <c r="B20" i="5"/>
  <c r="B18" i="5" s="1"/>
  <c r="B24" i="5" s="1"/>
  <c r="D9" i="1"/>
  <c r="D14" i="7"/>
  <c r="C14" i="7"/>
  <c r="B14" i="7"/>
  <c r="D18" i="3"/>
  <c r="D14" i="3" s="1"/>
  <c r="C23" i="3" s="1"/>
  <c r="B139" i="9"/>
  <c r="B138" i="9"/>
  <c r="B125" i="9"/>
  <c r="B124" i="9"/>
  <c r="B123" i="9"/>
  <c r="B122" i="9"/>
  <c r="B121" i="9"/>
  <c r="B120" i="9"/>
  <c r="B119" i="9"/>
  <c r="B129" i="9"/>
  <c r="B104" i="9"/>
  <c r="C104" i="9" s="1"/>
  <c r="C103" i="9"/>
  <c r="C102" i="9"/>
  <c r="C101" i="9"/>
  <c r="C100" i="9"/>
  <c r="C99" i="9"/>
  <c r="C98" i="9"/>
  <c r="C94" i="9"/>
  <c r="C93" i="9"/>
  <c r="C92" i="9"/>
  <c r="C91" i="9"/>
  <c r="C90" i="9"/>
  <c r="C89" i="9"/>
  <c r="C88" i="9"/>
  <c r="D103" i="9"/>
  <c r="D102" i="9"/>
  <c r="D101" i="9"/>
  <c r="D100" i="9"/>
  <c r="D99" i="9"/>
  <c r="D98" i="9"/>
  <c r="B110" i="9"/>
  <c r="B111" i="9"/>
  <c r="B112" i="9"/>
  <c r="B113" i="9"/>
  <c r="B114" i="9"/>
  <c r="B115" i="9"/>
  <c r="B109" i="9"/>
  <c r="D94" i="9"/>
  <c r="D93" i="9"/>
  <c r="D92" i="9"/>
  <c r="D91" i="9"/>
  <c r="D90" i="9"/>
  <c r="D89" i="9"/>
  <c r="D88" i="9"/>
  <c r="B60" i="9"/>
  <c r="B59" i="9"/>
  <c r="B3" i="1"/>
  <c r="D18" i="5" l="1"/>
  <c r="B26" i="5" s="1"/>
  <c r="C13" i="1" s="1"/>
  <c r="D13" i="1" s="1"/>
  <c r="B25" i="7"/>
  <c r="B26" i="7"/>
  <c r="B23" i="7"/>
  <c r="B24" i="7"/>
  <c r="F15" i="1"/>
  <c r="D15" i="1"/>
  <c r="B27" i="7"/>
  <c r="C17" i="1" s="1"/>
  <c r="C40" i="1" s="1"/>
  <c r="B28" i="7"/>
  <c r="B29" i="6"/>
  <c r="E71" i="2"/>
  <c r="D71" i="2"/>
  <c r="C71" i="2"/>
  <c r="D104" i="9"/>
  <c r="B51" i="9"/>
  <c r="B52" i="9"/>
  <c r="D51" i="9"/>
  <c r="E32" i="2" s="1"/>
  <c r="D50" i="9"/>
  <c r="B50" i="9"/>
  <c r="C38" i="1" l="1"/>
  <c r="F13" i="1"/>
  <c r="F17" i="1"/>
  <c r="D17" i="1"/>
  <c r="D61" i="2"/>
  <c r="D67" i="2"/>
  <c r="C61" i="2"/>
  <c r="E68" i="2"/>
  <c r="D68" i="2"/>
  <c r="C67" i="2"/>
  <c r="C68" i="2"/>
  <c r="E67" i="2"/>
  <c r="E61" i="2"/>
  <c r="D62" i="2"/>
  <c r="C28" i="2"/>
  <c r="C72" i="2" s="1"/>
  <c r="D28" i="2"/>
  <c r="D72" i="2" s="1"/>
  <c r="C36" i="2"/>
  <c r="C32" i="2"/>
  <c r="C63" i="2" s="1"/>
  <c r="E28" i="2"/>
  <c r="E72" i="2" s="1"/>
  <c r="E63" i="2"/>
  <c r="E36" i="2"/>
  <c r="E66" i="2" s="1"/>
  <c r="D32" i="2"/>
  <c r="D63" i="2" s="1"/>
  <c r="D36" i="2"/>
  <c r="D66" i="2" s="1"/>
  <c r="D40" i="2"/>
  <c r="C48" i="2" l="1"/>
  <c r="D50" i="2"/>
  <c r="D70" i="2"/>
  <c r="B99" i="2" s="1"/>
  <c r="C62" i="2"/>
  <c r="C60" i="2" s="1"/>
  <c r="C70" i="2"/>
  <c r="B98" i="2" s="1"/>
  <c r="C8" i="1" s="1"/>
  <c r="C35" i="1" s="1"/>
  <c r="E50" i="2"/>
  <c r="E70" i="2"/>
  <c r="B100" i="2" s="1"/>
  <c r="C66" i="2"/>
  <c r="C65" i="2" s="1"/>
  <c r="D59" i="2"/>
  <c r="D60" i="2"/>
  <c r="E48" i="2"/>
  <c r="E62" i="2"/>
  <c r="E60" i="2" s="1"/>
  <c r="E40" i="2"/>
  <c r="E78" i="2" s="1"/>
  <c r="E77" i="2" s="1"/>
  <c r="D65" i="2"/>
  <c r="E65" i="2"/>
  <c r="D48" i="2"/>
  <c r="C50" i="2"/>
  <c r="C40" i="2"/>
  <c r="C78" i="2" s="1"/>
  <c r="C77" i="2" s="1"/>
  <c r="D81" i="2" l="1"/>
  <c r="D85" i="2" s="1"/>
  <c r="E82" i="2"/>
  <c r="C82" i="2"/>
  <c r="B91" i="2" s="1"/>
  <c r="D82" i="2"/>
  <c r="D83" i="2" s="1"/>
  <c r="C59" i="2"/>
  <c r="B95" i="2"/>
  <c r="D8" i="1"/>
  <c r="F8" i="1"/>
  <c r="E59" i="2"/>
  <c r="C86" i="2" l="1"/>
  <c r="C83" i="2"/>
  <c r="E86" i="2"/>
  <c r="E83" i="2"/>
  <c r="B92" i="2"/>
  <c r="B93" i="2"/>
  <c r="D86" i="2"/>
  <c r="C81" i="2"/>
  <c r="C34" i="1"/>
  <c r="E81" i="2"/>
  <c r="B94" i="2" l="1"/>
  <c r="E85" i="2"/>
  <c r="B90" i="2"/>
  <c r="C85" i="2"/>
  <c r="C19" i="1"/>
  <c r="E6" i="1" s="1"/>
  <c r="C26" i="1" s="1"/>
  <c r="F6" i="1"/>
  <c r="D6" i="1"/>
  <c r="F19" i="1" l="1"/>
  <c r="E8" i="1"/>
  <c r="C27" i="1" s="1"/>
  <c r="E19" i="1"/>
  <c r="E13" i="1"/>
  <c r="C30" i="1" s="1"/>
  <c r="E17" i="1"/>
  <c r="C32" i="1" s="1"/>
  <c r="E11" i="1"/>
  <c r="C29" i="1" s="1"/>
  <c r="E15" i="1"/>
  <c r="C31" i="1" s="1"/>
  <c r="E9" i="1"/>
  <c r="C28" i="1" s="1"/>
  <c r="D19" i="1"/>
</calcChain>
</file>

<file path=xl/sharedStrings.xml><?xml version="1.0" encoding="utf-8"?>
<sst xmlns="http://schemas.openxmlformats.org/spreadsheetml/2006/main" count="1039" uniqueCount="648">
  <si>
    <t>Resumen Alternativas de Participación Ciudadana Convención Constituyente Chile</t>
  </si>
  <si>
    <t>Propuestas PNUD</t>
  </si>
  <si>
    <t>Fecha</t>
  </si>
  <si>
    <t>Dimensión</t>
  </si>
  <si>
    <t>TOTAL COSTEO MEDIDAS</t>
  </si>
  <si>
    <t>Notas</t>
  </si>
  <si>
    <t>1/ Tipo de cambio: $700 por dólar (última estimación vigente Ministerio de Hacienda-Dirección de Presupuestos).</t>
  </si>
  <si>
    <t>1. Participación Territorial</t>
  </si>
  <si>
    <t>Alternativas paquetizadas de costeo</t>
  </si>
  <si>
    <t>Costo medidas seleccionadas (millones de dólares) 1</t>
  </si>
  <si>
    <t>Insumos</t>
  </si>
  <si>
    <t>Comuna urbana</t>
  </si>
  <si>
    <t>Fácil Acceso</t>
  </si>
  <si>
    <t>Zona Central</t>
  </si>
  <si>
    <t>Contiene costos individuales que sirven para parametrizar grupos de costos que conforman alternativas dentro de cada dimensión</t>
  </si>
  <si>
    <t>Comuna rural</t>
  </si>
  <si>
    <t>Zona regiones</t>
  </si>
  <si>
    <t>Difícil Acceso</t>
  </si>
  <si>
    <t>Zona extrema</t>
  </si>
  <si>
    <t>Comuna</t>
  </si>
  <si>
    <t>Zona</t>
  </si>
  <si>
    <t>Accesibilidad</t>
  </si>
  <si>
    <t>Definiciones:</t>
  </si>
  <si>
    <t>Zona/Tipo</t>
  </si>
  <si>
    <t>Urbano</t>
  </si>
  <si>
    <t>Rural</t>
  </si>
  <si>
    <t>Central</t>
  </si>
  <si>
    <t>Regiones</t>
  </si>
  <si>
    <t>Extrema</t>
  </si>
  <si>
    <t>Criterio accesibilidad territorial</t>
  </si>
  <si>
    <t>Accesibilidad:</t>
  </si>
  <si>
    <t>Matriz definición</t>
  </si>
  <si>
    <t>Fácil (1)</t>
  </si>
  <si>
    <t>Fácil (2)</t>
  </si>
  <si>
    <t xml:space="preserve">Fácil (3) </t>
  </si>
  <si>
    <t>Fácil (6)</t>
  </si>
  <si>
    <t>Difícil (7)</t>
  </si>
  <si>
    <t>Costeo único</t>
  </si>
  <si>
    <t>Fuente de información</t>
  </si>
  <si>
    <t>Costeo escala encuentro (n° asistentes)</t>
  </si>
  <si>
    <t>Catering</t>
  </si>
  <si>
    <t>ii. Costeo habilitación infraestructura</t>
  </si>
  <si>
    <t>iii. Costeo servicios complementarios habilitación</t>
  </si>
  <si>
    <t>2. Plataforma Web</t>
  </si>
  <si>
    <t>3. App para la participación</t>
  </si>
  <si>
    <t xml:space="preserve">Definida en la Política Nacional de Desarrollo Rural (2014-2024) como "Comuna predominantemente rural" (donde más del 50% de la población vive en distritos censales de menos de 150 habitantes por km2) y "Comuna mixta" (donde entre el 15% y el 49% de su población vive en distritos censales de menos de 150 habitantes por km2). Fuente: http://extwprlegs1.fao.org/docs/pdf/chi142198.pdf </t>
  </si>
  <si>
    <t xml:space="preserve">Definida en la Política Nacional de Desarrollo Rural (2014-2024) como "Comuna predominantemente urbana": Donde menos del 15% de la población vive en distritos censales de más de 150 habitantes por km2. Se incorporan a esta categoría, además del criterio de población máxima, las comunas que son capitales regionales. Fuente: http://extwprlegs1.fao.org/docs/pdf/chi142198.pdf </t>
  </si>
  <si>
    <t xml:space="preserve">Incluye: Región de Arica y Parinacota, Región de Tarapacá, Isla de Pascua y Juan Fernández, Provincias de Chiloé y Palena, Región de Aysén y Región de Magallanes y Antártica Chilena. Definida en los artículos 5° y 7° del Decreto de Ley N°249 de 1973, que define la asignación de zona (estipendio otorgado mensualmente a los funcionarios del Sector Público para el desempeño de un empleo en el que se ven obligados a residir en una provincia o territorio que reúne condiciones especiales derivadas de su aislamiento o del costo de vida). Fuente: https://obtienearchivo.bcn.cl/obtienearchivo?id=repositorio/10221/26177/1/SUP117912.pdf </t>
  </si>
  <si>
    <t xml:space="preserve">Incluye: Región de Atacama, Coquimbo, Biobío, La Araucanía, Los Ríos, Los Lagos (excepto Provincias de Chiloé y Palena). Comprende todas aquellas regiones no comprendidas en definición Zona Central y Zonas Extremas. </t>
  </si>
  <si>
    <t>Incluye: Región de Valparaíso, Metropolitana, del Libertador General Bernardo O'Higgins, del Maule y Ñuble. Actualización provincias contenidas en división "Geografía económica de Chile", CORFO.</t>
  </si>
  <si>
    <t>Costo diseño gráfico plataforma</t>
  </si>
  <si>
    <t>Logos y fuentes</t>
  </si>
  <si>
    <t>Estética general</t>
  </si>
  <si>
    <t>Valor</t>
  </si>
  <si>
    <t>Costos Operacionales</t>
  </si>
  <si>
    <t>Soporte</t>
  </si>
  <si>
    <t>Detalle costeo</t>
  </si>
  <si>
    <t>Funcionalidades</t>
  </si>
  <si>
    <t>Información general (carga de información única vez)</t>
  </si>
  <si>
    <t>a</t>
  </si>
  <si>
    <t>b</t>
  </si>
  <si>
    <t>c</t>
  </si>
  <si>
    <t>Actividades Convención (carga de información periódica)</t>
  </si>
  <si>
    <t>Multiplataforma (PC - escritorio- y móvil)</t>
  </si>
  <si>
    <t>d</t>
  </si>
  <si>
    <t>e</t>
  </si>
  <si>
    <t>f</t>
  </si>
  <si>
    <t>Audiencias Públicas (interacción usuaria - carga información periódica)</t>
  </si>
  <si>
    <t>Encuentros Autoconvocados (interacción usuaria - carga información periódica)</t>
  </si>
  <si>
    <t>Antecedentes necesarios</t>
  </si>
  <si>
    <t>Cobertura:</t>
  </si>
  <si>
    <t>Capacidad usuarios necesaria:</t>
  </si>
  <si>
    <t>Carga documental (dimensionada):</t>
  </si>
  <si>
    <t>Multiplataforma, que considere zonas dificil acceso internet (aplicación de carga posterior).</t>
  </si>
  <si>
    <t>Al menos 200.000 usuarios de manera permanente.</t>
  </si>
  <si>
    <t>Propuestas ciudadanas (interacción usuaria - foro - carga de información periódica)</t>
  </si>
  <si>
    <t>Registro de participación ciudadana (registro usuario)</t>
  </si>
  <si>
    <t>Tiempo de operación:</t>
  </si>
  <si>
    <t>Desarrollo aplicación móvil</t>
  </si>
  <si>
    <t>Funcionalidad diferentes sistemas operativos, que considere zonas dificil acceso internet (aplicación de carga posterior).</t>
  </si>
  <si>
    <t>Consultas - Encuestas</t>
  </si>
  <si>
    <t>Integración con plataforma web</t>
  </si>
  <si>
    <t>Entrega de información</t>
  </si>
  <si>
    <t>Carga usuaria de información</t>
  </si>
  <si>
    <t xml:space="preserve"> </t>
  </si>
  <si>
    <t>4. Equipo de seguimiento, sistematización, análisis y elaboración de informes</t>
  </si>
  <si>
    <t>Capacidad equipo necesaria:</t>
  </si>
  <si>
    <t>Al menos el tiempo que se prolongue el funcionamiento de la Convención Constituyente.</t>
  </si>
  <si>
    <t>Similar a la alguna área de estudios de un servicio público que cumpla con labores similares (homologables).</t>
  </si>
  <si>
    <t>Costo equipo</t>
  </si>
  <si>
    <t>Jefe de estudios</t>
  </si>
  <si>
    <t>Equipamiento</t>
  </si>
  <si>
    <t>5. Campaña Comunicacional</t>
  </si>
  <si>
    <t>Alcance:</t>
  </si>
  <si>
    <t>Nacional</t>
  </si>
  <si>
    <t>Duración campaña:</t>
  </si>
  <si>
    <t>Elementos:</t>
  </si>
  <si>
    <t>Todas la características funcionales, al menos el tiempo que se prolongue el funcionamiento de la Convención Constituyente.</t>
  </si>
  <si>
    <t>Diseño y planificación estratégica</t>
  </si>
  <si>
    <t>Diseño</t>
  </si>
  <si>
    <t>Planificación estratégica</t>
  </si>
  <si>
    <t>Material gráfico y audiovisual</t>
  </si>
  <si>
    <t>Cobertura medios</t>
  </si>
  <si>
    <t>Televisión</t>
  </si>
  <si>
    <t>Radios</t>
  </si>
  <si>
    <t>Medios escritos</t>
  </si>
  <si>
    <t>Redes Sociales</t>
  </si>
  <si>
    <t>Youtube</t>
  </si>
  <si>
    <t>Facebook</t>
  </si>
  <si>
    <t>Instagram</t>
  </si>
  <si>
    <t>6. Sesiones de la Convención Constituyente en regiones</t>
  </si>
  <si>
    <t>Locaciones:</t>
  </si>
  <si>
    <t>Periodicidad</t>
  </si>
  <si>
    <t>Elementos necesarios:</t>
  </si>
  <si>
    <t>Capacidad de aforo, disponibilidad elementos habilitación.</t>
  </si>
  <si>
    <t>Se usará campaña de referencia. En principio COVID 19 - Vacunación</t>
  </si>
  <si>
    <t>Participación Ciudadana (consultas)</t>
  </si>
  <si>
    <t>Propuesta base: 1 vez por región</t>
  </si>
  <si>
    <t>Estadía propuesta:</t>
  </si>
  <si>
    <t>Propuesta base: 2 días + 1 noche de alojamiento</t>
  </si>
  <si>
    <t>g</t>
  </si>
  <si>
    <t>1. Participación Presencial Territorial</t>
  </si>
  <si>
    <t>Generación material gráfico instructivos (vídeos y folletos tutoriales)</t>
  </si>
  <si>
    <t>ÚNICO</t>
  </si>
  <si>
    <t>Costeo 3 hitos diferenciados: Antes, Durante y Posterior a proceso de participación ciudadana.</t>
  </si>
  <si>
    <t>2 meses campañas inicial y final (cada una), más campaña de 8 meses para intertanto.</t>
  </si>
  <si>
    <t>Fácil/Difícil (4/5)*</t>
  </si>
  <si>
    <t>*Dada la heterogeneidad de territorios en esta intersección en particular se utiliza como criterio de accesibilidad para diferenciar el tiempo de trayecto desde el aeropuerto más cercano (2 horas) cómo límite para la clasificación.</t>
  </si>
  <si>
    <t>Resultado clasificación en comunas a nivel nacional</t>
  </si>
  <si>
    <t>Servicio de Mantención (preventiva y correctiva)</t>
  </si>
  <si>
    <t>Servicio de Hosting (servidor)</t>
  </si>
  <si>
    <t>Equipo de Comunicaciones (Community Manager)</t>
  </si>
  <si>
    <t>Equipo de Mantención</t>
  </si>
  <si>
    <t>Servicio de Almacenamiento y respaldos</t>
  </si>
  <si>
    <t xml:space="preserve">Soporte </t>
  </si>
  <si>
    <t>Profesional Senior área estudios</t>
  </si>
  <si>
    <t>Profesional Junior área estudios</t>
  </si>
  <si>
    <t>Propuesta base: Todas las capitales regionales, a costear de acuerdo a definición de zonas de (1) Participación Territorial.</t>
  </si>
  <si>
    <t>% respecto a recursos asignados Participación Ciudadana (Presupuesto 2021)</t>
  </si>
  <si>
    <t>i. Costeo viajes aereos - terrestres</t>
  </si>
  <si>
    <t>Detalle</t>
  </si>
  <si>
    <t>Fuente de Información</t>
  </si>
  <si>
    <t>Consulta Web Compañías Buses, 30/06/2021, 17:00hrs. https://www.recorrido.cl/</t>
  </si>
  <si>
    <t>Costo pasajes terrestres (bus) promedio territorios disponibles. No existen viajes aéreos en la zona desde Santiago (SCL).</t>
  </si>
  <si>
    <t>Consulta Web Compañías aereas, 30/06/2021, 19:00 hrs. https://www.google.com/travel/flights/</t>
  </si>
  <si>
    <t>Costo pasajes áereos promedio territorios disponibles. Seleccionadas opciones más baratas en vuelos comerciales.</t>
  </si>
  <si>
    <t>Consulta Web Compañías aereas, 01/06/2021, 09:00 hrs. https://www.google.com/travel/flights/</t>
  </si>
  <si>
    <t>Costo pasajes áereos y terrestres promedio territorios disponibles. Seleccionadas opciones más baratas en vuelos comerciales. Se complementan con viajes terrestres disponibles.</t>
  </si>
  <si>
    <t>Consulta Web Compañías Buses y aéreas, 01/06/2021, 10:00 hrs.</t>
  </si>
  <si>
    <t>Costo promedio zona 3 + 20% promedio por acceso difícil al territorio.</t>
  </si>
  <si>
    <t>Costo promedio zona 3 + 10% promedio por acceso fácil al territorio.</t>
  </si>
  <si>
    <t>Convenio Marco, Mercado Público, ChileCompra</t>
  </si>
  <si>
    <t>Salones (Jornada Completa), Región Metropolitana</t>
  </si>
  <si>
    <t>Salones (Jornada Completa), Región del Maule</t>
  </si>
  <si>
    <t>Salones (Jornada Completa), Región de Los Ríos</t>
  </si>
  <si>
    <t>Salones (Jornada Completa), Región del Biobío</t>
  </si>
  <si>
    <t>Salones (Jornada Completa), Región de la Araucanía</t>
  </si>
  <si>
    <t>Salones (Jornada Completa), Región de Magallanes</t>
  </si>
  <si>
    <t>a. Infraestructura</t>
  </si>
  <si>
    <t>b. Implementos de Conferencia</t>
  </si>
  <si>
    <t>Costo</t>
  </si>
  <si>
    <t>Implementos de Conferencia (Jornada Completa), Región Metropolitana</t>
  </si>
  <si>
    <t>Implementos de Conferencia (Jornada Completa), Región del Maule</t>
  </si>
  <si>
    <t>Implementos de Conferencia (Jornada Completa), Región de Los Ríos</t>
  </si>
  <si>
    <t>Implementos de Conferencia (Jornada Completa), Región del Biobío</t>
  </si>
  <si>
    <t>Implementos de Conferencia (Jornada Completa), Región de la Araucanía</t>
  </si>
  <si>
    <t>Implementos de Conferencia (Jornada Completa), Región de Magallanes</t>
  </si>
  <si>
    <t>Catering - Servicio Coffe break (brunch), Región Metropolitana</t>
  </si>
  <si>
    <t>Catering - Servicio Coffe break (brunch), Región del Maule</t>
  </si>
  <si>
    <t>Catering - Servicio Coffe break (brunch), Región de Los Ríos</t>
  </si>
  <si>
    <t>Catering - Servicio Coffe break (brunch), Región del Biobío</t>
  </si>
  <si>
    <t>Catering - Servicio Coffe break (brunch), Región de La Araucanía</t>
  </si>
  <si>
    <t>Catering - Servicio Coffe break (brunch), Región de Magallanes</t>
  </si>
  <si>
    <t>https://www.portaltransparencia.cl/PortalPdT/directorio-de-organismos-regulados/?org=AE002</t>
  </si>
  <si>
    <t>Remuneración Bruta mensualizada (mayo 2021), Analista Subdepartamento Estudios, Subdirecicón de Racionalización y Función Pública, DIPRES</t>
  </si>
  <si>
    <t>Remuneración Bruta mensualizada (mayo 2021), Jefe Subdepartamento Estudios, Subdirecicón de Racionalización y Función Pública, DIPRES</t>
  </si>
  <si>
    <t>Honorario total bruto (enero 2021), Analista Subdepartamento Estudios, Subdirección de Racionalización y Función Pública, DIPRES</t>
  </si>
  <si>
    <t>Sin constituyentes</t>
  </si>
  <si>
    <t>Número de personas para comunas dependiendo de población comuna</t>
  </si>
  <si>
    <t>Monitores capacitación (unidad de personas), mandar de viaje</t>
  </si>
  <si>
    <t>Datos:</t>
  </si>
  <si>
    <t>Comunas</t>
  </si>
  <si>
    <t>Reuniones por comuna</t>
  </si>
  <si>
    <t>1 para todas</t>
  </si>
  <si>
    <t>Personas por reunión</t>
  </si>
  <si>
    <t>50 personas</t>
  </si>
  <si>
    <t>100 personas</t>
  </si>
  <si>
    <t>50 rural, 100 urbanas</t>
  </si>
  <si>
    <t>Monitores por reunión</t>
  </si>
  <si>
    <t>1 rurales, 2 urbanas</t>
  </si>
  <si>
    <t>Duración reunión</t>
  </si>
  <si>
    <t>Media Jornada</t>
  </si>
  <si>
    <t>Jornada completa</t>
  </si>
  <si>
    <t>Media rural, Completa urbana</t>
  </si>
  <si>
    <t>Coffe Break x 2</t>
  </si>
  <si>
    <t>Coffe break x 2 + Almuerzo</t>
  </si>
  <si>
    <t>Mix entre ambas</t>
  </si>
  <si>
    <t>Costo insumos</t>
  </si>
  <si>
    <t>Sistematización</t>
  </si>
  <si>
    <t>Variable</t>
  </si>
  <si>
    <t>Arriendo local (público)</t>
  </si>
  <si>
    <t>Arriendo local (pago)</t>
  </si>
  <si>
    <t>Variable (jornada, N)</t>
  </si>
  <si>
    <t>Gratis</t>
  </si>
  <si>
    <t>Diseño implementación</t>
  </si>
  <si>
    <t>Habilitación local</t>
  </si>
  <si>
    <t>Variable (jornada)</t>
  </si>
  <si>
    <t>Alternativa 2</t>
  </si>
  <si>
    <t>Alternativa 3</t>
  </si>
  <si>
    <t>Alternativa 1</t>
  </si>
  <si>
    <t>Conservadora (1/3)</t>
  </si>
  <si>
    <t>Intermedia (1/2)</t>
  </si>
  <si>
    <t>12 meses</t>
  </si>
  <si>
    <t>BAJA</t>
  </si>
  <si>
    <t>MEDIA</t>
  </si>
  <si>
    <t>COSTO FIJO</t>
  </si>
  <si>
    <t>ROTACION</t>
  </si>
  <si>
    <t>ALCANCE</t>
  </si>
  <si>
    <t xml:space="preserve">Altertnativa 1 </t>
  </si>
  <si>
    <t xml:space="preserve">Alternativa 2 </t>
  </si>
  <si>
    <t>Presencia convencionales</t>
  </si>
  <si>
    <t>5 Constituyentes + VAN (por KM) + Alojamiento (no RM, V, VI)</t>
  </si>
  <si>
    <t>Profesional Senior</t>
  </si>
  <si>
    <t>Profesional Junior</t>
  </si>
  <si>
    <t>COMUNAS</t>
  </si>
  <si>
    <t>VALOR</t>
  </si>
  <si>
    <t>B</t>
  </si>
  <si>
    <t>A</t>
  </si>
  <si>
    <t>REUNIONES POR COMUNA</t>
  </si>
  <si>
    <t>RURAL</t>
  </si>
  <si>
    <t>URBANA</t>
  </si>
  <si>
    <t>ALTERNATIVA 1</t>
  </si>
  <si>
    <t>ALTERNATIVA 2</t>
  </si>
  <si>
    <t>ALTERNATIVA 3</t>
  </si>
  <si>
    <t>C</t>
  </si>
  <si>
    <t>ASISTENCIA POR REUNIÓN</t>
  </si>
  <si>
    <t xml:space="preserve">D </t>
  </si>
  <si>
    <t>MONITORES POR REUNIÓN</t>
  </si>
  <si>
    <t xml:space="preserve">E </t>
  </si>
  <si>
    <t>DURACIÓN REUNIONES</t>
  </si>
  <si>
    <t>F</t>
  </si>
  <si>
    <t>G</t>
  </si>
  <si>
    <t>INSUMOS</t>
  </si>
  <si>
    <t>SISTEMATIZACIÓN</t>
  </si>
  <si>
    <t>H</t>
  </si>
  <si>
    <t>I</t>
  </si>
  <si>
    <t xml:space="preserve">ARRIENDO LOCAL </t>
  </si>
  <si>
    <t>PÚBLICO</t>
  </si>
  <si>
    <t>PAGO</t>
  </si>
  <si>
    <t>DEPENDE DE JORNADAS DE REUNIONES Y TOTAL REUNIONES</t>
  </si>
  <si>
    <t>J</t>
  </si>
  <si>
    <t>DISEÑO IMPLEMENTACIÓN</t>
  </si>
  <si>
    <t>K</t>
  </si>
  <si>
    <t>PRESENCIA CONVENCIONALES</t>
  </si>
  <si>
    <t>RECUENTO COMUNAS CLAISIFCACION</t>
  </si>
  <si>
    <t>Urbana</t>
  </si>
  <si>
    <t>ZONA</t>
  </si>
  <si>
    <t>RURALIDAD</t>
  </si>
  <si>
    <t>n</t>
  </si>
  <si>
    <t>ASISTENCIA TOTAL</t>
  </si>
  <si>
    <t>REUNIONES TOTALES</t>
  </si>
  <si>
    <t>MONITORES TOTAL</t>
  </si>
  <si>
    <t>1/2 JORNADA</t>
  </si>
  <si>
    <t>JORNADA COMPLETA</t>
  </si>
  <si>
    <t>1/2 J. RUR- 1 J. URB</t>
  </si>
  <si>
    <t>CATERING</t>
  </si>
  <si>
    <t>TIPO REUNIONES TOTAL</t>
  </si>
  <si>
    <t>2 COFFEE BREAK</t>
  </si>
  <si>
    <t>2 COFFEE BREAK + ALMUERZO</t>
  </si>
  <si>
    <t>(MEDIO DÍA DE SISTEMATIZACIÓN POR REUNIÓN)</t>
  </si>
  <si>
    <t>SISTEMATIZACIÓN TOTAL</t>
  </si>
  <si>
    <t>2/3 tercios de UF. Pago monto beneficio equivalente a vocal de mesa sufragios 15 y 16 de mayo 2021 (sólo 1 de los días).</t>
  </si>
  <si>
    <t>https://ayuda.tgr.cl/hc/es-419/articles/360018620714-Pago-Vocal-de-Mesa-para-elecciones-de-Constituyentes-Alcaldes-y-Gobernadores-Regionales-a%C3%B1o-2021-</t>
  </si>
  <si>
    <t>iv. Monitores</t>
  </si>
  <si>
    <t>iv.i. Costo por reunión monitor</t>
  </si>
  <si>
    <t>Criterio establecido en costeo</t>
  </si>
  <si>
    <t>iv.ii. Costo por sistematización de reunión monitor</t>
  </si>
  <si>
    <t>COSTO ÚNICO</t>
  </si>
  <si>
    <t>iv.iii. Costo desarrollo Capacitación por Monitor</t>
  </si>
  <si>
    <t xml:space="preserve">https://www.mercadopublico.cl/CMII/Tienda/frm_GCV2_Ficha.aspx?IURL=uPteMZpbYBeM$07ddIzV$08EFecMSuZM0euS4Z$07cbeFMX_05ohEOMPbeteMZpbYBeM </t>
  </si>
  <si>
    <t>REUNIONES</t>
  </si>
  <si>
    <t>ARRIENDO LOCAL</t>
  </si>
  <si>
    <t>CAPACITACIÓN</t>
  </si>
  <si>
    <t>COSTOS FIJOS</t>
  </si>
  <si>
    <t>VIÁTICOS</t>
  </si>
  <si>
    <t>TRASLADO</t>
  </si>
  <si>
    <t>VALORES TOTALES</t>
  </si>
  <si>
    <t>REUNIONES TOTAL INF. PAGO</t>
  </si>
  <si>
    <t>REUNIONES TOTAL INF. GRATIS</t>
  </si>
  <si>
    <t>iii.ii. Almuerzo</t>
  </si>
  <si>
    <t>Catering - Servicio Almuerzo, Región Metropolitana</t>
  </si>
  <si>
    <t>Catering - Servicio Almuerzo, Región del Maule</t>
  </si>
  <si>
    <t>Catering - Servicio Almuerzo, Región de Los Ríos</t>
  </si>
  <si>
    <t>Catering - Servicio Almuerzo, Región del Biobío</t>
  </si>
  <si>
    <t>Catering - Servicio Almuerzo, Región de La Araucanía</t>
  </si>
  <si>
    <t>Catering - Servicio Almuerzo, Región de Magallanes</t>
  </si>
  <si>
    <t>Almuerzo, en base a mayor precio por zona implicito en servicio Coffee Break</t>
  </si>
  <si>
    <t>50 (salón para 100)</t>
  </si>
  <si>
    <t>100 (salón para 200)</t>
  </si>
  <si>
    <t>Criterio establecido en costeo en base a información pública</t>
  </si>
  <si>
    <t>Costo aproximado material a urilizar por asistente</t>
  </si>
  <si>
    <t>v. Material reuniones locales por asistente</t>
  </si>
  <si>
    <t>vi. Viáticos Convencionales</t>
  </si>
  <si>
    <t>vii. Traslado</t>
  </si>
  <si>
    <t>vii.i. Arriendo VAN</t>
  </si>
  <si>
    <t>vii.ii. Costo bencina por KM</t>
  </si>
  <si>
    <t>Costeado en base a cada comuna desde aeropuerto.</t>
  </si>
  <si>
    <t>iii.i. Coffee break</t>
  </si>
  <si>
    <t>Amazon, Google cloud, Microsoft Azure - Escalamiento de recursos / Balanceo de carga</t>
  </si>
  <si>
    <t>Amazon, Google cloud, Microsoft Azure - Escalamiento de recursos / Balaceo de carga</t>
  </si>
  <si>
    <t>Posibilidad de que sea Asincronico - y cargue la información una vez que detecte conexión internet</t>
  </si>
  <si>
    <t>Contrato extensible, mínimo 9 meses maximo 14 meses</t>
  </si>
  <si>
    <t>Costo diseño gráfico plataforma - de las primeras Actividades</t>
  </si>
  <si>
    <t>Costo Estimado</t>
  </si>
  <si>
    <t>Proveedor ámbito diseño gráfico orientado a UX UI ( no es el diseñador ux ui)</t>
  </si>
  <si>
    <t>Servicio de Hosting (servidor) - tercera actividad</t>
  </si>
  <si>
    <t>Proveedor infraestructura TI</t>
  </si>
  <si>
    <t>Servicio de Almacenamiento y Respaldos - segunda actividad</t>
  </si>
  <si>
    <t>Framework   Laravel (PHP) - Angular y React (JavaScript)  - Djando (Python)   -  Spring (Java)</t>
  </si>
  <si>
    <t xml:space="preserve">Entorno de trabajo   </t>
  </si>
  <si>
    <t>CMS   =</t>
  </si>
  <si>
    <t>wordpress, joomla, drupal</t>
  </si>
  <si>
    <t>Criterios definitorios de la Arquitectura TI a utilizar</t>
  </si>
  <si>
    <t>Datos - Tráfico de información</t>
  </si>
  <si>
    <t>Tráfico de información</t>
  </si>
  <si>
    <t>Online - Tráfico de información</t>
  </si>
  <si>
    <t>Online -Tráfico de información - Foro</t>
  </si>
  <si>
    <t>5% adicional a desarrollo funcionalidades</t>
  </si>
  <si>
    <t xml:space="preserve">https://www.econorent.cl/reserva/173250/paso-uno </t>
  </si>
  <si>
    <t>TOTAL</t>
  </si>
  <si>
    <t>(HH EQUIVALENTES A 2 SEMANAS TRABAJO EQUIPO SISTEMATIZACIÓN- EQUIPO MEDIO)</t>
  </si>
  <si>
    <t>VALOR TOTAL</t>
  </si>
  <si>
    <t>SEPARABLE (1b)</t>
  </si>
  <si>
    <t>Jornada completa equivale a un día completo del pago diario por reunión monitor</t>
  </si>
  <si>
    <t xml:space="preserve">https://www.contraloria.cl/documents/451102/4166106/ESCALA+UNICA+DE+SUELDOS+DIC.+2020+publicar.pdf/d8422992-53f7-fbf9-bfa5-c599d184ac21 </t>
  </si>
  <si>
    <t>%</t>
  </si>
  <si>
    <t xml:space="preserve">Rendimiento bencina </t>
  </si>
  <si>
    <t>Información pública reserva diaria a nivel nacional (VAN, CITROEN 9 PAX Spacetourer AT Diesel)</t>
  </si>
  <si>
    <t>Costo litro diesel</t>
  </si>
  <si>
    <t xml:space="preserve">Zona </t>
  </si>
  <si>
    <t xml:space="preserve">http://www.bencinaenlinea.cl/ </t>
  </si>
  <si>
    <t>Precio máximo, Litro Diesel. Región Metropolitana</t>
  </si>
  <si>
    <t>Precio máximo, Litro Diesel. Región del Maule</t>
  </si>
  <si>
    <t>Precio máximo, Litro Diesel. Región Los Ríos</t>
  </si>
  <si>
    <t>Precio máximo, Litro Diesel. Región del Biobío</t>
  </si>
  <si>
    <t>Precio máximo, Litro Diesel. Región la Araucanía</t>
  </si>
  <si>
    <t>Precio máximo, Litro Diesel. Región de Magallanes</t>
  </si>
  <si>
    <t>Costeo</t>
  </si>
  <si>
    <t>Kilometros/litro. Rendimiento mixto, modelo de vehículo seleccionado</t>
  </si>
  <si>
    <t xml:space="preserve">http://www.consumovehicular.cl/inicio#/ </t>
  </si>
  <si>
    <t>N</t>
  </si>
  <si>
    <t>*Excepto Isla de Pascua y Juan Fernandez</t>
  </si>
  <si>
    <t>Rurales</t>
  </si>
  <si>
    <t>Urbanas</t>
  </si>
  <si>
    <t>Comunas RM, V* y VI (50% viático)</t>
  </si>
  <si>
    <t>Resto Comunas (150% viático)</t>
  </si>
  <si>
    <t>Costo bencina total</t>
  </si>
  <si>
    <t>Incluye: Arica, Iquique, Antofagasta, Calama, Copiapó, La Serena, Coquimbo, Valparaíso, Rancagua, Talca, Chillán, Concepción, Temuco, Valdivia, Puerto Montt, Osorno, Coyhaique y Punta Arenas</t>
  </si>
  <si>
    <t>Funcionamiento</t>
  </si>
  <si>
    <t>Bienes y Servicios de Consumo</t>
  </si>
  <si>
    <t>Equipo profesional (mensual)</t>
  </si>
  <si>
    <t>Bienes y Servicios de Consumo (mensual)</t>
  </si>
  <si>
    <t>Dirección de Presupuestos (Dipres)</t>
  </si>
  <si>
    <t>22% mensual (16% personal + arriendo de oficinas, computadores e impresoras)</t>
  </si>
  <si>
    <t>Adquisión activos no financieros (única vez)</t>
  </si>
  <si>
    <t xml:space="preserve">0,7% anual por única vez (estaciones de trabajo + sillas) </t>
  </si>
  <si>
    <t>Adquisición activos no financieros</t>
  </si>
  <si>
    <t xml:space="preserve">Directriz sectorialistas Dirección de Presupuestos. Ejemplo: http://www.dipres.cl/597/articles-232648_doc_pdf.pdf </t>
  </si>
  <si>
    <t>Del valor Subtítulo 21 total mensual. Estimación Informes Financieros creación nuevos servicios públicos</t>
  </si>
  <si>
    <t>SERVICIO HOSTING</t>
  </si>
  <si>
    <t>SERVICIO DE ALMACENAMIENTO</t>
  </si>
  <si>
    <t>IMPLEMENTACIÓN WEB FUNCIONALIDADES (INCLUÍDO SOPORTE Y MANTENCIÓN)</t>
  </si>
  <si>
    <t>DISEÑO GRÁFICO PLATAFORMA</t>
  </si>
  <si>
    <t>RANGO DE PRECIOS POR ÚNICA VEZ</t>
  </si>
  <si>
    <t>TABLA DESCRIPTIVA SISTEMATIZADA</t>
  </si>
  <si>
    <t xml:space="preserve">DURACIÓN </t>
  </si>
  <si>
    <t>MESES</t>
  </si>
  <si>
    <t>COSTO TOTAL</t>
  </si>
  <si>
    <t>SERVICIO HOSTING (MENSUAL)</t>
  </si>
  <si>
    <t>SERVICIO DE ALMACENAMIENTO (MENSUAL)</t>
  </si>
  <si>
    <t>COMMUNITY MANAGER</t>
  </si>
  <si>
    <t xml:space="preserve">COSTO MENSUAL COMMUNITY MANAGER CONTRALORÍA </t>
  </si>
  <si>
    <t>PRECIO MENSUAL - SERVICIO CAPACIDAD ILIMITADA</t>
  </si>
  <si>
    <t>5% COSTO IMPLEMENTACIÓN FUNCIONALIDADES</t>
  </si>
  <si>
    <t>Viático equivalente a Grado 1° a 4° Art 4. DFL262/77. Grado 13 Escala Única de Sueldos (EUS), Contraloría General de la República. Diciembre 2020.</t>
  </si>
  <si>
    <t>COMMUNITY MANAGER ONLINE (MENSUAL)</t>
  </si>
  <si>
    <t>IMPLEMENTACIÓN WEB FUNCIONALIDADES (INCLUÍDO SOPORTE Y MANTENCIÓN) (POR ÚNICA VEZ)</t>
  </si>
  <si>
    <t>DISEÑO GRÁFICO PLATAFORMA (POR ÚNICA VEZ)</t>
  </si>
  <si>
    <t>TABLA DESCRIPTIVA</t>
  </si>
  <si>
    <t>Número de reuniones</t>
  </si>
  <si>
    <t>Antecedentes relevantes</t>
  </si>
  <si>
    <t>Estadía y hospedaje</t>
  </si>
  <si>
    <t>En todas las regiones, a excepción de Regiones de Valparaíso, Metropolitana y O'Higgins</t>
  </si>
  <si>
    <t>Itinerario</t>
  </si>
  <si>
    <t>Viáticos</t>
  </si>
  <si>
    <t>Para Constituyentes: Equivalentes a utilizadas en Participación Territorial. Para Equipo Técnico: Equivalentes al correspondiente a grado 5° a 10° Art. 4 DFL 262/77, modif por DS 1.363/92 (Ministerio de Hacienda).</t>
  </si>
  <si>
    <t xml:space="preserve">Salón y habilitación </t>
  </si>
  <si>
    <t>Equivalente a alternativa capacidad 200 personas utilizada en Participación Territorial.</t>
  </si>
  <si>
    <t>Todas las capitales regionales del país. Todos los destinos tienen cómo origen la Región Metropolitana</t>
  </si>
  <si>
    <t xml:space="preserve">Equipo técnico </t>
  </si>
  <si>
    <t>Viajes a Aeropuertos Regionales</t>
  </si>
  <si>
    <t>COPIAPÓ</t>
  </si>
  <si>
    <t>COQUIMBO</t>
  </si>
  <si>
    <t>VALPARAÍSO</t>
  </si>
  <si>
    <t>RANCAGUA</t>
  </si>
  <si>
    <t>TALCA</t>
  </si>
  <si>
    <t>CHILLÁN</t>
  </si>
  <si>
    <t>CONCEPCIÓN</t>
  </si>
  <si>
    <t>TEMUCO</t>
  </si>
  <si>
    <t>VALDIVIA</t>
  </si>
  <si>
    <t>PUERTO MONTT</t>
  </si>
  <si>
    <t>COYHAIQUE</t>
  </si>
  <si>
    <t>PUNTA ARENAS</t>
  </si>
  <si>
    <t>PASAJES TERRESTRES / AÉREOS (IDA-VUELTA)</t>
  </si>
  <si>
    <t>ARICA</t>
  </si>
  <si>
    <t>IQUIQUE</t>
  </si>
  <si>
    <t>ANTOFAGASTA</t>
  </si>
  <si>
    <t>Pasaje aereo ida y vuelta</t>
  </si>
  <si>
    <t>Pasaje terrestre (bus) ida y vuelta</t>
  </si>
  <si>
    <t>https://www.google.com/travel/flights/booking?tfs=CBwQAhpEagwIAhIIL20vMGRscXYSCjIwMjEtMDctMTZyBwgBEgNBUkkiHwoDU0NMEgoyMDIxLTA3LTE2GgNBUkkqAkxBMgMzOTAaRGoHCAESA0FSSRIKMjAyMS0wNy0yMHIMCAISCC9tLzBkbHF2Ih8KA0FSSRIKMjAyMS0wNy0yMBoDU0NMKgJMQTIDMzgzcAGCAQsI____________AUABSAGYAQFqBBABGAA&amp;tfu=CmxDalJJYkhOTmRVRXdWRUV3WTNOQlJXUTFWRUZDUnkwdExTMHRMUzB0TFdObGRuUXhNMEZCUVVGQlIwUmtkeTF6VERSQlQwRkJFZ1ZNUVRNNE14b0xDSkwyQlJBQUdnTkRURkE0SEhERVp3PT0SBggBEAAYAA</t>
  </si>
  <si>
    <t>https://www.google.com/travel/flights/booking?tfs=CBwQAhpEagwIAhIIL20vMGRscXYSCjIwMjEtMDctMTZyBwgBEgNJUVEiHwoDU0NMEgoyMDIxLTA3LTE2GgNJUVEqAkxBMgMxNjIaRGoHCAESA0lRURIKMjAyMS0wNy0yMHIMCAISCC9tLzBkbHF2Ih8KA0lRURIKMjAyMS0wNy0yMBoDU0NMKgJMQTIDMTYxcAGCAQsI____________AUABSAGYAQFqBBABGAA&amp;tfu=CmxDalJJYkROUU9WTXhNRFZXZFdOQlJFMVdOWGRDUnkwdExTMHRMUzB0TFdObGMzY3hPVUZCUVVGQlIwUmtSR0pCUTFNMmRFRkJFZ1ZNUVRFMk1Sb0xDT1RTQkJBQUdnTkRURkE0SEhDY1VRPT0SBggBEAAYAA</t>
  </si>
  <si>
    <t>https://www.google.com/travel/flights/booking?tfs=CBwQAhpEagwIAhIIL20vMGRscXYSCjIwMjEtMDctMDVyBwgBEgNBTkYiHwoDU0NMEgoyMDIxLTA3LTA1GgNBTkYqAkgyMgMyODAaRGoHCAESA0FORhIKMjAyMS0wNy0wOXIMCAISCC9tLzBkbHF2Ih8KA0FORhIKMjAyMS0wNy0wORoDU0NMKgJIMjIDMjgxcAGCAQsI____________AUABSAGYAQFqBBABGAA&amp;tfu=CmxDalJJWldSWlVFVTNWeTFYYkVGQlJFVjBTMUZDUnkwdExTMHRMUzB0TFdObGFIZ3lORUZCUVVGQlIwUmtRbHBuU0RoeWJFRkJFZ1ZJTWpJNE1Sb0xDTzcvQkJBQUdnTkRURkE0SEhDd1Z3PT0SBggBEAAYAA&amp;hl=es</t>
  </si>
  <si>
    <t>https://www.google.com/travel/flights/booking?tfs=CBwQAhpEagwIAhIIL20vMGRscXYSCjIwMjEtMDctMDVyBwgBEgNDUE8iHwoDU0NMEgoyMDIxLTA3LTA1GgNDUE8qAkxBMgMxMTQaRGoHCAESA0NQTxIKMjAyMS0wNy0wOXIMCAISCC9tLzBkbHF2Ih8KA0NQTxIKMjAyMS0wNy0wORoDU0NMKgJMQTIDMTE5cAGCAQsI____________AUABSAGYAQFqBBABGAA&amp;tfu=CmxDalJJYWw5aVpGcERSRTFWZWpoQlJFZEtaRkZDUnkwdExTMHRMUzB0TFdObGRtWXpNVUZCUVVGQlIwUmtRbXcwVDJGVlJFRkJFZ1ZNUVRFeE9Sb0xDTUxkQXhBQUdnTkRURkE0SEhDYlFRPT0SBggBEAAYAA&amp;hl=es</t>
  </si>
  <si>
    <t>https://www.google.com/travel/flights/booking?tfs=CBwQAhpFagwIAhIIL20vMGRscXYSCjIwMjEtMDctMDVyBwgBEgNMU0MiIAoDU0NMEgoyMDIxLTA3LTA1GgNMU0MqAkgyMgQxMjAyGkRqBwgBEgNMU0MSCjIwMjEtMDctMDlyDAgCEggvbS8wZGxxdiIfCgNMU0MSCjIwMjEtMDctMDkaA1NDTCoCSDIyAzQ2MXABggELCP___________wFAAUgBmAEBagQQARgA&amp;tfu=CmxDalJJU0RnNVFqRTVNM05RYldOQlJFcHlkM2RDUnkwdExTMHRMUzB0TFdObGQzTXhNa0ZCUVVGQlIwUmtRaTFKVFhGWFYwRkJFZ1ZJTWpRMk1Sb0xDUFRCQXhBQUdnTkRURkE0SEhDNFBRPT0SBggBEAAYAA&amp;hl=es</t>
  </si>
  <si>
    <t>https://www.google.com/travel/flights/booking?tfs=CBwQAhpHagwIAhIIL20vMGRscXYSCjIwMjEtMDctMDVyDAgDEggvbS8wazE4ayIdCgNTQ0wSCjIwMjEtMDctMDUaA0NDUCoCTEEyATcaSWoMCAMSCC9tLzBrMThrEgoyMDIxLTA3LTA5cgwIAhIIL20vMGRscXYiHwoDQ0NQEgoyMDIxLTA3LTA5GgNTQ0wqAkxBMgMyMDJwAYIBCwj___________8BQAFIAZgBAWoEEAEYAA&amp;tfu=CmxDalJJUWtwRE1FUkVSVmR0ZDAxQlJFWm5ia0ZDUnkwdExTMHRMUzB0TFdObGRtazBNVUZCUVVGQlIwUmtRMGROUmxCRWNFRkJFZ1ZNUVRJd01ob0xDSWpIQkJBQUdnTkRURkE0SEhEUFR3PT0SBggBEAAYAA&amp;hl=es</t>
  </si>
  <si>
    <t>https://www.google.com/travel/flights/booking?tfs=CBwQAhpEagwIAhIIL20vMGRscXYSCjIwMjEtMDctMDVyBwgBEgNaQ08iHwoDU0NMEgoyMDIxLTA3LTA1GgNaQ08qAkxBMgMyMzcaRGoHCAESA1pDTxIKMjAyMS0wNy0wOXIMCAISCC9tLzBkbHF2Ih8KA1pDTxIKMjAyMS0wNy0wORoDU0NMKgJMQTIDMjM4cAGCAQsI____________AUABSAGYAQFqBBABGAA&amp;tfu=CmxDalJJVnpJeWJIQlhNaTB4U1hOQlJFVjFWM2RDUnkwdExTMHRMUzB0TFMxalpYZDJPVUZCUVVGQlIwUmtRMUJyUlVSSlpVRkJFZ1ZNUVRJek9Cb0xDS2lKQlJBQUdnTkRURkE0SEhEVldBPT0SBggBEAAYAA&amp;hl=es</t>
  </si>
  <si>
    <t>https://www.google.com/travel/flights/booking?tfs=CBwQAhpMagwIAhIIL20vMGRscXYSCjIwMjEtMDctMDVyDwgDEgsvZy8xMjJxeHB3cSIfCgNTQ0wSCjIwMjEtMDctMDUaA1pBTCoCTEEyAzI0MRpLag8IAxILL2cvMTIycXhwd3ESCjIwMjEtMDctMDlyDAgCEggvbS8wZGxxdiIeCgNaQUwSCjIwMjEtMDctMDkaA1NDTCoCTEEyAjQycAGCAQsI____________AUABSAGYAQFqBBABGAA&amp;tfu=CmhDalJJVEVKcmNtaFZjSGhtWkZGQlJFWk5OVkZDUnkwdExTMHRMUzB0TFdObGRtb3hNVUZCUVVGQlIwUmtRMWxGU1VkelYwRkJFZ1JNUVRReUdnc0l3L3NFRUFBYUEwTk1VRGdjY09SVxIGCAEQABgA&amp;hl=es</t>
  </si>
  <si>
    <t>https://www.google.com/travel/flights/booking?tfs=CBwQAhpEagwIAhIIL20vMGRscXYSCjIwMjEtMDctMDVyBwgBEgNQTUMiHwoDU0NMEgoyMDIxLTA3LTA1GgNQTUMqAkgyMgM0MDEaRGoHCAESA1BNQxIKMjAyMS0wNy0wOXIMCAISCC9tLzBkbHF2Ih8KA1BNQxIKMjAyMS0wNy0wORoDU0NMKgJIMjIDNDM0cAGCAQsI____________AUABSAGYAQFqBBABGAA&amp;tfu=CmxDalJJWDNSeWNITnRVVTluT1dOQlJFWlRaa0ZDUnkwdExTMHRMUzB0TFdObGRtTXlNVUZCUVVGQlIwUmtRMVJKU1dzeGJrRkJFZ1ZJTWpRek5Cb0xDS3l2QlJBQUdnTkRURkE0SEhEdVhRPT0SBggBEAAYAA&amp;hl=es</t>
  </si>
  <si>
    <t>https://www.google.com/travel/flights/booking?tfs=CBwQAhpEagwIAhIIL20vMGRscXYSCjIwMjEtMDctMTZyBwgBEgNCQkEiHwoDU0NMEgoyMDIxLTA3LTE2GgNCQkEqAkxBMgMyNzkaZWoHCAESA0JCQRIKMjAyMS0wNy0yMHIMCAISCC9tLzBkbHF2Ih8KA0JCQRIKMjAyMS0wNy0yMBoDUE1DKgJMQTIDMjcyIh8KA1BNQxIKMjAyMS0wNy0yMBoDU0NMKgJMQTIDMjcycAGCAQsI____________AUABSAGYAQFqBBABGAA&amp;tfu=CnRDalJJWDNSeWNITnRVVTluT1dOQlJFZ3RhMUZDUnkwdExTMHRMUzB0TFdObGRtTXlNVUZCUVVGQlIwUmtSR1ZqUm5SUFlVRkJFZ3RNUVRJM01ueE1RVEkzTWhvTENOLzBCaEFBR2dORFRGQTRISERwZUE9PRIGCAEQABgA</t>
  </si>
  <si>
    <t>https://www.google.com/travel/flights/booking?tfs=CBwQAhpragwIAhIIL20vMGRscXYSCjIwMjEtMDctMTZyDQgDEgkvbS8wMm41dmMiHwoDU0NMEgoyMDIxLTA3LTE2GgNQTUMqAkgyMgM0MDEiHwoDUE1DEgoyMDIxLTA3LTE2GgNQVVEqAkgyMgM0MDEaa2oNCAMSCS9tLzAybjV2YxIKMjAyMS0wNy0yMHIMCAISCC9tLzBkbHF2Ih8KA1BVURIKMjAyMS0wNy0yMBoDUE1DKgJIMjIDNDAyIh8KA1BNQxIKMjAyMS0wNy0yMBoDU0NMKgJIMjIDNDAycAGCAQsI____________AUABSAGYAQFqBBABGAA&amp;tfu=CnRDalJJUWtwRE1FUkVSVmR0ZDAxQlJXRnFRVUZDUnkwdExTMHRMUzB0TFdObGRtazBNVUZCUVVGQlIwUmtkek5OU1Y5RFdFRkJFZ3RJTWpRd01ueElNalF3TWhvTENQVGNDQkFBR2dORFRGQTRISEREbUFFPRIGCAEQABgA</t>
  </si>
  <si>
    <t>Consulta Web Compañía TUR-BUS, 30/06/2021, 15:00hrs. https://new.turbus.cl/turbuscl/inicio-compra</t>
  </si>
  <si>
    <t>profesionales</t>
  </si>
  <si>
    <t>CONVENCIONALES</t>
  </si>
  <si>
    <t>EQUIPO TÉCNICO</t>
  </si>
  <si>
    <t>SERVICIO STREAMING</t>
  </si>
  <si>
    <t>PASAJES CONVENCIONALES (VARIABLE)</t>
  </si>
  <si>
    <t>PASAJES EQUIPO TÉCNICO (VARIABLE)</t>
  </si>
  <si>
    <t>VIÁTICOS (CONVENCIONALES + EQUIPO TÉCNICO) (VARIABLE)</t>
  </si>
  <si>
    <t>ARRIENDO y HABILITACIÓN LOCAL (VARIABLE)</t>
  </si>
  <si>
    <t>STREAMING (FIJO)</t>
  </si>
  <si>
    <t>Adquisición e inslación de sistemas de transmisión vía streaming</t>
  </si>
  <si>
    <t xml:space="preserve">https://www.mercadopublico.cl/CMII/Tienda/frm_GCV2_Ficha.aspx?IURL=uPteMZpbYBeM$07gmgVd$08EFecMSuZM0euS4Z$07cbeFMX_05ohEOMPbeteMZpbYBeM </t>
  </si>
  <si>
    <t xml:space="preserve">https://www.mercadopublico.cl/CMII/Tienda/frm_GCV2_Ficha.aspx?IURL=uPteMZpbYBeM$07gdmgg$08EFecMSuZM0euS4Z$07cbeFMX_05ohEOMPbeteMZpbYBeM </t>
  </si>
  <si>
    <t>TRASLADO EQUIPOS</t>
  </si>
  <si>
    <t>Contratación de servicios de traslado de valija y paquetería entre central de correspondencia y puntos de distribución regionales. Servicio de 13 meses</t>
  </si>
  <si>
    <t>TRASLADO EQUIPOS STREAMING (FIJO)</t>
  </si>
  <si>
    <t>Altertnativa 1</t>
  </si>
  <si>
    <t>Ejemplo de Campaña</t>
  </si>
  <si>
    <t>https://www.mercadopublico.cl/CMII/Tienda/frm_GCV2_Ficha.aspx?IURL=uPteMZpbYBeM$07ggUIz$08EFecMSuZM0euS4Z$07cbeFMX_05ohEOMPbeteMZpbYBeM</t>
  </si>
  <si>
    <t xml:space="preserve">https://www.mercadopublico.cl/CMII/Tienda/frm_GCV2_Ficha.aspx?IURL=uPteMZpbYBeM$07ggUIz$08EFecMSuZM0euS4Z$07cbeFMX_05ohEOMPbeteMZpbYBeM </t>
  </si>
  <si>
    <r>
      <t xml:space="preserve">Plan Paso a Paso 2020 </t>
    </r>
    <r>
      <rPr>
        <sz val="11"/>
        <color theme="1"/>
        <rFont val="Calibri"/>
        <family val="2"/>
        <scheme val="minor"/>
      </rPr>
      <t>(SEGEGOB)</t>
    </r>
  </si>
  <si>
    <t>3 meses de campaña comunicacional alta rotación en medios incluído diseño. Presencia a nivel nacional. 06 de octubre 2020</t>
  </si>
  <si>
    <t>OK</t>
  </si>
  <si>
    <t>Twitter</t>
  </si>
  <si>
    <t>Medios de gobierno</t>
  </si>
  <si>
    <t xml:space="preserve">f </t>
  </si>
  <si>
    <t>Vía pública</t>
  </si>
  <si>
    <t>Costo diseño campaña</t>
  </si>
  <si>
    <t>Plan Paso a Paso</t>
  </si>
  <si>
    <t>Profesional senior</t>
  </si>
  <si>
    <t>Profesional junior</t>
  </si>
  <si>
    <t>Profesional Honorarios Mayo 2021 SEGEBOB. CARGO: ASESORAR AL GABINETE MINISTERIAL EN LA GENERACIÓN DE CONTENIDOS DE PRENSA Y PUBLICACIONES</t>
  </si>
  <si>
    <t>Profesional Honorarios Mayo 2021. CARGO: ASESORÍA EN COMUNICACIÓN ESTRATÉGICA, MANEJO DE COYUNTURAS Y COORDINACIÓN INTERMINISTERIAL</t>
  </si>
  <si>
    <t>Duración campañas</t>
  </si>
  <si>
    <t>3 campañas: 2 meses inicio, 8 meses funcionamiento, 2 meses finales</t>
  </si>
  <si>
    <t>Diseño campañas</t>
  </si>
  <si>
    <t>Profesionales</t>
  </si>
  <si>
    <t>Ejecución campañas</t>
  </si>
  <si>
    <t>Costo puestos de trabajo profesionales</t>
  </si>
  <si>
    <t>Incluído en ejemplo base señalado</t>
  </si>
  <si>
    <t xml:space="preserve">https://www.portaltransparencia.cl/PortalPdT/directorio-de-organismos-regulados/?org=AG001 </t>
  </si>
  <si>
    <t>ALTO IMPACTO</t>
  </si>
  <si>
    <t>Rango de precios: $80.000.000 a $250.000.000.</t>
  </si>
  <si>
    <t>$100.000 a $400.000</t>
  </si>
  <si>
    <t>Incluído en costo de desarrollo de funcionalidades web</t>
  </si>
  <si>
    <t>$300.000 a $900.000</t>
  </si>
  <si>
    <t>Pago mensual, rango de precios para servicios. Máximo corresponde a estándar similar Amazon, Google Cloud, Microsoft Azure.</t>
  </si>
  <si>
    <t>Commujnity Manager Contraloría General de la República, abril 2019</t>
  </si>
  <si>
    <t>https://www.contraloria.cl/web/cgr/dotacion-de-personal#_48_INSTANCE_p5J3Jefh7a0e_%252525253DFuncionarios.do%25252525253Fmethod%25252525253Dbegin%2525253D%25252526_48_INSTANCE_p5J3Jefh7a0e_%2525253DFuncionarios.do%252525253Fmethod%252525253Dbegin%25253D%252526_48_INSTANCE_p5J3Jefh7a0e_%25253DFuncionarios.do%2525253Fmethod%2525253Dbegin%253D%2526_48_INSTANCE_p5J3Jefh7a0e_%253DFuncionarios.do%25253Fmethod%25253Dbegin%3D%26_48_INSTANCE_p5J3Jefh7a0e_%3DFuncionarios.do%253Fmethod%253Ddetalle</t>
  </si>
  <si>
    <t>Pago por única vez</t>
  </si>
  <si>
    <t>Integración de aplicación MINVU Conecta (UF 3.096)</t>
  </si>
  <si>
    <t>Desarrollo y puesta en marcha aplicación móvil Chile Destino Turístico SERNATUR</t>
  </si>
  <si>
    <t xml:space="preserve">https://www.mercadopublico.cl/CMII/Tienda/frm_GCV2_Ficha.aspx?IURL=uPteMZpbYBeM$07dgIQQ$08EFecMSuZM0euS4Z$07cbeFMX_05ohEOMPbeteMZpbYBeM </t>
  </si>
  <si>
    <t xml:space="preserve">https://www.mercadopublico.cl/CMII/Tienda/frm_GCV2_Ficha.aspx?IURL=uPteMZpbYBeM_07zAUAQ_08EFecMSuZM0euS4Z_07cbeFMX$05ohEOMPbeteMZpbYBeM </t>
  </si>
  <si>
    <t>Incluído en Desarrollo Aplicación</t>
  </si>
  <si>
    <t>ALTERNATIVA ÚNICA</t>
  </si>
  <si>
    <t>DURACIÓN</t>
  </si>
  <si>
    <t>Servicio Hosting (MENSUAL)</t>
  </si>
  <si>
    <t>Servicio Almacenamiento (MENSUAL)</t>
  </si>
  <si>
    <t>Desarrollo aplicación móvil (ÚNICA VEZ)</t>
  </si>
  <si>
    <t>Integración plataforma web participación ciudadana (ÚNICA VEZ)</t>
  </si>
  <si>
    <t>Costo medidas seleccionadas (millones de pesos) 2</t>
  </si>
  <si>
    <t>2/ Se utiliza para simplificación valor aproximado de Unidad de Fomento a la fecha, $30.000.</t>
  </si>
  <si>
    <t>Chofer</t>
  </si>
  <si>
    <t>Vehículo</t>
  </si>
  <si>
    <t>Valor entregado por cotizaciones particulares empresas con despliegue territorial</t>
  </si>
  <si>
    <t>Pago diario. Modalidad honorarios</t>
  </si>
  <si>
    <t xml:space="preserve">Consulta Web Compañía TUR-BUS, 30/06/2021, 15:00hrs. https://new.turbus.cl/turbuscl/inicio-compra </t>
  </si>
  <si>
    <t>TOTAL ALTERNATIVA INFRAESTRUCTURA PAGA</t>
  </si>
  <si>
    <t>TOTAL ALTERNATIVA INFRAESTRUCTURA GRATIS</t>
  </si>
  <si>
    <t>Presupuestos Participación Ciudadana en Convención Constituyente</t>
  </si>
  <si>
    <t>SIN PRESENCIA CONVENCIONALES</t>
  </si>
  <si>
    <t>SIN PARTICIPACIÓN TERRITORIAL</t>
  </si>
  <si>
    <t>ALT. CONSERVADORA (INFRA. PAGA)</t>
  </si>
  <si>
    <t>ALT. CONSERVADORA (INFRA. GRATIS)</t>
  </si>
  <si>
    <t>ALT. MIXTA (INFRA. PAGA)</t>
  </si>
  <si>
    <t>ALT. MIXTA (INFRA. GRATIS)</t>
  </si>
  <si>
    <t>ALT. AMBICIOSA (INFRA. PAGA)</t>
  </si>
  <si>
    <t>ALT. AMBICIOSA (INFRA. GRATIS)</t>
  </si>
  <si>
    <t>ALT. CONSERVADORA</t>
  </si>
  <si>
    <t>ALT. MIXTA</t>
  </si>
  <si>
    <t>ALT. AMBICIOSA</t>
  </si>
  <si>
    <t>SIN PLATAFORMA WEB</t>
  </si>
  <si>
    <t>SIN APP PARTICIPACIÓN</t>
  </si>
  <si>
    <t>SIN EQUIPO SEGUIMIENTO</t>
  </si>
  <si>
    <t>SIN CAMPAÑA COMUNICACIONAL</t>
  </si>
  <si>
    <t>SIN SESIONES CONVENCIÓN EN REGIONES</t>
  </si>
  <si>
    <t>5 CONSTITUYENTES EN VAN DESDE AEROPUERTOS (SIN ALOJAMIENTO EN RM, V y VI)</t>
  </si>
  <si>
    <t>2 rurales, 5 urbanas</t>
  </si>
  <si>
    <t>5 rurales, 10 urbanas</t>
  </si>
  <si>
    <t>Costo variable por participantes</t>
  </si>
  <si>
    <t>Variable (1 día por jornada)</t>
  </si>
  <si>
    <t>CONSERVADORA</t>
  </si>
  <si>
    <t>MIX ENTRE AMBAS</t>
  </si>
  <si>
    <t>AMBICIOSA</t>
  </si>
  <si>
    <t>Comunas a realizar</t>
  </si>
  <si>
    <t>HH equivalentes a 2 semanas de trabajo del equipo de sistematización</t>
  </si>
  <si>
    <t>Ilimitada</t>
  </si>
  <si>
    <t>Componentes Personas (Subítulo 21)</t>
  </si>
  <si>
    <t>Jefe de Estudios</t>
  </si>
  <si>
    <t>Analista Senior</t>
  </si>
  <si>
    <t>Analista Junior</t>
  </si>
  <si>
    <t>Bienes y Servicios de Consumo (Subtítulo 22)</t>
  </si>
  <si>
    <t>Adquisición de activos no financieros (Subtítulo 29)</t>
  </si>
  <si>
    <t>TABLA ESQUEMATIZADA</t>
  </si>
  <si>
    <t>del total del costo de la campaña global. ejemplo Paso a Paso</t>
  </si>
  <si>
    <t>ALT. CONSERVADORA (INFRA PAGA)</t>
  </si>
  <si>
    <t>ALT. CONSERVADORA (INFRA GRATIS)</t>
  </si>
  <si>
    <t>ALT. MIXTA (INGRA PAGA)</t>
  </si>
  <si>
    <t>ALT. MIXTA (INGRA GRATIS)</t>
  </si>
  <si>
    <t>ALT. AMBICIOSA (INFRA PAGA)</t>
  </si>
  <si>
    <t>PRESENCIA TERRITORIAL (LOGISTICA)</t>
  </si>
  <si>
    <t>Participación en el Total</t>
  </si>
  <si>
    <t>PLATAFORMA WEB</t>
  </si>
  <si>
    <t>APP PARTICIPACIÓN</t>
  </si>
  <si>
    <t>SISTEMATIZACIÓN Y ANÁLISIS</t>
  </si>
  <si>
    <t>CAMPAÑA COMUNICACIONAL</t>
  </si>
  <si>
    <t>SESIONES CONVENCIÓN CONSTITUYENTE EN REGIONES</t>
  </si>
  <si>
    <t>PRESENCIA TERRITORIAL (PARTICIPACIÓN CONSTITUYENTES)</t>
  </si>
  <si>
    <t>TOTAL COSTEO</t>
  </si>
  <si>
    <t>PARTICIPACIÓN TERRITORIAL</t>
  </si>
  <si>
    <t>APLICACIÓN MÓVIL PARA PARTICIPACIÓN</t>
  </si>
  <si>
    <t>EQUIPO DE SISTEMATIZACIÓN Y ANÁLISIS</t>
  </si>
  <si>
    <t>SESIONES CONVENCIÓN EN REGIONES</t>
  </si>
  <si>
    <t>ÍNDICE PLANILLA COSTEO PROPUESTAS PARTICIPACIÓN CIUDADANA CONVENCIÓN CONSTITUYENTE</t>
  </si>
  <si>
    <t>Sistematiza todas las alternativas de costeo de cada una de las propuestas de acciones, pudiendo realizar todas las combinaciones posibles entre ellas. Muestra análisis gráfico y estadística asociada a cada opción escogida.</t>
  </si>
  <si>
    <t>Valoriza alternativas para propuesta de desarrollo de plataforma web con enfasis particular en acciones de participación ciudadana. Costeo depende de variables técnicas tales como Servicio de Hosting, Almacenamiento, Soporte, Mantención, Diseño Gráfico y Desarrollo Web, entre otros.</t>
  </si>
  <si>
    <t>Valoriza una alternativa de desarrollo de aplicación móvil que cuente con compatibilidad de integración con la plataforma web señalada anteriormente</t>
  </si>
  <si>
    <t>Cuantifica opciones de conformación de un equipo de profesionales a cargo de la sistematización y análisis de las distintas instancias de participación de participación ciudadana a desarrollar. Para ello, se ocupan comparativas de instituciones públicas existentes y se sensibilizan en cuánto a su composición.</t>
  </si>
  <si>
    <t>Valoriza de modo aproximado una propuesta de implementación de campaña comunicacional multiplataforma a lo largo del país y durante el desarrollo de la Convención Constituyente, distinguiendo entre sus distintas etapas. Se sensibiliza el grado de impacto deseado en medios utilizando parámetros públicos conocidos.</t>
  </si>
  <si>
    <t>Cuantifica los recursos involucrados en una propuesta de despliegue territorial de la totalidad de la Convención Constituyente a lo largo del país. Las alternativas difieren en su periodicidad.</t>
  </si>
  <si>
    <t>millones.</t>
  </si>
  <si>
    <t>Del valor Subtítulo 29 total mensual. Estimación Informes Financieros creación nuevos servicios públicos</t>
  </si>
  <si>
    <t>Curso E-Learning, menor costo, Servicios de Capacitación y Formación modalidad B-learning y E-learning. Costo equivalente a 2 jornadas.</t>
  </si>
  <si>
    <t>MAX</t>
  </si>
  <si>
    <t>MIN</t>
  </si>
  <si>
    <t>ALT. AMBICIOSA (INFRA GRATIS )</t>
  </si>
  <si>
    <t>VARIABLES /ALTERNATIVAS</t>
  </si>
  <si>
    <t>Costos asociados labores profesionales</t>
  </si>
  <si>
    <t>22% gasto en personal (profesional junior y senior)</t>
  </si>
  <si>
    <t>Costo fijo mensual por 12 meses</t>
  </si>
  <si>
    <t>INSUMOS PARTICIPACIÓN TERRITORIAL</t>
  </si>
  <si>
    <t>INSUMOS PLATAFORMA WEB</t>
  </si>
  <si>
    <r>
      <t>Funcionalidades (</t>
    </r>
    <r>
      <rPr>
        <b/>
        <sz val="11"/>
        <color rgb="FFFF0000"/>
        <rFont val="Calibri"/>
        <family val="2"/>
        <scheme val="minor"/>
      </rPr>
      <t>desarrollo</t>
    </r>
    <r>
      <rPr>
        <b/>
        <sz val="11"/>
        <color theme="1"/>
        <rFont val="Calibri"/>
        <family val="2"/>
        <scheme val="minor"/>
      </rPr>
      <t xml:space="preserve"> web)</t>
    </r>
  </si>
  <si>
    <t>Contiene la información para definir las alternativas de costeo de la Plataforma Web, cumpliendo en todos los casos con las funcionalidades solicitadas. Dentro de ella se encuentra: Desarrollo web funcionalidades, Diseño gráfico de la plataforma, Costos operacionales (Hosting, Almacenamiento, Mantención y Soporte) y Equipo de Comunicaciones (Community manager).</t>
  </si>
  <si>
    <t>INSUMOS APLICACIÓN MÓVIL PARA PARTICIPACIÓN</t>
  </si>
  <si>
    <t xml:space="preserve">Contiene la información para definir una alternativa de costeo para la Aplicación Móvil para Participación Ciudadana, basada en información de desarrollos similares, que a su vez cumplan con las funcionalidades solicitadas. </t>
  </si>
  <si>
    <t>INSUMOS EQUIPO DE SISTEMATIZACIÓN Y ANÁLISIS</t>
  </si>
  <si>
    <r>
      <t xml:space="preserve">La presente planilla tiene por objetivo sistematizar el costeo de un conjunto de acciones y mecanismos de participación ciudadana con elementos de inclusión y transparencia que la Convención Constitucional podría decidir implementar parcial o totalmente. Para ello, se </t>
    </r>
    <r>
      <rPr>
        <b/>
        <sz val="12"/>
        <color rgb="FF000000"/>
        <rFont val="Calibri"/>
        <family val="2"/>
        <scheme val="minor"/>
      </rPr>
      <t xml:space="preserve">sistematizan diferentes acciones </t>
    </r>
    <r>
      <rPr>
        <sz val="12"/>
        <color rgb="FF000000"/>
        <rFont val="Calibri"/>
        <family val="2"/>
        <scheme val="minor"/>
      </rPr>
      <t>(</t>
    </r>
    <r>
      <rPr>
        <b/>
        <sz val="12"/>
        <color rgb="FF000000"/>
        <rFont val="Calibri"/>
        <family val="2"/>
        <scheme val="minor"/>
      </rPr>
      <t>Participación Territorial, Plataforma Web, Aplicación Móvil, Equipo de Sistematización, Campaña Comunicacional y Sesiones de la convención Constituyente en regiones</t>
    </r>
    <r>
      <rPr>
        <sz val="12"/>
        <color rgb="FF000000"/>
        <rFont val="Calibri"/>
        <family val="2"/>
        <scheme val="minor"/>
      </rPr>
      <t>). A su vez, esto dependerá de su despliegue deseado</t>
    </r>
    <r>
      <rPr>
        <b/>
        <sz val="12"/>
        <color rgb="FF000000"/>
        <rFont val="Calibri"/>
        <family val="2"/>
        <scheme val="minor"/>
      </rPr>
      <t xml:space="preserve"> </t>
    </r>
    <r>
      <rPr>
        <sz val="12"/>
        <color rgb="FF000000"/>
        <rFont val="Calibri"/>
        <family val="2"/>
        <scheme val="minor"/>
      </rPr>
      <t>(</t>
    </r>
    <r>
      <rPr>
        <b/>
        <sz val="12"/>
        <color rgb="FF000000"/>
        <rFont val="Calibri"/>
        <family val="2"/>
        <scheme val="minor"/>
      </rPr>
      <t>alternativas: Conservadora, Mixta y Ambiciosa</t>
    </r>
    <r>
      <rPr>
        <sz val="12"/>
        <color rgb="FF000000"/>
        <rFont val="Calibri"/>
        <family val="2"/>
        <scheme val="minor"/>
      </rPr>
      <t xml:space="preserve">) en cada una de ellas. Finalmente, se deja un </t>
    </r>
    <r>
      <rPr>
        <b/>
        <sz val="12"/>
        <color rgb="FF000000"/>
        <rFont val="Calibri"/>
        <family val="2"/>
        <scheme val="minor"/>
      </rPr>
      <t xml:space="preserve">registro explicito sobre la información utilizada </t>
    </r>
    <r>
      <rPr>
        <sz val="12"/>
        <color rgb="FF000000"/>
        <rFont val="Calibri"/>
        <family val="2"/>
        <scheme val="minor"/>
      </rPr>
      <t>(</t>
    </r>
    <r>
      <rPr>
        <b/>
        <sz val="12"/>
        <color rgb="FF000000"/>
        <rFont val="Calibri"/>
        <family val="2"/>
        <scheme val="minor"/>
      </rPr>
      <t>insumos</t>
    </r>
    <r>
      <rPr>
        <sz val="12"/>
        <color rgb="FF000000"/>
        <rFont val="Calibri"/>
        <family val="2"/>
        <scheme val="minor"/>
      </rPr>
      <t>) para realizar operativamente el costeo. Es así como dentro del documento se encuentran los siguientes apartados:</t>
    </r>
  </si>
  <si>
    <t>INSUMOS CAMPAÑA COMUNICACIONAL</t>
  </si>
  <si>
    <t>Contiene los parámetros para definir las alternativas de costeo de la Campaña Comunicacional. Dentro de ella se encuentra: Costo campaña comunicacional de alto impacto ejemplo y costo profesionales comunicaciones.</t>
  </si>
  <si>
    <t>INSUMOS SESIONES CONVENCIÓN EN REGIONES</t>
  </si>
  <si>
    <t>Contiene los parámetros para definir las alternativas de costeo del despliegue de sesiones de la Convención constituyente en regiones. Dentro de ella se encuentra: Pasajes aéreos y terrestres a todas las capitales regionales, viáticos asociados y costeo servicio de streaming (adquisición y traslado).</t>
  </si>
  <si>
    <t>viii. Servicio Interpretes</t>
  </si>
  <si>
    <t>Lengua de Señas</t>
  </si>
  <si>
    <t>Costo por 2 horas. Red-Apis Ltda. Intérprete Lengua de Señas Chilena on-line PNUD Chile</t>
  </si>
  <si>
    <t>Presupuesto Red - Apis N°20-1488 / 18-11-2020</t>
  </si>
  <si>
    <t>Servicio interpretación simultánea</t>
  </si>
  <si>
    <t>Costo por intérprete. Interpretación simultánea inglés - español - inglés</t>
  </si>
  <si>
    <t>Cotización Jorge Ramírez Jiménez Interprete/traductor</t>
  </si>
  <si>
    <t>L</t>
  </si>
  <si>
    <t>SERVICIOS DE INTERPRETACIÓN</t>
  </si>
  <si>
    <t>Comunas CON ESCAÑOS RESERVADOS</t>
  </si>
  <si>
    <t>Distritos</t>
  </si>
  <si>
    <t>Región</t>
  </si>
  <si>
    <t>Metropolitana</t>
  </si>
  <si>
    <t>Bio bío</t>
  </si>
  <si>
    <t>Araucanía</t>
  </si>
  <si>
    <t>Los Lagos</t>
  </si>
  <si>
    <t>Antofagasta</t>
  </si>
  <si>
    <t>Atacama</t>
  </si>
  <si>
    <t>Coquimbo</t>
  </si>
  <si>
    <t>Valparaíso</t>
  </si>
  <si>
    <t>Los Ríos</t>
  </si>
  <si>
    <t>ANTOFAGASTA, MEJILLONES, SIERRA GORDA, TALTAL, CALAMA, OLLAGUE, SAN PEDRO DE ATACAMA, MARIA ELENA, TOCOPILLA</t>
  </si>
  <si>
    <t>CHAÑARAL, DIEGO DE ALMAGRO, CALDERA, COPIAPO, TIERRA AMARILLA, ALTO DEL CARMEN, FREIRINA, HUASCO, VALLENAR</t>
  </si>
  <si>
    <t>CANELA, ILLAPEL, LOS VILOS, SALAMANCA, ANDACOLLO, COQUIMBO, LA HIGUERA, LA SERENA, PAIGUANO, VICUÑA, COMBARBALA, MONTE PATRIA, OVALLE, PUNITAQUI, RIO HURTADO</t>
  </si>
  <si>
    <t>ISLA DE PASCUA, ALGARROBO, CARTAGENA, EL QUISCO, EL TABO, SAN ANTONIO, SANTO DOMINGO, CONCON, VIÑA DEL MAR, CASABLANCA, JUAN FERNANDEZ, VALPARAISO</t>
  </si>
  <si>
    <t>COLINA, LAMPA, TILTIL, PUDAHUEL, QUILICURA, CERRILLOS, ESTACION CENTRAL, MAIPU</t>
  </si>
  <si>
    <t>CONCHALI, HUECHURABA, RENCA, CERRO NAVIA, INDEPENDENCIA, LO PRADO, QUINTA NORMAL, RECOLETA</t>
  </si>
  <si>
    <t>SANTIAGO, ÑUÑOA, PROVIDENCIA, LA GRANJA, MACUL, SAN JOAQUIN</t>
  </si>
  <si>
    <t>PIRQUE, PUENTE ALTO, SAN JOSE DE MAIPO, LA FLORIDA, LA PINTANA</t>
  </si>
  <si>
    <t>EL BOSQUE, LA CISTERNA, LO ESPEJO, PEDRO AGUIRRE CERDA, SAN MIGUEL, SAN RAMÓN</t>
  </si>
  <si>
    <t>BUIN, CALERA DE TANGO, PAINE, SAN BERNARDO, ALHUE, CURACAVI, MARIA PINTO, MELIPILLA, SAN PEDRO, EL MONTE, ISLA DE MAIPO, PADRE HURTADO, PEÑAFLOR, TALAGANTE</t>
  </si>
  <si>
    <t>HUALPEN, PENCO, TALCAHUANO, TOME, CHIGUAYANTE, CONCEPCIÓN, FLORIDA, CORONEL, HUALQUI, SAN PEDRO DE LA PAZ, SANTA JUANA</t>
  </si>
  <si>
    <t>ARAUCO, CAÑETE, CONTULMO, CURANILAHUE, LEBU, LOS ALAMOS, TIRUA, ALTO BIOBIO, ANTUCO, CABRERO, LAJA, LOS ANGELES, MULCHEN, NACIMIENTO, NEGRETE, QUILACO, QUILLECO, SAN ROSENDO, SANTA BARBARA, TUCAPEL, YUMBEL, LOTA</t>
  </si>
  <si>
    <t>GALVARINO, LAUTARO, MELIPEUCO, PERQUENCO, VILCUN, ANGOL, COLIPÚLLI, CURACAUTIN, ERCILLA, LONQUIMAY, LOS SAUCES, LUMACO, PUREN, RENAICO, TRAIGUEN, VICTORIA</t>
  </si>
  <si>
    <t>PADRE LAS CASAS, TEMUCO, CARAHUE, CHOLCHOL, CUNCO, CURARREHUE, FREIRE, GORBEA, LOCOCHE, NUEVA IMPERIAL, PITRUFQUEN, PUCON, SAAVEDRA, TEODRO SCHMIDT, TOLTEN, VILLARRICA</t>
  </si>
  <si>
    <t>FRESIA, FRUTILLAR, LLANQUIHUE, LOS MUERMOS, PUERTO VARAS, OSORNO, PUERTO OCTAY, PURRANQUE, PUYEHUE, RIO NEGRO, SAN JOSE DE LA COSTA, SAN PABLO</t>
  </si>
  <si>
    <t>ANCUD, CASTRO, CHONCHI, CURACO DE VELEZ, DALCAHUE, PUQUELDON, QUEILEN, QUELLON, QUEMCHI, QUINCHAO, CALBUCO, COCHAMO, MAULLIN, PUERTO MONTT, CHAITEN, FUTALEUFU, HUALAIHUE, PALENA</t>
  </si>
  <si>
    <t>FUTRONO, LA UNION, LAGO RANCO, RIO BUENO, CORRAL, LANCO, LOS LAGOS, MAFIL, MARIQUINA, PAILLACO, PANGUIPULLI, VALDIVIA</t>
  </si>
  <si>
    <t>Ley 21.298 (mayor proporción de población indígena mayor de 18 años de cada distrito, según Censo Oficial del INE 2017)</t>
  </si>
  <si>
    <t>Escaños Reservados</t>
  </si>
  <si>
    <t>Sin Escaños Reservados</t>
  </si>
  <si>
    <t>Costo por jornada</t>
  </si>
  <si>
    <t>En base a información anterior</t>
  </si>
  <si>
    <t>LENGUAJE DE SEÑAS</t>
  </si>
  <si>
    <t>LENGUAS ORIGINARIAS</t>
  </si>
  <si>
    <t>LENGUAJE DE SEÑAS Y TRADUCCIÓN LENGUAS ORIGINARIAS, 1 MONITOR POR REUNIÓN EN CASO LENGUAJE SEÑAS. EN CASO LENGUAS ORIGINARIAS, EN COMUNAS PERTENECIENTES A DISTRITOS QUE TUVIERON ESCAÑOS RESERVADOS A PUEBLOS ORIGINARIOS</t>
  </si>
  <si>
    <t>Analista interprete lenguas originarias</t>
  </si>
  <si>
    <t>Remunaración simil Honorario total bruto (enero 2021), Analista Subdepartamento Estudios, Subdirección de Racionalización y Función Pública, DIPRES</t>
  </si>
  <si>
    <t>Servicios de interpretación</t>
  </si>
  <si>
    <t>1 interprete lenguaje de señas en todas las reuniones + 1 traductor lenguas originarias en comunas pertenecientes a distritos con escaños reservados</t>
  </si>
  <si>
    <t>TOTAL ALT. INFRA PAGA + PRESENCIA CONVENCIONALES</t>
  </si>
  <si>
    <t>TOTAL ALT. INFRA GRATIS + PRESENCIA CONVENCIONALES</t>
  </si>
  <si>
    <t>Analista intérprete lenguas  originarias</t>
  </si>
  <si>
    <t>Valoriza alternativas para propuestas de audiencias públicas organizadas localmente por monitores en todas las comunas del país (346) con presencia opcional de un grupo de constituyentes, realizadas en un tiempo y lugar específico. Las alternativas difieren en cuanto la cantidad de reuniones por tipo de comunas, cantidad de participantes, extensión de jornadas, cantidad de monitores, intérpretes de lenguaje de señas y lenguas originarias y opción de presencialidad de constituyentes, entre otros.</t>
  </si>
  <si>
    <t>Contiene toda la información y parámetros necesarios para definir las alternativas de costeo en la acción Participación Territorial, incluyendo una eventual participación de un grupo de constituyentes. Dentro de ella se encuentra: una descripción cuantitativa de la metodología de clasificación y agrupación territorial, costos viajes aéreos y terrestres, infraestructura, implementos de conferencia, costos de servicios complementarios (coffee break, almuerzos, materiales por reunión), monitores (pago por reunión, sistematización y capacitación), presencia de convencionales (viáticos y traslados), intérpretes de lenguaje de señas y lenguas originarias.</t>
  </si>
  <si>
    <t>Contiene toda la información y parámetros necesarios para definir las alternativas de costeo del Equipo de Sistematización y Análisis. Dentro de ella se encuentra: Costo de equipo (sueldos Jefe de Estudios, profesionales senior y junior y un intérprete/traductor de lenguas originarias de manera permanente) y Equipamiento (Bienes y Servicios de Consumo y Adquisición de activos no financieros).</t>
  </si>
  <si>
    <t>Urbanidad</t>
  </si>
  <si>
    <t>Tiempo al aeropuerto más cercano</t>
  </si>
  <si>
    <t>Clasificación</t>
  </si>
  <si>
    <t>Número de comunas</t>
  </si>
  <si>
    <t>SUMA TOTAL ALTERNATIVAS</t>
  </si>
  <si>
    <t xml:space="preserve"> Menos de 2:00:00</t>
  </si>
  <si>
    <t>Más de 2:00:00</t>
  </si>
  <si>
    <t>TOTAL ALTERNATIVA INFRAESTRUCTURA GRATIS y SIN CATERING</t>
  </si>
  <si>
    <t>TOTAL ALT. INFRA GRATIS Y SIN CATERING +PRES. CONV.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</si>
</sst>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2" formatCode="_ &quot;$&quot;* #,##0_ ;_ &quot;$&quot;* \-#,##0_ ;_ &quot;$&quot;* &quot;-&quot;_ ;_ @_ "/>
    <numFmt numFmtId="41" formatCode="_ * #,##0_ ;_ * \-#,##0_ ;_ * &quot;-&quot;_ ;_ @_ "/>
    <numFmt numFmtId="164" formatCode="[$-F800]dddd\,\ mmmm\ dd\,\ yyyy"/>
    <numFmt numFmtId="165" formatCode="&quot;$&quot;#,##0"/>
    <numFmt numFmtId="166" formatCode="0.0"/>
    <numFmt numFmtId="167" formatCode="0.0%"/>
    <numFmt numFmtId="168" formatCode="&quot;$&quot;#,##0.0"/>
  </numFmts>
  <fonts count="24"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0"/>
      <name val="Calibri"/>
      <family val="2"/>
      <scheme val="minor"/>
    </font>
    <font>
      <sz val="11"/>
      <color rgb="FFFF0000"/>
      <name val="Calibri"/>
      <family val="2"/>
      <scheme val="minor"/>
    </font>
    <font>
      <sz val="10"/>
      <color theme="1"/>
      <name val="Calibri"/>
      <family val="2"/>
      <scheme val="minor"/>
    </font>
    <font>
      <u/>
      <sz val="8"/>
      <color theme="10"/>
      <name val="Calibri"/>
      <family val="2"/>
      <scheme val="minor"/>
    </font>
    <font>
      <sz val="8"/>
      <color theme="1"/>
      <name val="Calibri"/>
      <family val="2"/>
      <scheme val="minor"/>
    </font>
    <font>
      <b/>
      <sz val="11"/>
      <color theme="1" tint="0.499984740745262"/>
      <name val="Calibri"/>
      <family val="2"/>
      <scheme val="minor"/>
    </font>
    <font>
      <b/>
      <sz val="11"/>
      <color rgb="FFFF0000"/>
      <name val="Calibri"/>
      <family val="2"/>
      <scheme val="minor"/>
    </font>
    <font>
      <b/>
      <sz val="14"/>
      <color rgb="FFFF0000"/>
      <name val="Calibri"/>
      <family val="2"/>
      <scheme val="minor"/>
    </font>
    <font>
      <b/>
      <sz val="11"/>
      <color theme="9" tint="-0.249977111117893"/>
      <name val="Calibri"/>
      <family val="2"/>
      <scheme val="minor"/>
    </font>
    <font>
      <sz val="11"/>
      <color theme="0"/>
      <name val="Calibri"/>
      <family val="2"/>
      <scheme val="minor"/>
    </font>
    <font>
      <sz val="9"/>
      <color theme="1"/>
      <name val="Calibri"/>
      <family val="2"/>
      <scheme val="minor"/>
    </font>
    <font>
      <sz val="11"/>
      <color theme="1" tint="0.499984740745262"/>
      <name val="Calibri"/>
      <family val="2"/>
      <scheme val="minor"/>
    </font>
    <font>
      <sz val="11"/>
      <name val="Calibri"/>
      <family val="2"/>
      <scheme val="minor"/>
    </font>
    <font>
      <sz val="12"/>
      <color rgb="FF000000"/>
      <name val="Calibri"/>
      <family val="2"/>
      <scheme val="minor"/>
    </font>
    <font>
      <b/>
      <sz val="12"/>
      <color rgb="FF000000"/>
      <name val="Calibri"/>
      <family val="2"/>
      <scheme val="minor"/>
    </font>
    <font>
      <b/>
      <u/>
      <sz val="11"/>
      <color theme="10"/>
      <name val="Calibri"/>
      <family val="2"/>
      <scheme val="minor"/>
    </font>
    <font>
      <b/>
      <sz val="14"/>
      <color theme="0"/>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A5A5A5"/>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499984740745262"/>
        <bgColor indexed="64"/>
      </patternFill>
    </fill>
  </fills>
  <borders count="2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theme="9" tint="0.39997558519241921"/>
      </right>
      <top style="thin">
        <color theme="9" tint="0.39997558519241921"/>
      </top>
      <bottom style="thin">
        <color theme="9"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8">
    <xf numFmtId="0" fontId="0" fillId="0" borderId="0"/>
    <xf numFmtId="0" fontId="3" fillId="0" borderId="0" applyNumberForma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0" fontId="5" fillId="4" borderId="0" applyNumberFormat="0" applyBorder="0" applyAlignment="0" applyProtection="0"/>
    <xf numFmtId="0" fontId="6" fillId="5" borderId="0" applyNumberFormat="0" applyBorder="0" applyAlignment="0" applyProtection="0"/>
    <xf numFmtId="0" fontId="7" fillId="6" borderId="10" applyNumberFormat="0" applyAlignment="0" applyProtection="0"/>
    <xf numFmtId="9" fontId="4" fillId="0" borderId="0" applyFont="0" applyFill="0" applyBorder="0" applyAlignment="0" applyProtection="0"/>
  </cellStyleXfs>
  <cellXfs count="326">
    <xf numFmtId="0" fontId="0" fillId="0" borderId="0" xfId="0"/>
    <xf numFmtId="0" fontId="0" fillId="0" borderId="0" xfId="0" applyAlignment="1">
      <alignment horizontal="center"/>
    </xf>
    <xf numFmtId="164" fontId="0" fillId="0" borderId="0" xfId="0" applyNumberFormat="1" applyAlignment="1">
      <alignment horizontal="left"/>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xf>
    <xf numFmtId="0" fontId="0" fillId="0" borderId="0" xfId="0" applyAlignment="1">
      <alignment horizontal="left"/>
    </xf>
    <xf numFmtId="0" fontId="0" fillId="0" borderId="0" xfId="0" applyFont="1" applyAlignment="1">
      <alignment horizontal="center"/>
    </xf>
    <xf numFmtId="0" fontId="0" fillId="0" borderId="0" xfId="0" applyAlignment="1">
      <alignment horizontal="left" indent="1"/>
    </xf>
    <xf numFmtId="0" fontId="0" fillId="0" borderId="0" xfId="0" applyAlignment="1">
      <alignment horizontal="left" indent="2"/>
    </xf>
    <xf numFmtId="0" fontId="0" fillId="2" borderId="0" xfId="0" applyFill="1"/>
    <xf numFmtId="0" fontId="0" fillId="0" borderId="0" xfId="0" applyFill="1" applyAlignment="1">
      <alignment horizontal="left"/>
    </xf>
    <xf numFmtId="0" fontId="0" fillId="0" borderId="0" xfId="0" applyFill="1"/>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 xfId="0" applyBorder="1" applyAlignment="1">
      <alignment horizontal="right"/>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right"/>
    </xf>
    <xf numFmtId="0" fontId="0" fillId="0" borderId="5" xfId="0" applyBorder="1" applyAlignment="1">
      <alignment horizontal="right"/>
    </xf>
    <xf numFmtId="0" fontId="0" fillId="0" borderId="0" xfId="0" applyFill="1" applyAlignment="1">
      <alignment horizontal="left" indent="2"/>
    </xf>
    <xf numFmtId="0" fontId="1" fillId="0" borderId="0" xfId="0" applyFont="1" applyAlignment="1">
      <alignment horizontal="center"/>
    </xf>
    <xf numFmtId="0" fontId="1" fillId="3" borderId="0" xfId="0" applyFont="1" applyFill="1" applyAlignment="1">
      <alignment horizontal="center"/>
    </xf>
    <xf numFmtId="0" fontId="0" fillId="3" borderId="0" xfId="0" applyFill="1"/>
    <xf numFmtId="0" fontId="0" fillId="0" borderId="0" xfId="0" applyBorder="1" applyAlignment="1">
      <alignment horizontal="right"/>
    </xf>
    <xf numFmtId="0" fontId="0" fillId="0" borderId="0" xfId="0" applyBorder="1" applyAlignment="1">
      <alignment horizontal="center"/>
    </xf>
    <xf numFmtId="0" fontId="0" fillId="0" borderId="0" xfId="0" applyBorder="1" applyAlignment="1">
      <alignment horizontal="left"/>
    </xf>
    <xf numFmtId="0" fontId="0" fillId="0" borderId="7"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0" fontId="1" fillId="0" borderId="0" xfId="0" applyFont="1" applyAlignment="1">
      <alignment horizontal="center"/>
    </xf>
    <xf numFmtId="165" fontId="0" fillId="0" borderId="0" xfId="0" applyNumberFormat="1"/>
    <xf numFmtId="165" fontId="0" fillId="0" borderId="0" xfId="0" applyNumberFormat="1" applyAlignment="1">
      <alignment horizontal="center"/>
    </xf>
    <xf numFmtId="0" fontId="1" fillId="0" borderId="0" xfId="0" applyFont="1" applyAlignment="1"/>
    <xf numFmtId="165" fontId="1" fillId="0" borderId="0" xfId="0" applyNumberFormat="1" applyFont="1" applyAlignment="1">
      <alignment horizontal="center"/>
    </xf>
    <xf numFmtId="165" fontId="1" fillId="0" borderId="0" xfId="0" applyNumberFormat="1" applyFont="1" applyAlignment="1">
      <alignment horizontal="left"/>
    </xf>
    <xf numFmtId="42" fontId="0" fillId="0" borderId="0" xfId="3" applyFont="1"/>
    <xf numFmtId="165" fontId="0" fillId="0" borderId="0" xfId="3" applyNumberFormat="1" applyFont="1"/>
    <xf numFmtId="0" fontId="1" fillId="3" borderId="0" xfId="0" applyFont="1" applyFill="1"/>
    <xf numFmtId="0" fontId="0" fillId="0" borderId="0" xfId="0" applyAlignment="1">
      <alignment horizontal="center"/>
    </xf>
    <xf numFmtId="165" fontId="0" fillId="0" borderId="0" xfId="0" applyNumberFormat="1" applyAlignment="1">
      <alignment vertical="center"/>
    </xf>
    <xf numFmtId="0" fontId="0" fillId="0" borderId="0" xfId="0" applyAlignment="1">
      <alignment horizontal="right"/>
    </xf>
    <xf numFmtId="0" fontId="0" fillId="0" borderId="4" xfId="0" applyBorder="1" applyAlignment="1"/>
    <xf numFmtId="0" fontId="0" fillId="0" borderId="0" xfId="0" applyBorder="1" applyAlignment="1">
      <alignment horizontal="center"/>
    </xf>
    <xf numFmtId="0" fontId="0" fillId="3" borderId="0" xfId="0" applyFill="1" applyAlignment="1">
      <alignment horizontal="center"/>
    </xf>
    <xf numFmtId="0" fontId="0" fillId="0" borderId="0" xfId="0" applyFill="1" applyAlignment="1">
      <alignment horizontal="center"/>
    </xf>
    <xf numFmtId="0" fontId="1" fillId="0" borderId="1" xfId="0" applyFont="1" applyBorder="1"/>
    <xf numFmtId="0" fontId="1" fillId="0" borderId="3" xfId="0" applyFont="1" applyBorder="1"/>
    <xf numFmtId="0" fontId="1" fillId="0" borderId="5" xfId="0" applyFont="1" applyBorder="1"/>
    <xf numFmtId="0" fontId="1" fillId="0" borderId="14" xfId="0" applyFont="1" applyBorder="1"/>
    <xf numFmtId="0" fontId="1" fillId="0" borderId="16" xfId="0" applyFont="1" applyBorder="1"/>
    <xf numFmtId="0" fontId="0" fillId="0" borderId="11"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3" fontId="1" fillId="0" borderId="0" xfId="0" applyNumberFormat="1" applyFont="1" applyAlignment="1">
      <alignment horizontal="center"/>
    </xf>
    <xf numFmtId="0" fontId="1" fillId="0" borderId="0" xfId="0" applyFont="1" applyFill="1"/>
    <xf numFmtId="0" fontId="1" fillId="0" borderId="0" xfId="0" applyFont="1" applyFill="1" applyAlignment="1">
      <alignment horizontal="center"/>
    </xf>
    <xf numFmtId="0" fontId="0" fillId="0" borderId="0" xfId="0" applyFont="1" applyFill="1"/>
    <xf numFmtId="0" fontId="0" fillId="0" borderId="0" xfId="0" applyFont="1" applyFill="1" applyAlignment="1">
      <alignment horizontal="center"/>
    </xf>
    <xf numFmtId="165" fontId="0" fillId="0" borderId="0" xfId="3" applyNumberFormat="1" applyFont="1" applyAlignment="1">
      <alignment horizontal="center"/>
    </xf>
    <xf numFmtId="0" fontId="1" fillId="0" borderId="0" xfId="0" applyFont="1" applyBorder="1"/>
    <xf numFmtId="0" fontId="1" fillId="0" borderId="0" xfId="0" applyFont="1" applyBorder="1" applyAlignment="1">
      <alignment horizontal="center"/>
    </xf>
    <xf numFmtId="6" fontId="0" fillId="0" borderId="0" xfId="0" applyNumberFormat="1"/>
    <xf numFmtId="6" fontId="0" fillId="0" borderId="0" xfId="0" applyNumberFormat="1" applyAlignment="1">
      <alignment horizontal="center"/>
    </xf>
    <xf numFmtId="6" fontId="0" fillId="0" borderId="0" xfId="0" applyNumberFormat="1" applyAlignment="1">
      <alignment horizontal="center" vertical="center"/>
    </xf>
    <xf numFmtId="0" fontId="3" fillId="0" borderId="0" xfId="1"/>
    <xf numFmtId="0" fontId="0" fillId="0" borderId="1" xfId="0" applyBorder="1"/>
    <xf numFmtId="0" fontId="1" fillId="0" borderId="12" xfId="0" applyFont="1" applyBorder="1"/>
    <xf numFmtId="165" fontId="1" fillId="0" borderId="12" xfId="0" applyNumberFormat="1" applyFont="1" applyBorder="1"/>
    <xf numFmtId="165" fontId="1" fillId="0" borderId="2" xfId="0" applyNumberFormat="1" applyFont="1" applyBorder="1"/>
    <xf numFmtId="0" fontId="0" fillId="0" borderId="5" xfId="0" applyBorder="1"/>
    <xf numFmtId="0" fontId="12" fillId="0" borderId="13" xfId="0" applyFont="1" applyBorder="1"/>
    <xf numFmtId="165" fontId="12" fillId="0" borderId="13" xfId="0" applyNumberFormat="1" applyFont="1" applyBorder="1"/>
    <xf numFmtId="165" fontId="12" fillId="0" borderId="6" xfId="0" applyNumberFormat="1" applyFont="1" applyBorder="1"/>
    <xf numFmtId="0" fontId="0" fillId="0" borderId="7" xfId="0" applyBorder="1"/>
    <xf numFmtId="0" fontId="1" fillId="0" borderId="8" xfId="0" applyFont="1" applyBorder="1"/>
    <xf numFmtId="6" fontId="1" fillId="0" borderId="8" xfId="0" applyNumberFormat="1" applyFont="1" applyBorder="1"/>
    <xf numFmtId="6" fontId="1" fillId="0" borderId="9" xfId="0" applyNumberFormat="1" applyFont="1" applyBorder="1"/>
    <xf numFmtId="165" fontId="1" fillId="7" borderId="8" xfId="0" applyNumberFormat="1" applyFont="1" applyFill="1" applyBorder="1"/>
    <xf numFmtId="165" fontId="1" fillId="7" borderId="9" xfId="0" applyNumberFormat="1" applyFont="1" applyFill="1" applyBorder="1"/>
    <xf numFmtId="0" fontId="1" fillId="0" borderId="0" xfId="0" applyFont="1" applyFill="1" applyAlignment="1">
      <alignment horizontal="left"/>
    </xf>
    <xf numFmtId="0" fontId="13" fillId="0" borderId="0" xfId="0" applyFont="1"/>
    <xf numFmtId="0" fontId="3" fillId="0" borderId="0" xfId="1" applyAlignment="1">
      <alignment vertical="center"/>
    </xf>
    <xf numFmtId="0" fontId="8" fillId="8" borderId="0" xfId="0" applyFont="1" applyFill="1" applyAlignment="1">
      <alignment horizontal="center"/>
    </xf>
    <xf numFmtId="0" fontId="8" fillId="0" borderId="0" xfId="0" applyFont="1" applyAlignment="1">
      <alignment horizontal="center"/>
    </xf>
    <xf numFmtId="0" fontId="6" fillId="5" borderId="0" xfId="5"/>
    <xf numFmtId="0" fontId="11" fillId="0" borderId="0" xfId="0" applyFont="1" applyAlignment="1">
      <alignment horizontal="left"/>
    </xf>
    <xf numFmtId="0" fontId="5" fillId="4" borderId="0" xfId="4"/>
    <xf numFmtId="0" fontId="7" fillId="6" borderId="10" xfId="6"/>
    <xf numFmtId="41" fontId="0" fillId="0" borderId="0" xfId="2" applyFont="1"/>
    <xf numFmtId="0" fontId="13" fillId="0" borderId="13" xfId="0" applyFont="1" applyBorder="1"/>
    <xf numFmtId="0" fontId="0" fillId="0" borderId="13" xfId="0" applyBorder="1"/>
    <xf numFmtId="0" fontId="15" fillId="0" borderId="13" xfId="0" applyFont="1" applyBorder="1"/>
    <xf numFmtId="165" fontId="0" fillId="0" borderId="0" xfId="0" applyNumberFormat="1" applyAlignment="1">
      <alignment horizontal="left"/>
    </xf>
    <xf numFmtId="0" fontId="3" fillId="0" borderId="0" xfId="1" applyFill="1"/>
    <xf numFmtId="165" fontId="0" fillId="0" borderId="0" xfId="0" applyNumberFormat="1" applyFill="1"/>
    <xf numFmtId="0" fontId="5" fillId="2" borderId="0" xfId="4" applyFill="1"/>
    <xf numFmtId="6" fontId="0" fillId="0" borderId="0" xfId="0" applyNumberFormat="1" applyFill="1"/>
    <xf numFmtId="9" fontId="0" fillId="0" borderId="0" xfId="0" applyNumberFormat="1" applyFill="1" applyAlignment="1">
      <alignment horizontal="center"/>
    </xf>
    <xf numFmtId="6" fontId="0" fillId="0" borderId="0" xfId="0" applyNumberFormat="1" applyFill="1" applyAlignment="1">
      <alignment horizontal="center"/>
    </xf>
    <xf numFmtId="166" fontId="0" fillId="0" borderId="0" xfId="0" applyNumberFormat="1" applyAlignment="1">
      <alignment horizontal="center"/>
    </xf>
    <xf numFmtId="9" fontId="11" fillId="0" borderId="0" xfId="0" applyNumberFormat="1" applyFont="1" applyFill="1" applyAlignment="1">
      <alignment horizontal="left"/>
    </xf>
    <xf numFmtId="9" fontId="1" fillId="0" borderId="0" xfId="0" applyNumberFormat="1" applyFont="1" applyFill="1" applyAlignment="1">
      <alignment horizontal="left"/>
    </xf>
    <xf numFmtId="6" fontId="1" fillId="0" borderId="0" xfId="0" applyNumberFormat="1" applyFont="1" applyFill="1" applyAlignment="1">
      <alignment horizontal="center"/>
    </xf>
    <xf numFmtId="1" fontId="0" fillId="0" borderId="0" xfId="0" applyNumberFormat="1" applyFill="1" applyAlignment="1">
      <alignment horizontal="center"/>
    </xf>
    <xf numFmtId="0" fontId="1" fillId="0" borderId="7" xfId="0" applyFont="1" applyBorder="1"/>
    <xf numFmtId="0" fontId="0" fillId="0" borderId="0" xfId="0" applyFont="1" applyBorder="1" applyAlignment="1">
      <alignment horizontal="center"/>
    </xf>
    <xf numFmtId="42" fontId="4" fillId="0" borderId="0" xfId="3" applyFont="1" applyBorder="1"/>
    <xf numFmtId="0" fontId="17" fillId="0" borderId="0" xfId="0" applyFont="1"/>
    <xf numFmtId="9" fontId="0" fillId="0" borderId="0" xfId="0" applyNumberFormat="1" applyAlignment="1">
      <alignment horizontal="center"/>
    </xf>
    <xf numFmtId="165" fontId="0" fillId="0" borderId="0" xfId="0" applyNumberFormat="1" applyAlignment="1">
      <alignment horizontal="right"/>
    </xf>
    <xf numFmtId="167" fontId="0" fillId="0" borderId="0" xfId="7" applyNumberFormat="1" applyFont="1"/>
    <xf numFmtId="10" fontId="0" fillId="0" borderId="0" xfId="7" applyNumberFormat="1" applyFont="1"/>
    <xf numFmtId="0" fontId="1" fillId="0" borderId="0" xfId="0" applyFont="1" applyFill="1" applyBorder="1"/>
    <xf numFmtId="167" fontId="0" fillId="0" borderId="0" xfId="7" applyNumberFormat="1" applyFont="1" applyAlignment="1">
      <alignment horizontal="center"/>
    </xf>
    <xf numFmtId="0" fontId="1" fillId="0" borderId="0" xfId="0" applyFont="1" applyAlignment="1">
      <alignment horizontal="left" vertical="center" wrapText="1"/>
    </xf>
    <xf numFmtId="165" fontId="1" fillId="0" borderId="8" xfId="0" applyNumberFormat="1" applyFont="1" applyFill="1" applyBorder="1" applyAlignment="1">
      <alignment horizontal="center" vertical="center"/>
    </xf>
    <xf numFmtId="165" fontId="1" fillId="0" borderId="9" xfId="0" applyNumberFormat="1" applyFont="1" applyFill="1" applyBorder="1" applyAlignment="1">
      <alignment horizontal="center" vertical="center"/>
    </xf>
    <xf numFmtId="0" fontId="0" fillId="0" borderId="0" xfId="0" applyAlignment="1">
      <alignment horizontal="center" vertical="center" wrapText="1"/>
    </xf>
    <xf numFmtId="42" fontId="0" fillId="0" borderId="0" xfId="0" applyNumberFormat="1"/>
    <xf numFmtId="165" fontId="0" fillId="0" borderId="0" xfId="0" applyNumberFormat="1" applyFont="1" applyAlignment="1">
      <alignment horizontal="center"/>
    </xf>
    <xf numFmtId="0" fontId="0" fillId="0" borderId="0" xfId="0" applyFont="1" applyAlignment="1">
      <alignment horizontal="left"/>
    </xf>
    <xf numFmtId="0" fontId="0" fillId="0" borderId="17" xfId="0" applyBorder="1"/>
    <xf numFmtId="0" fontId="1" fillId="0" borderId="17" xfId="0" applyFont="1" applyBorder="1" applyAlignment="1">
      <alignment horizontal="center"/>
    </xf>
    <xf numFmtId="0" fontId="1" fillId="0" borderId="0" xfId="0" applyFont="1" applyAlignment="1">
      <alignment horizontal="left" indent="1"/>
    </xf>
    <xf numFmtId="0" fontId="3" fillId="0" borderId="0" xfId="1" applyAlignment="1">
      <alignment horizontal="left"/>
    </xf>
    <xf numFmtId="165" fontId="1" fillId="0" borderId="8" xfId="0" applyNumberFormat="1" applyFont="1" applyFill="1" applyBorder="1" applyAlignment="1"/>
    <xf numFmtId="165" fontId="0" fillId="0" borderId="12" xfId="0" applyNumberFormat="1" applyBorder="1" applyAlignment="1">
      <alignment vertical="center"/>
    </xf>
    <xf numFmtId="9" fontId="0" fillId="0" borderId="0" xfId="0" quotePrefix="1" applyNumberFormat="1" applyAlignment="1">
      <alignment horizontal="center"/>
    </xf>
    <xf numFmtId="165" fontId="0" fillId="0" borderId="0" xfId="0" applyNumberFormat="1" applyFill="1" applyAlignment="1">
      <alignment horizontal="center"/>
    </xf>
    <xf numFmtId="0" fontId="3" fillId="0" borderId="0" xfId="1" applyFill="1" applyAlignment="1">
      <alignment horizontal="left"/>
    </xf>
    <xf numFmtId="42" fontId="0" fillId="0" borderId="0" xfId="3" applyFont="1" applyFill="1"/>
    <xf numFmtId="165" fontId="0" fillId="0" borderId="0" xfId="3" applyNumberFormat="1" applyFont="1" applyFill="1"/>
    <xf numFmtId="0" fontId="0" fillId="0" borderId="0" xfId="0" applyBorder="1"/>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0" fillId="0" borderId="0" xfId="0" applyFill="1" applyAlignment="1">
      <alignment horizontal="center" vertical="center"/>
    </xf>
    <xf numFmtId="0" fontId="1" fillId="9" borderId="0" xfId="0" applyFont="1" applyFill="1" applyAlignment="1">
      <alignment vertical="center"/>
    </xf>
    <xf numFmtId="0" fontId="0" fillId="9" borderId="0" xfId="0" applyFill="1" applyAlignment="1">
      <alignment vertical="center"/>
    </xf>
    <xf numFmtId="0" fontId="1" fillId="9" borderId="0" xfId="0" applyFont="1" applyFill="1" applyAlignment="1">
      <alignment horizontal="center" vertical="center"/>
    </xf>
    <xf numFmtId="0" fontId="0" fillId="9" borderId="0" xfId="0" applyFill="1" applyAlignment="1">
      <alignment horizontal="center" vertical="center"/>
    </xf>
    <xf numFmtId="0" fontId="1" fillId="9" borderId="0" xfId="0" applyFont="1" applyFill="1" applyAlignment="1">
      <alignment horizontal="left" vertical="center"/>
    </xf>
    <xf numFmtId="0" fontId="0" fillId="0" borderId="0" xfId="0" applyFont="1" applyAlignment="1">
      <alignment horizontal="left" vertical="center" wrapText="1"/>
    </xf>
    <xf numFmtId="0" fontId="1" fillId="0" borderId="1" xfId="0" applyFont="1" applyBorder="1" applyAlignment="1">
      <alignment horizontal="center" vertical="center"/>
    </xf>
    <xf numFmtId="0" fontId="1" fillId="0" borderId="12" xfId="0" applyFont="1" applyBorder="1" applyAlignment="1">
      <alignment horizontal="left" vertical="center" wrapText="1"/>
    </xf>
    <xf numFmtId="0" fontId="0" fillId="0" borderId="5" xfId="0" applyBorder="1" applyAlignment="1">
      <alignment horizontal="center" vertical="center"/>
    </xf>
    <xf numFmtId="0" fontId="0" fillId="10" borderId="13" xfId="0" applyFill="1" applyBorder="1" applyAlignment="1">
      <alignment horizontal="right" vertical="center"/>
    </xf>
    <xf numFmtId="0" fontId="0" fillId="0" borderId="3" xfId="0" applyBorder="1" applyAlignment="1">
      <alignment horizontal="center" vertical="center"/>
    </xf>
    <xf numFmtId="0" fontId="0" fillId="10" borderId="0" xfId="0" applyFill="1" applyBorder="1" applyAlignment="1">
      <alignment horizontal="right" vertical="center"/>
    </xf>
    <xf numFmtId="168" fontId="0" fillId="0" borderId="13" xfId="0" applyNumberFormat="1" applyBorder="1" applyAlignment="1">
      <alignment horizontal="right" vertical="center"/>
    </xf>
    <xf numFmtId="168" fontId="0" fillId="0" borderId="13" xfId="0" applyNumberFormat="1" applyBorder="1" applyAlignment="1">
      <alignment horizontal="center" vertical="center"/>
    </xf>
    <xf numFmtId="167" fontId="0" fillId="0" borderId="13" xfId="7" applyNumberFormat="1" applyFont="1" applyBorder="1" applyAlignment="1">
      <alignment horizontal="center" vertical="center"/>
    </xf>
    <xf numFmtId="0" fontId="1" fillId="0" borderId="8" xfId="0" applyFont="1" applyBorder="1" applyAlignment="1">
      <alignment horizontal="center" vertical="center" wrapText="1"/>
    </xf>
    <xf numFmtId="0" fontId="0" fillId="9" borderId="7" xfId="0" applyFill="1" applyBorder="1" applyAlignment="1">
      <alignment horizontal="center" vertical="center"/>
    </xf>
    <xf numFmtId="0" fontId="1" fillId="9" borderId="8" xfId="0" applyFont="1" applyFill="1" applyBorder="1" applyAlignment="1">
      <alignment horizontal="center" vertical="center"/>
    </xf>
    <xf numFmtId="168" fontId="1" fillId="9" borderId="8" xfId="0" applyNumberFormat="1" applyFont="1" applyFill="1" applyBorder="1" applyAlignment="1">
      <alignment horizontal="right" vertical="center"/>
    </xf>
    <xf numFmtId="168" fontId="1" fillId="9" borderId="8" xfId="0" applyNumberFormat="1" applyFont="1" applyFill="1" applyBorder="1" applyAlignment="1">
      <alignment horizontal="center" vertical="center"/>
    </xf>
    <xf numFmtId="167" fontId="1" fillId="9" borderId="8" xfId="7" applyNumberFormat="1" applyFont="1" applyFill="1" applyBorder="1" applyAlignment="1">
      <alignment horizontal="center" vertical="center"/>
    </xf>
    <xf numFmtId="0" fontId="12" fillId="0" borderId="9" xfId="0" applyFont="1" applyFill="1" applyBorder="1" applyAlignment="1">
      <alignment horizontal="center" vertical="center" wrapText="1"/>
    </xf>
    <xf numFmtId="167" fontId="12" fillId="9" borderId="9" xfId="7" applyNumberFormat="1" applyFont="1" applyFill="1" applyBorder="1" applyAlignment="1">
      <alignment horizontal="center" vertical="center"/>
    </xf>
    <xf numFmtId="165" fontId="0" fillId="0" borderId="0" xfId="0" applyNumberFormat="1" applyFont="1" applyAlignment="1">
      <alignment vertical="center"/>
    </xf>
    <xf numFmtId="0" fontId="0" fillId="0" borderId="0" xfId="0" applyFont="1" applyFill="1" applyBorder="1"/>
    <xf numFmtId="165" fontId="0" fillId="0" borderId="0" xfId="0" applyNumberFormat="1" applyFont="1"/>
    <xf numFmtId="0" fontId="0" fillId="0" borderId="3" xfId="0" applyBorder="1" applyAlignment="1">
      <alignment horizontal="left"/>
    </xf>
    <xf numFmtId="0" fontId="1" fillId="0" borderId="1" xfId="0" applyFont="1" applyFill="1" applyBorder="1" applyAlignment="1">
      <alignment horizontal="center"/>
    </xf>
    <xf numFmtId="0" fontId="1" fillId="0" borderId="12" xfId="0" applyFont="1" applyFill="1" applyBorder="1" applyAlignment="1">
      <alignment horizontal="center"/>
    </xf>
    <xf numFmtId="0" fontId="1" fillId="0" borderId="2" xfId="0" applyFont="1" applyFill="1" applyBorder="1" applyAlignment="1">
      <alignment horizontal="center"/>
    </xf>
    <xf numFmtId="0" fontId="1" fillId="7" borderId="0" xfId="0" applyFont="1" applyFill="1" applyAlignment="1">
      <alignment horizontal="left"/>
    </xf>
    <xf numFmtId="0" fontId="1" fillId="7" borderId="0" xfId="0" applyFont="1" applyFill="1"/>
    <xf numFmtId="0" fontId="0" fillId="7" borderId="0" xfId="0" applyFill="1"/>
    <xf numFmtId="0" fontId="1" fillId="7" borderId="7" xfId="0" applyFont="1" applyFill="1" applyBorder="1"/>
    <xf numFmtId="0" fontId="0" fillId="7" borderId="8" xfId="0" applyFill="1" applyBorder="1"/>
    <xf numFmtId="0" fontId="19" fillId="0" borderId="0" xfId="0" applyFont="1" applyAlignment="1">
      <alignment horizontal="left"/>
    </xf>
    <xf numFmtId="165" fontId="1" fillId="7" borderId="8" xfId="0" applyNumberFormat="1" applyFont="1" applyFill="1" applyBorder="1" applyAlignment="1">
      <alignment horizontal="center"/>
    </xf>
    <xf numFmtId="165" fontId="1" fillId="7" borderId="9" xfId="0" applyNumberFormat="1" applyFont="1" applyFill="1" applyBorder="1" applyAlignment="1">
      <alignment horizontal="center"/>
    </xf>
    <xf numFmtId="0" fontId="1" fillId="7" borderId="0" xfId="0" applyFont="1" applyFill="1" applyAlignment="1">
      <alignment horizontal="center"/>
    </xf>
    <xf numFmtId="0" fontId="16" fillId="0" borderId="0" xfId="0" applyFont="1"/>
    <xf numFmtId="0" fontId="2" fillId="11" borderId="0" xfId="0" applyFont="1" applyFill="1"/>
    <xf numFmtId="0" fontId="0" fillId="11" borderId="0" xfId="0" applyFill="1"/>
    <xf numFmtId="0" fontId="2" fillId="11" borderId="0" xfId="0" applyFont="1" applyFill="1" applyAlignment="1">
      <alignment horizontal="left"/>
    </xf>
    <xf numFmtId="0" fontId="0" fillId="11" borderId="0" xfId="0" applyFill="1" applyAlignment="1">
      <alignment horizontal="center"/>
    </xf>
    <xf numFmtId="0" fontId="19" fillId="0" borderId="0" xfId="0" applyFont="1"/>
    <xf numFmtId="0" fontId="1" fillId="0" borderId="0" xfId="0" quotePrefix="1" applyFont="1" applyFill="1" applyAlignment="1">
      <alignment horizontal="left"/>
    </xf>
    <xf numFmtId="167" fontId="18" fillId="0" borderId="6" xfId="7" applyNumberFormat="1" applyFont="1" applyFill="1" applyBorder="1" applyAlignment="1">
      <alignment horizontal="center" vertical="center"/>
    </xf>
    <xf numFmtId="0" fontId="0" fillId="0" borderId="3"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3" xfId="0" applyFill="1" applyBorder="1" applyAlignment="1">
      <alignment horizontal="center"/>
    </xf>
    <xf numFmtId="0" fontId="0" fillId="0" borderId="0" xfId="0" applyFill="1" applyBorder="1" applyAlignment="1">
      <alignment horizontal="center"/>
    </xf>
    <xf numFmtId="0" fontId="0" fillId="0" borderId="4" xfId="0" applyFill="1" applyBorder="1" applyAlignment="1">
      <alignment horizontal="center"/>
    </xf>
    <xf numFmtId="0" fontId="1" fillId="0" borderId="0" xfId="0" applyFont="1" applyAlignment="1">
      <alignment horizontal="center"/>
    </xf>
    <xf numFmtId="0" fontId="0" fillId="0" borderId="0" xfId="0" applyAlignment="1">
      <alignment horizontal="center"/>
    </xf>
    <xf numFmtId="0" fontId="0" fillId="3" borderId="0" xfId="0" applyFill="1" applyAlignment="1">
      <alignment horizontal="left" vertical="center"/>
    </xf>
    <xf numFmtId="0" fontId="1" fillId="3" borderId="0" xfId="0" applyFont="1" applyFill="1" applyAlignment="1">
      <alignment horizontal="left" vertical="center"/>
    </xf>
    <xf numFmtId="0" fontId="0" fillId="0" borderId="19" xfId="0" applyFill="1" applyBorder="1"/>
    <xf numFmtId="0" fontId="0" fillId="0" borderId="20" xfId="0" applyFill="1" applyBorder="1" applyAlignment="1">
      <alignment horizontal="center"/>
    </xf>
    <xf numFmtId="0" fontId="0" fillId="0" borderId="22" xfId="0" applyFill="1" applyBorder="1"/>
    <xf numFmtId="0" fontId="0" fillId="0" borderId="23" xfId="0" applyFill="1" applyBorder="1" applyAlignment="1">
      <alignment horizontal="center"/>
    </xf>
    <xf numFmtId="0" fontId="0" fillId="0" borderId="0" xfId="0" applyFill="1" applyBorder="1"/>
    <xf numFmtId="0" fontId="0" fillId="0" borderId="25" xfId="0" applyFill="1" applyBorder="1" applyAlignment="1">
      <alignment horizontal="center"/>
    </xf>
    <xf numFmtId="165" fontId="1" fillId="0" borderId="9" xfId="0" applyNumberFormat="1" applyFont="1" applyFill="1" applyBorder="1" applyAlignment="1"/>
    <xf numFmtId="0" fontId="0" fillId="0" borderId="7" xfId="0" applyFill="1" applyBorder="1"/>
    <xf numFmtId="0" fontId="1" fillId="0" borderId="8" xfId="0" applyFont="1" applyFill="1" applyBorder="1" applyAlignment="1">
      <alignment horizontal="left" vertical="center"/>
    </xf>
    <xf numFmtId="0" fontId="0" fillId="0" borderId="0" xfId="0" applyFont="1" applyFill="1" applyAlignment="1">
      <alignment horizontal="left" vertical="center"/>
    </xf>
    <xf numFmtId="3" fontId="0" fillId="0" borderId="0" xfId="0" applyNumberFormat="1" applyFont="1" applyFill="1" applyAlignment="1">
      <alignment horizontal="center"/>
    </xf>
    <xf numFmtId="0" fontId="1" fillId="0" borderId="1" xfId="0" applyFont="1" applyBorder="1" applyAlignment="1">
      <alignment horizontal="center"/>
    </xf>
    <xf numFmtId="0" fontId="1" fillId="0" borderId="12" xfId="0" applyFont="1" applyBorder="1" applyAlignment="1">
      <alignment horizontal="center"/>
    </xf>
    <xf numFmtId="0" fontId="1" fillId="0" borderId="2" xfId="0" applyFont="1" applyBorder="1" applyAlignment="1">
      <alignment horizontal="center"/>
    </xf>
    <xf numFmtId="0" fontId="0" fillId="0" borderId="1" xfId="0" applyBorder="1" applyAlignment="1">
      <alignment horizontal="left"/>
    </xf>
    <xf numFmtId="0" fontId="0" fillId="0" borderId="12" xfId="0" applyBorder="1" applyAlignment="1">
      <alignment horizontal="center"/>
    </xf>
    <xf numFmtId="0" fontId="0" fillId="0" borderId="5" xfId="0" applyBorder="1" applyAlignment="1">
      <alignment horizontal="left" vertical="center"/>
    </xf>
    <xf numFmtId="0" fontId="1" fillId="0" borderId="0" xfId="0" applyFont="1" applyFill="1" applyBorder="1" applyAlignment="1">
      <alignment horizontal="center"/>
    </xf>
    <xf numFmtId="165" fontId="1" fillId="0" borderId="0" xfId="0" applyNumberFormat="1" applyFont="1" applyFill="1" applyBorder="1"/>
    <xf numFmtId="9" fontId="0" fillId="0" borderId="0" xfId="7" applyNumberFormat="1" applyFont="1"/>
    <xf numFmtId="9" fontId="0" fillId="0" borderId="0" xfId="0" applyNumberFormat="1"/>
    <xf numFmtId="9" fontId="0" fillId="0" borderId="0" xfId="0" applyNumberFormat="1" applyFill="1"/>
    <xf numFmtId="167" fontId="16" fillId="0" borderId="0" xfId="0" applyNumberFormat="1" applyFont="1"/>
    <xf numFmtId="168" fontId="16" fillId="0" borderId="0" xfId="0" applyNumberFormat="1" applyFont="1"/>
    <xf numFmtId="0" fontId="16" fillId="0" borderId="0" xfId="0" applyFont="1" applyAlignment="1">
      <alignment horizontal="center"/>
    </xf>
    <xf numFmtId="1" fontId="0" fillId="0" borderId="0" xfId="0" applyNumberFormat="1"/>
    <xf numFmtId="0" fontId="0" fillId="14" borderId="0" xfId="0" applyFill="1" applyAlignment="1">
      <alignment horizontal="left" vertical="center" wrapText="1"/>
    </xf>
    <xf numFmtId="0" fontId="0" fillId="12" borderId="0" xfId="0" applyFill="1" applyAlignment="1">
      <alignment horizontal="left" vertical="center" wrapText="1"/>
    </xf>
    <xf numFmtId="0" fontId="0" fillId="12" borderId="0" xfId="0" applyFill="1" applyAlignment="1">
      <alignment horizontal="left" vertical="center"/>
    </xf>
    <xf numFmtId="0" fontId="0" fillId="13" borderId="0" xfId="0" applyFill="1" applyAlignment="1">
      <alignment horizontal="left" vertical="center" wrapText="1"/>
    </xf>
    <xf numFmtId="0" fontId="3" fillId="13" borderId="0" xfId="1" applyFont="1" applyFill="1" applyAlignment="1">
      <alignment horizontal="center" vertical="center" wrapText="1"/>
    </xf>
    <xf numFmtId="0" fontId="3" fillId="13" borderId="0" xfId="1" applyFill="1" applyAlignment="1">
      <alignment horizontal="center" vertical="center" wrapText="1"/>
    </xf>
    <xf numFmtId="0" fontId="23" fillId="15" borderId="0" xfId="0" applyFont="1" applyFill="1" applyAlignment="1">
      <alignment horizontal="center" vertical="center"/>
    </xf>
    <xf numFmtId="0" fontId="20" fillId="10" borderId="0" xfId="0" applyFont="1" applyFill="1" applyAlignment="1">
      <alignment horizontal="center" vertical="center" wrapText="1"/>
    </xf>
    <xf numFmtId="0" fontId="22" fillId="12" borderId="0" xfId="1" applyFont="1" applyFill="1" applyAlignment="1">
      <alignment horizontal="center" vertical="center" wrapText="1"/>
    </xf>
    <xf numFmtId="0" fontId="22" fillId="14" borderId="0" xfId="1" applyFont="1" applyFill="1" applyAlignment="1">
      <alignment horizontal="center" vertical="center" wrapText="1"/>
    </xf>
    <xf numFmtId="167" fontId="18" fillId="0" borderId="2" xfId="7" applyNumberFormat="1" applyFont="1" applyFill="1" applyBorder="1" applyAlignment="1">
      <alignment horizontal="center" vertical="center"/>
    </xf>
    <xf numFmtId="167" fontId="18" fillId="0" borderId="4" xfId="7" applyNumberFormat="1" applyFont="1" applyFill="1" applyBorder="1" applyAlignment="1">
      <alignment horizontal="center" vertical="center"/>
    </xf>
    <xf numFmtId="167" fontId="18" fillId="0" borderId="6" xfId="7" applyNumberFormat="1" applyFont="1" applyFill="1" applyBorder="1" applyAlignment="1">
      <alignment horizontal="center" vertical="center"/>
    </xf>
    <xf numFmtId="168" fontId="0" fillId="0" borderId="12" xfId="0" applyNumberFormat="1" applyBorder="1" applyAlignment="1">
      <alignment horizontal="right" vertical="center"/>
    </xf>
    <xf numFmtId="168" fontId="0" fillId="0" borderId="0" xfId="0" applyNumberFormat="1" applyBorder="1" applyAlignment="1">
      <alignment horizontal="right" vertical="center"/>
    </xf>
    <xf numFmtId="168" fontId="0" fillId="0" borderId="12" xfId="0" applyNumberFormat="1" applyBorder="1" applyAlignment="1">
      <alignment horizontal="center" vertical="center"/>
    </xf>
    <xf numFmtId="168" fontId="0" fillId="0" borderId="0" xfId="0" applyNumberFormat="1" applyBorder="1" applyAlignment="1">
      <alignment horizontal="center" vertical="center"/>
    </xf>
    <xf numFmtId="167" fontId="0" fillId="0" borderId="12" xfId="7" applyNumberFormat="1" applyFont="1" applyBorder="1" applyAlignment="1">
      <alignment horizontal="center" vertical="center"/>
    </xf>
    <xf numFmtId="167" fontId="0" fillId="0" borderId="0" xfId="7" applyNumberFormat="1" applyFont="1" applyBorder="1" applyAlignment="1">
      <alignment horizontal="center" vertical="center"/>
    </xf>
    <xf numFmtId="168" fontId="0" fillId="0" borderId="13" xfId="0" applyNumberFormat="1" applyBorder="1" applyAlignment="1">
      <alignment horizontal="right" vertical="center"/>
    </xf>
    <xf numFmtId="0" fontId="0" fillId="0" borderId="13" xfId="0" applyBorder="1" applyAlignment="1">
      <alignment horizontal="center" vertical="center"/>
    </xf>
    <xf numFmtId="167" fontId="0" fillId="0" borderId="13" xfId="7" applyNumberFormat="1" applyFont="1" applyBorder="1" applyAlignment="1">
      <alignment horizontal="center" vertical="center"/>
    </xf>
    <xf numFmtId="0" fontId="1" fillId="7" borderId="7" xfId="0" applyFont="1" applyFill="1" applyBorder="1" applyAlignment="1">
      <alignment horizontal="center"/>
    </xf>
    <xf numFmtId="0" fontId="1" fillId="7" borderId="8" xfId="0" applyFont="1" applyFill="1"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3" xfId="0" applyFill="1" applyBorder="1" applyAlignment="1">
      <alignment horizontal="center"/>
    </xf>
    <xf numFmtId="0" fontId="0" fillId="0" borderId="0" xfId="0" applyFill="1" applyBorder="1" applyAlignment="1">
      <alignment horizontal="center"/>
    </xf>
    <xf numFmtId="0" fontId="0" fillId="0" borderId="4" xfId="0" applyFill="1" applyBorder="1" applyAlignment="1">
      <alignment horizontal="center"/>
    </xf>
    <xf numFmtId="0" fontId="1" fillId="0" borderId="4" xfId="0" applyFont="1" applyBorder="1" applyAlignment="1">
      <alignment horizontal="center" vertical="center"/>
    </xf>
    <xf numFmtId="0" fontId="1" fillId="3" borderId="0" xfId="0" applyFont="1" applyFill="1" applyAlignment="1">
      <alignment horizontal="center"/>
    </xf>
    <xf numFmtId="0" fontId="0" fillId="0" borderId="12" xfId="0" applyBorder="1" applyAlignment="1">
      <alignment horizontal="left" vertical="center"/>
    </xf>
    <xf numFmtId="0" fontId="0" fillId="0" borderId="0" xfId="0" applyBorder="1" applyAlignment="1">
      <alignment horizontal="left" vertical="center"/>
    </xf>
    <xf numFmtId="0" fontId="1" fillId="3" borderId="0" xfId="0" applyFont="1" applyFill="1" applyAlignment="1">
      <alignment horizontal="center" vertical="center" wrapText="1"/>
    </xf>
    <xf numFmtId="0" fontId="0" fillId="0" borderId="5" xfId="0" applyFill="1" applyBorder="1" applyAlignment="1">
      <alignment horizontal="center" wrapText="1"/>
    </xf>
    <xf numFmtId="0" fontId="0" fillId="0" borderId="13" xfId="0" applyFill="1" applyBorder="1" applyAlignment="1">
      <alignment horizontal="center" wrapText="1"/>
    </xf>
    <xf numFmtId="0" fontId="0" fillId="0" borderId="6" xfId="0" applyFill="1" applyBorder="1" applyAlignment="1">
      <alignment horizontal="center" wrapText="1"/>
    </xf>
    <xf numFmtId="0" fontId="0" fillId="0" borderId="18" xfId="0" applyFill="1" applyBorder="1" applyAlignment="1">
      <alignment horizontal="left" vertical="center"/>
    </xf>
    <xf numFmtId="0" fontId="0" fillId="0" borderId="21" xfId="0" applyFill="1" applyBorder="1" applyAlignment="1">
      <alignment horizontal="left" vertical="center"/>
    </xf>
    <xf numFmtId="0" fontId="0" fillId="0" borderId="24" xfId="0" applyFill="1" applyBorder="1" applyAlignment="1">
      <alignment horizontal="left" vertical="center"/>
    </xf>
    <xf numFmtId="0" fontId="0" fillId="0" borderId="0" xfId="0" applyFont="1" applyAlignment="1">
      <alignment horizontal="center" vertical="center" wrapText="1"/>
    </xf>
    <xf numFmtId="0" fontId="0" fillId="0" borderId="0" xfId="0" applyFill="1" applyAlignment="1">
      <alignment horizontal="center" vertical="center" wrapText="1"/>
    </xf>
    <xf numFmtId="0" fontId="1" fillId="0" borderId="0" xfId="0" applyFont="1" applyAlignment="1">
      <alignment horizontal="center"/>
    </xf>
    <xf numFmtId="0" fontId="9" fillId="0" borderId="0" xfId="0" applyFont="1" applyAlignment="1">
      <alignment horizontal="center" vertical="center" wrapText="1"/>
    </xf>
    <xf numFmtId="0" fontId="10" fillId="0" borderId="0" xfId="1"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165" fontId="0" fillId="0" borderId="0" xfId="0" applyNumberFormat="1" applyAlignment="1">
      <alignment horizontal="center" vertical="center"/>
    </xf>
    <xf numFmtId="0" fontId="8" fillId="0" borderId="0" xfId="0" applyFont="1" applyBorder="1" applyAlignment="1">
      <alignment horizontal="center" textRotation="180"/>
    </xf>
    <xf numFmtId="0" fontId="14" fillId="0" borderId="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0" xfId="0" applyFont="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 xfId="0" applyFont="1" applyBorder="1" applyAlignment="1">
      <alignment horizontal="center" vertical="center"/>
    </xf>
    <xf numFmtId="0" fontId="14" fillId="0" borderId="12"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13" xfId="0" applyFont="1" applyBorder="1" applyAlignment="1">
      <alignment horizontal="center" vertical="center"/>
    </xf>
    <xf numFmtId="0" fontId="14" fillId="0" borderId="6" xfId="0" applyFont="1" applyBorder="1" applyAlignment="1">
      <alignment horizontal="center" vertical="center"/>
    </xf>
    <xf numFmtId="0" fontId="15" fillId="0" borderId="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0" xfId="0" applyFont="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6" xfId="0" applyFont="1" applyBorder="1" applyAlignment="1">
      <alignment horizontal="center" vertical="center" wrapText="1"/>
    </xf>
    <xf numFmtId="0" fontId="0" fillId="0" borderId="0" xfId="0" applyAlignment="1">
      <alignment horizontal="center" textRotation="180"/>
    </xf>
    <xf numFmtId="165" fontId="0" fillId="0" borderId="0" xfId="0" applyNumberForma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6" fontId="0" fillId="0" borderId="0" xfId="0" applyNumberFormat="1" applyFill="1" applyAlignment="1">
      <alignment horizontal="right" vertical="center"/>
    </xf>
    <xf numFmtId="0" fontId="0" fillId="0" borderId="0" xfId="0" applyFill="1" applyAlignment="1">
      <alignment horizontal="right" vertical="center"/>
    </xf>
    <xf numFmtId="0" fontId="0" fillId="0" borderId="0" xfId="0" applyFill="1" applyAlignment="1">
      <alignment horizontal="left" vertical="center"/>
    </xf>
    <xf numFmtId="0" fontId="3" fillId="0" borderId="0" xfId="1" applyFill="1" applyAlignment="1">
      <alignment horizontal="left" vertical="center"/>
    </xf>
    <xf numFmtId="0" fontId="0" fillId="0" borderId="0" xfId="0" applyAlignment="1">
      <alignment horizontal="left" wrapText="1"/>
    </xf>
    <xf numFmtId="0" fontId="0" fillId="0" borderId="0" xfId="0" applyAlignment="1">
      <alignment vertical="center"/>
    </xf>
    <xf numFmtId="0" fontId="0" fillId="0" borderId="0" xfId="0" applyAlignment="1">
      <alignment horizontal="center"/>
    </xf>
    <xf numFmtId="0" fontId="3" fillId="0" borderId="0" xfId="1" applyAlignment="1">
      <alignment horizontal="left" vertical="center" wrapText="1"/>
    </xf>
  </cellXfs>
  <cellStyles count="8">
    <cellStyle name="Bueno" xfId="4" builtinId="26"/>
    <cellStyle name="Celda de comprobación" xfId="6" builtinId="23"/>
    <cellStyle name="Hipervínculo" xfId="1" builtinId="8"/>
    <cellStyle name="Incorrecto" xfId="5" builtinId="27"/>
    <cellStyle name="Millares [0]" xfId="2" builtinId="6"/>
    <cellStyle name="Moneda [0]" xfId="3" builtinId="7"/>
    <cellStyle name="Normal" xfId="0" builtinId="0"/>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a:t>PARTICIPACIÓN GASTO</a:t>
            </a:r>
            <a:r>
              <a:rPr lang="en-US" sz="1400" baseline="0"/>
              <a:t> PARTICIPACIÓN PÚBLICA</a:t>
            </a:r>
          </a:p>
          <a:p>
            <a:pPr>
              <a:defRPr/>
            </a:pPr>
            <a:r>
              <a:rPr lang="en-US" sz="1400" b="0" baseline="0"/>
              <a:t>(% DEL TOTAL)</a:t>
            </a:r>
            <a:endParaRPr lang="en-US" sz="1400" b="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'TOTAL COSTEO'!$E$5</c:f>
              <c:strCache>
                <c:ptCount val="1"/>
                <c:pt idx="0">
                  <c:v>Participación en el 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AE-40D3-843F-53D9266228A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AE-40D3-843F-53D9266228A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AE-40D3-843F-53D9266228A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AE-40D3-843F-53D9266228A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AE-40D3-843F-53D9266228A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AE-40D3-843F-53D9266228A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AE-40D3-843F-53D9266228AF}"/>
              </c:ext>
            </c:extLst>
          </c:dPt>
          <c:dLbls>
            <c:dLbl>
              <c:idx val="0"/>
              <c:layout>
                <c:manualLayout>
                  <c:x val="-2.8110960824103404E-2"/>
                  <c:y val="5.832642109000319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AE-40D3-843F-53D9266228AF}"/>
                </c:ext>
              </c:extLst>
            </c:dLbl>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'TOTAL COSTEO'!$B$26:$B$32</c:f>
              <c:strCache>
                <c:ptCount val="7"/>
                <c:pt idx="0">
                  <c:v>PRESENCIA TERRITORIAL (LOGISTICA)</c:v>
                </c:pt>
                <c:pt idx="1">
                  <c:v>PRESENCIA TERRITORIAL (PARTICIPACIÓN CONSTITUYENTES)</c:v>
                </c:pt>
                <c:pt idx="2">
                  <c:v>PLATAFORMA WEB</c:v>
                </c:pt>
                <c:pt idx="3">
                  <c:v>APP PARTICIPACIÓN</c:v>
                </c:pt>
                <c:pt idx="4">
                  <c:v>SISTEMATIZACIÓN Y ANÁLISIS</c:v>
                </c:pt>
                <c:pt idx="5">
                  <c:v>CAMPAÑA COMUNICACIONAL</c:v>
                </c:pt>
                <c:pt idx="6">
                  <c:v>SESIONES CONVENCIÓN CONSTITUYENTE EN REGIONES</c:v>
                </c:pt>
              </c:strCache>
            </c:strRef>
          </c:cat>
          <c:val>
            <c:numRef>
              <c:f>'TOTAL COSTEO'!$C$26:$C$32</c:f>
              <c:numCache>
                <c:formatCode>0.0%</c:formatCode>
                <c:ptCount val="7"/>
                <c:pt idx="0">
                  <c:v>0.12934952307908759</c:v>
                </c:pt>
                <c:pt idx="1">
                  <c:v>0</c:v>
                </c:pt>
                <c:pt idx="2">
                  <c:v>6.323956192962904E-2</c:v>
                </c:pt>
                <c:pt idx="3">
                  <c:v>8.3503448516514853E-2</c:v>
                </c:pt>
                <c:pt idx="4">
                  <c:v>0.1392499683547101</c:v>
                </c:pt>
                <c:pt idx="5">
                  <c:v>0.33726370926045307</c:v>
                </c:pt>
                <c:pt idx="6">
                  <c:v>0.24739378885960533</c:v>
                </c:pt>
              </c:numCache>
            </c:numRef>
          </c:val>
          <c:extLst>
            <c:ext xmlns:c16="http://schemas.microsoft.com/office/drawing/2014/chart" uri="{C3380CC4-5D6E-409C-BE32-E72D297353CC}">
              <c16:uniqueId val="{00000000-BD0C-4D10-BE00-FFFCF17E65A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7041398233699312"/>
          <c:y val="0.21099235742314465"/>
          <c:w val="0.31736459238178577"/>
          <c:h val="0.71551077414685404"/>
        </c:manualLayout>
      </c:layout>
      <c:overlay val="0"/>
      <c:spPr>
        <a:noFill/>
        <a:ln>
          <a:solidFill>
            <a:sysClr val="windowText" lastClr="000000"/>
          </a:solid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Alternativa Conservadora </c:v>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7"/>
            <c:invertIfNegative val="0"/>
            <c:bubble3D val="0"/>
            <c:spPr>
              <a:solidFill>
                <a:schemeClr val="accent1"/>
              </a:solidFill>
              <a:ln w="9525" cap="flat" cmpd="sng" algn="ctr">
                <a:solidFill>
                  <a:schemeClr val="accent1">
                    <a:shade val="95000"/>
                  </a:schemeClr>
                </a:solidFill>
                <a:round/>
              </a:ln>
              <a:effectLst/>
            </c:spPr>
            <c:extLst>
              <c:ext xmlns:c16="http://schemas.microsoft.com/office/drawing/2014/chart" uri="{C3380CC4-5D6E-409C-BE32-E72D297353CC}">
                <c16:uniqueId val="{00000002-DD44-4AD7-ABD1-2F1F1C7A12E5}"/>
              </c:ext>
            </c:extLst>
          </c:dPt>
          <c:dLbls>
            <c:dLbl>
              <c:idx val="0"/>
              <c:tx>
                <c:rich>
                  <a:bodyPr/>
                  <a:lstStyle/>
                  <a:p>
                    <a:r>
                      <a:rPr lang="en-US"/>
                      <a:t>$128</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B1C9-4C6B-84EB-B5F29299BBBD}"/>
                </c:ext>
              </c:extLst>
            </c:dLbl>
            <c:dLbl>
              <c:idx val="7"/>
              <c:tx>
                <c:rich>
                  <a:bodyPr/>
                  <a:lstStyle/>
                  <a:p>
                    <a:r>
                      <a:rPr lang="en-US"/>
                      <a:t>2.257</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DD44-4AD7-ABD1-2F1F1C7A12E5}"/>
                </c:ext>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 COSTEO'!$B$34:$B$41</c:f>
              <c:strCache>
                <c:ptCount val="8"/>
                <c:pt idx="0">
                  <c:v>PRESENCIA TERRITORIAL (LOGISTICA)</c:v>
                </c:pt>
                <c:pt idx="1">
                  <c:v>PRESENCIA TERRITORIAL (PARTICIPACIÓN CONSTITUYENTES)</c:v>
                </c:pt>
                <c:pt idx="2">
                  <c:v>PLATAFORMA WEB</c:v>
                </c:pt>
                <c:pt idx="3">
                  <c:v>APP PARTICIPACIÓN</c:v>
                </c:pt>
                <c:pt idx="4">
                  <c:v>SISTEMATIZACIÓN Y ANÁLISIS</c:v>
                </c:pt>
                <c:pt idx="5">
                  <c:v>CAMPAÑA COMUNICACIONAL</c:v>
                </c:pt>
                <c:pt idx="6">
                  <c:v>SESIONES CONVENCIÓN CONSTITUYENTE EN REGIONES</c:v>
                </c:pt>
                <c:pt idx="7">
                  <c:v>SUMA TOTAL ALTERNATIVAS</c:v>
                </c:pt>
              </c:strCache>
            </c:strRef>
          </c:cat>
          <c:val>
            <c:numRef>
              <c:f>'TOTAL COSTEO'!$D$34:$D$41</c:f>
              <c:numCache>
                <c:formatCode>"$"#,##0.0</c:formatCode>
                <c:ptCount val="8"/>
                <c:pt idx="0">
                  <c:v>316.49669175961282</c:v>
                </c:pt>
                <c:pt idx="1">
                  <c:v>0</c:v>
                </c:pt>
                <c:pt idx="2">
                  <c:v>154.73665199999999</c:v>
                </c:pt>
                <c:pt idx="3">
                  <c:v>204.31899999999999</c:v>
                </c:pt>
                <c:pt idx="4">
                  <c:v>340.72142875199995</c:v>
                </c:pt>
                <c:pt idx="5">
                  <c:v>825.22799999999995</c:v>
                </c:pt>
                <c:pt idx="6">
                  <c:v>605.33130600000004</c:v>
                </c:pt>
                <c:pt idx="7">
                  <c:v>2446.8330785116127</c:v>
                </c:pt>
              </c:numCache>
            </c:numRef>
          </c:val>
          <c:extLst>
            <c:ext xmlns:c16="http://schemas.microsoft.com/office/drawing/2014/chart" uri="{C3380CC4-5D6E-409C-BE32-E72D297353CC}">
              <c16:uniqueId val="{00000000-09AB-472F-9DD9-631453D528DE}"/>
            </c:ext>
          </c:extLst>
        </c:ser>
        <c:ser>
          <c:idx val="1"/>
          <c:order val="1"/>
          <c:tx>
            <c:v>Alternativa Ambiciosa</c:v>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Pt>
            <c:idx val="7"/>
            <c:invertIfNegative val="0"/>
            <c:bubble3D val="0"/>
            <c:spPr>
              <a:solidFill>
                <a:schemeClr val="accent2"/>
              </a:solidFill>
              <a:ln w="9525" cap="flat" cmpd="sng" algn="ctr">
                <a:solidFill>
                  <a:schemeClr val="accent2">
                    <a:shade val="95000"/>
                  </a:schemeClr>
                </a:solidFill>
                <a:round/>
              </a:ln>
              <a:effectLst/>
            </c:spPr>
            <c:extLst>
              <c:ext xmlns:c16="http://schemas.microsoft.com/office/drawing/2014/chart" uri="{C3380CC4-5D6E-409C-BE32-E72D297353CC}">
                <c16:uniqueId val="{00000001-DD44-4AD7-ABD1-2F1F1C7A12E5}"/>
              </c:ext>
            </c:extLst>
          </c:dPt>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 COSTEO'!$B$34:$B$41</c:f>
              <c:strCache>
                <c:ptCount val="8"/>
                <c:pt idx="0">
                  <c:v>PRESENCIA TERRITORIAL (LOGISTICA)</c:v>
                </c:pt>
                <c:pt idx="1">
                  <c:v>PRESENCIA TERRITORIAL (PARTICIPACIÓN CONSTITUYENTES)</c:v>
                </c:pt>
                <c:pt idx="2">
                  <c:v>PLATAFORMA WEB</c:v>
                </c:pt>
                <c:pt idx="3">
                  <c:v>APP PARTICIPACIÓN</c:v>
                </c:pt>
                <c:pt idx="4">
                  <c:v>SISTEMATIZACIÓN Y ANÁLISIS</c:v>
                </c:pt>
                <c:pt idx="5">
                  <c:v>CAMPAÑA COMUNICACIONAL</c:v>
                </c:pt>
                <c:pt idx="6">
                  <c:v>SESIONES CONVENCIÓN CONSTITUYENTE EN REGIONES</c:v>
                </c:pt>
                <c:pt idx="7">
                  <c:v>SUMA TOTAL ALTERNATIVAS</c:v>
                </c:pt>
              </c:strCache>
            </c:strRef>
          </c:cat>
          <c:val>
            <c:numRef>
              <c:f>'TOTAL COSTEO'!$F$34:$F$41</c:f>
              <c:numCache>
                <c:formatCode>"$"#,##0.0</c:formatCode>
                <c:ptCount val="8"/>
                <c:pt idx="0">
                  <c:v>7739.275623259613</c:v>
                </c:pt>
                <c:pt idx="1">
                  <c:v>1226.2414019499997</c:v>
                </c:pt>
                <c:pt idx="2">
                  <c:v>333.23665199999999</c:v>
                </c:pt>
                <c:pt idx="3">
                  <c:v>204.31899999999999</c:v>
                </c:pt>
                <c:pt idx="4">
                  <c:v>914.18262242399999</c:v>
                </c:pt>
                <c:pt idx="5">
                  <c:v>2111.1280000000002</c:v>
                </c:pt>
                <c:pt idx="6">
                  <c:v>1030.4506080000001</c:v>
                </c:pt>
                <c:pt idx="7">
                  <c:v>13558.833907633612</c:v>
                </c:pt>
              </c:numCache>
            </c:numRef>
          </c:val>
          <c:extLst>
            <c:ext xmlns:c16="http://schemas.microsoft.com/office/drawing/2014/chart" uri="{C3380CC4-5D6E-409C-BE32-E72D297353CC}">
              <c16:uniqueId val="{00000001-09AB-472F-9DD9-631453D528DE}"/>
            </c:ext>
          </c:extLst>
        </c:ser>
        <c:dLbls>
          <c:dLblPos val="outEnd"/>
          <c:showLegendKey val="0"/>
          <c:showVal val="1"/>
          <c:showCatName val="0"/>
          <c:showSerName val="0"/>
          <c:showPercent val="0"/>
          <c:showBubbleSize val="0"/>
        </c:dLbls>
        <c:gapWidth val="150"/>
        <c:axId val="1818646895"/>
        <c:axId val="1818658559"/>
      </c:barChart>
      <c:catAx>
        <c:axId val="1818646895"/>
        <c:scaling>
          <c:orientation val="maxMin"/>
        </c:scaling>
        <c:delete val="0"/>
        <c:axPos val="l"/>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1818658559"/>
        <c:crosses val="autoZero"/>
        <c:auto val="1"/>
        <c:lblAlgn val="ctr"/>
        <c:lblOffset val="100"/>
        <c:noMultiLvlLbl val="0"/>
      </c:catAx>
      <c:valAx>
        <c:axId val="1818658559"/>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8186468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rich>
          <a:bodyPr rot="0" spcFirstLastPara="1" vertOverflow="ellipsis" vert="horz" wrap="square" lIns="38100" tIns="19050" rIns="38100" bIns="19050" anchor="ctr" anchorCtr="1" compatLnSpc="0"/>
          <a:lstStyle/>
          <a:p>
            <a:pPr algn="ctr" rtl="0">
              <a:defRPr sz="1800" b="1" i="0" u="none" strike="noStrike" cap="all" spc="150" baseline="0">
                <a:solidFill>
                  <a:sysClr val="windowText" lastClr="000000">
                    <a:lumMod val="50000"/>
                    <a:lumOff val="50000"/>
                  </a:sysClr>
                </a:solidFill>
                <a:latin typeface="+mn-lt"/>
                <a:ea typeface="+mn-ea"/>
                <a:cs typeface="+mn-cs"/>
              </a:defRPr>
            </a:pPr>
            <a:r>
              <a:rPr kumimoji="0" lang="es-ES" sz="1400" b="1" i="0" u="none" strike="noStrike" kern="0" cap="all" spc="150" normalizeH="0" baseline="0" noProof="0">
                <a:ln>
                  <a:noFill/>
                </a:ln>
                <a:solidFill>
                  <a:sysClr val="windowText" lastClr="000000">
                    <a:lumMod val="65000"/>
                    <a:lumOff val="35000"/>
                  </a:sysClr>
                </a:solidFill>
                <a:effectLst/>
                <a:uLnTx/>
                <a:uFillTx/>
                <a:latin typeface="Calibri" panose="020F0502020204030204"/>
              </a:rPr>
              <a:t>Costo Medidas</a:t>
            </a:r>
          </a:p>
          <a:p>
            <a:pPr algn="ctr" rtl="0">
              <a:defRPr sz="1800" b="1" i="0" u="none" strike="noStrike" cap="all" spc="150" baseline="0">
                <a:solidFill>
                  <a:sysClr val="windowText" lastClr="000000">
                    <a:lumMod val="50000"/>
                    <a:lumOff val="50000"/>
                  </a:sysClr>
                </a:solidFill>
                <a:latin typeface="+mn-lt"/>
                <a:ea typeface="+mn-ea"/>
                <a:cs typeface="+mn-cs"/>
              </a:defRPr>
            </a:pPr>
            <a:r>
              <a:rPr kumimoji="0" lang="es-ES" sz="1400" b="0" i="0" u="none" strike="noStrike" kern="0" cap="all" spc="150" normalizeH="0" baseline="0" noProof="0">
                <a:ln>
                  <a:noFill/>
                </a:ln>
                <a:solidFill>
                  <a:sysClr val="windowText" lastClr="000000">
                    <a:lumMod val="65000"/>
                    <a:lumOff val="35000"/>
                  </a:sysClr>
                </a:solidFill>
                <a:effectLst/>
                <a:uLnTx/>
                <a:uFillTx/>
                <a:latin typeface="Calibri" panose="020F0502020204030204"/>
              </a:rPr>
              <a:t>(MILLONES DE PESOS)</a:t>
            </a:r>
          </a:p>
        </cx:rich>
      </cx:tx>
    </cx:title>
    <cx:plotArea>
      <cx:plotAreaRegion>
        <cx:series layoutId="waterfall" uniqueId="{994EE8CA-C3B6-4B1F-8DB3-5F7A5639A101}">
          <cx:dataLabels pos="outEnd">
            <cx:txPr>
              <a:bodyPr spcFirstLastPara="1" vertOverflow="ellipsis" horzOverflow="overflow" wrap="square" lIns="0" tIns="0" rIns="0" bIns="0" anchor="ctr" anchorCtr="1"/>
              <a:lstStyle/>
              <a:p>
                <a:pPr algn="ctr" rtl="0">
                  <a:defRPr sz="1100" b="1"/>
                </a:pPr>
                <a:endParaRPr lang="es-ES" sz="1100" b="1" i="0" u="none" strike="noStrike" baseline="0">
                  <a:solidFill>
                    <a:sysClr val="windowText" lastClr="000000">
                      <a:lumMod val="75000"/>
                      <a:lumOff val="25000"/>
                    </a:sysClr>
                  </a:solidFill>
                  <a:latin typeface="Calibri" panose="020F0502020204030204"/>
                </a:endParaRPr>
              </a:p>
            </cx:txPr>
            <cx:visibility seriesName="0" categoryName="0" value="1"/>
          </cx:dataLabels>
          <cx:dataId val="0"/>
          <cx:layoutPr>
            <cx:subtotals/>
          </cx:layoutPr>
        </cx:series>
      </cx:plotAreaRegion>
      <cx:axis id="0">
        <cx:catScaling gapWidth="0.5"/>
        <cx:tickLabels/>
      </cx:axis>
      <cx:axis id="1">
        <cx:valScaling/>
        <cx:majorGridlines/>
        <cx:tickLabels/>
        <cx:numFmt formatCode="$#.##0" sourceLinked="0"/>
        <cx:txPr>
          <a:bodyPr spcFirstLastPara="1" vertOverflow="ellipsis" horzOverflow="overflow" wrap="square" lIns="0" tIns="0" rIns="0" bIns="0" anchor="ctr" anchorCtr="1"/>
          <a:lstStyle/>
          <a:p>
            <a:pPr algn="ctr" rtl="0">
              <a:defRPr sz="1100" b="1"/>
            </a:pPr>
            <a:endParaRPr lang="es-ES" sz="1100" b="1" i="0" u="none" strike="noStrike" baseline="0">
              <a:solidFill>
                <a:sysClr val="windowText" lastClr="000000">
                  <a:lumMod val="65000"/>
                  <a:lumOff val="35000"/>
                </a:sysClr>
              </a:solidFill>
              <a:latin typeface="Calibri" panose="020F0502020204030204"/>
            </a:endParaRPr>
          </a:p>
        </cx:txPr>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96">
  <cs:axisTitle>
    <cs:lnRef idx="0"/>
    <cs:fillRef idx="0"/>
    <cs:effectRef idx="0"/>
    <cs:fontRef idx="minor">
      <a:schemeClr val="tx1">
        <a:lumMod val="65000"/>
        <a:lumOff val="35000"/>
      </a:schemeClr>
    </cs:fontRef>
    <cs:defRPr sz="900" b="1"/>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cs:chartArea>
  <cs:dataLabel>
    <cs:lnRef idx="0"/>
    <cs:fillRef idx="0"/>
    <cs:effectRef idx="0"/>
    <cs:fontRef idx="minor">
      <a:schemeClr val="tx1">
        <a:lumMod val="75000"/>
        <a:lumOff val="2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solidFill>
        <a:schemeClr val="phClr"/>
      </a:solid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25000"/>
            <a:lumOff val="75000"/>
          </a:schemeClr>
        </a:solidFill>
      </a:ln>
    </cs:spPr>
    <cs:defRPr sz="9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25000"/>
            <a:lumOff val="75000"/>
          </a:schemeClr>
        </a:solidFill>
      </a:ln>
    </cs:spPr>
  </cs:gridlineMajor>
  <cs:gridlineMinor>
    <cs:lnRef idx="0"/>
    <cs:fillRef idx="0"/>
    <cs:effectRef idx="0"/>
    <cs:fontRef idx="minor">
      <a:schemeClr val="dk1"/>
    </cs:fontRef>
    <cs:spPr>
      <a:ln>
        <a:solidFill>
          <a:schemeClr val="tx1">
            <a:lumMod val="25000"/>
            <a:lumOff val="75000"/>
            <a:lumOff val="10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cs:seriesAxis>
  <cs:seriesLine>
    <cs:lnRef idx="0"/>
    <cs:fillRef idx="0"/>
    <cs:effectRef idx="0"/>
    <cs:fontRef idx="minor">
      <a:schemeClr val="dk1"/>
    </cs:fontRef>
    <cs:spPr>
      <a:ln w="9525" cap="flat">
        <a:solidFill>
          <a:srgbClr val="D9D9D9"/>
        </a:solidFill>
        <a:round/>
      </a:ln>
    </cs:spPr>
  </cs:seriesLine>
  <cs:title>
    <cs:lnRef idx="0"/>
    <cs:fillRef idx="0"/>
    <cs:effectRef idx="0"/>
    <cs:fontRef idx="minor">
      <a:schemeClr val="tx1">
        <a:lumMod val="50000"/>
        <a:lumOff val="50000"/>
      </a:schemeClr>
    </cs:fontRef>
    <cs:defRPr sz="1800" b="1" cap="all" spc="15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0">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microsoft.com/office/2014/relationships/chartEx" Target="../charts/chartEx1.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13448</xdr:colOff>
      <xdr:row>3</xdr:row>
      <xdr:rowOff>179293</xdr:rowOff>
    </xdr:from>
    <xdr:to>
      <xdr:col>13</xdr:col>
      <xdr:colOff>770964</xdr:colOff>
      <xdr:row>18</xdr:row>
      <xdr:rowOff>475129</xdr:rowOff>
    </xdr:to>
    <xdr:graphicFrame macro="">
      <xdr:nvGraphicFramePr>
        <xdr:cNvPr id="3" name="Gráfico 2">
          <a:extLst>
            <a:ext uri="{FF2B5EF4-FFF2-40B4-BE49-F238E27FC236}">
              <a16:creationId xmlns:a16="http://schemas.microsoft.com/office/drawing/2014/main" id="{5693DF81-08D9-45DC-84A4-F4540605BF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4481</xdr:colOff>
      <xdr:row>4</xdr:row>
      <xdr:rowOff>8965</xdr:rowOff>
    </xdr:from>
    <xdr:to>
      <xdr:col>25</xdr:col>
      <xdr:colOff>0</xdr:colOff>
      <xdr:row>19</xdr:row>
      <xdr:rowOff>8964</xdr:rowOff>
    </xdr:to>
    <mc:AlternateContent xmlns:mc="http://schemas.openxmlformats.org/markup-compatibility/2006">
      <mc:Choice xmlns:cx1="http://schemas.microsoft.com/office/drawing/2015/9/8/chartex" Requires="cx1">
        <xdr:graphicFrame macro="">
          <xdr:nvGraphicFramePr>
            <xdr:cNvPr id="6" name="Gráfico 5">
              <a:extLst>
                <a:ext uri="{FF2B5EF4-FFF2-40B4-BE49-F238E27FC236}">
                  <a16:creationId xmlns:a16="http://schemas.microsoft.com/office/drawing/2014/main" id="{89A7C598-A9E8-48C5-9108-E2BF62FD2F3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15457841" y="839545"/>
              <a:ext cx="8712799" cy="4968239"/>
            </a:xfrm>
            <a:prstGeom prst="rect">
              <a:avLst/>
            </a:prstGeom>
            <a:solidFill>
              <a:prstClr val="white"/>
            </a:solidFill>
            <a:ln w="1">
              <a:solidFill>
                <a:prstClr val="green"/>
              </a:solidFill>
            </a:ln>
          </xdr:spPr>
          <xdr:txBody>
            <a:bodyPr vertOverflow="clip" horzOverflow="clip"/>
            <a:lstStyle/>
            <a:p>
              <a:r>
                <a:rPr lang="en-U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xdr:col>
      <xdr:colOff>1593923</xdr:colOff>
      <xdr:row>36</xdr:row>
      <xdr:rowOff>30143</xdr:rowOff>
    </xdr:from>
    <xdr:to>
      <xdr:col>5</xdr:col>
      <xdr:colOff>681428</xdr:colOff>
      <xdr:row>58</xdr:row>
      <xdr:rowOff>74968</xdr:rowOff>
    </xdr:to>
    <xdr:graphicFrame macro="">
      <xdr:nvGraphicFramePr>
        <xdr:cNvPr id="7" name="Gráfico 6">
          <a:extLst>
            <a:ext uri="{FF2B5EF4-FFF2-40B4-BE49-F238E27FC236}">
              <a16:creationId xmlns:a16="http://schemas.microsoft.com/office/drawing/2014/main" id="{D581E27D-980E-4270-8FA9-817FF6BFBD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3" Type="http://schemas.openxmlformats.org/officeDocument/2006/relationships/hyperlink" Target="https://www.mercadopublico.cl/CMII/Tienda/frm_GCV2_Ficha.aspx?IURL=uPteMZpbYBeM$07ggUIz$08EFecMSuZM0euS4Z$07cbeFMX_05ohEOMPbeteMZpbYBeM" TargetMode="External"/><Relationship Id="rId2" Type="http://schemas.openxmlformats.org/officeDocument/2006/relationships/hyperlink" Target="https://www.mercadopublico.cl/CMII/Tienda/frm_GCV2_Ficha.aspx?IURL=uPteMZpbYBeM$07ggUIz$08EFecMSuZM0euS4Z$07cbeFMX_05ohEOMPbeteMZpbYBeM" TargetMode="External"/><Relationship Id="rId1" Type="http://schemas.openxmlformats.org/officeDocument/2006/relationships/hyperlink" Target="https://www.mercadopublico.cl/CMII/Tienda/frm_GCV2_Ficha.aspx?IURL=uPteMZpbYBeM$07ggUIz$08EFecMSuZM0euS4Z$07cbeFMX_05ohEOMPbeteMZpbYBeM" TargetMode="External"/><Relationship Id="rId6" Type="http://schemas.openxmlformats.org/officeDocument/2006/relationships/printerSettings" Target="../printerSettings/printerSettings5.bin"/><Relationship Id="rId5" Type="http://schemas.openxmlformats.org/officeDocument/2006/relationships/hyperlink" Target="https://www.portaltransparencia.cl/PortalPdT/directorio-de-organismos-regulados/?org=AG001" TargetMode="External"/><Relationship Id="rId4" Type="http://schemas.openxmlformats.org/officeDocument/2006/relationships/hyperlink" Target="https://www.portaltransparencia.cl/PortalPdT/directorio-de-organismos-regulados/?org=AG001"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mercadopublico.cl/CMII/Tienda/frm_GCV2_Ficha.aspx?IURL=uPteMZpbYBeM$07gmgVd$08EFecMSuZM0euS4Z$07cbeFMX_05ohEOMPbeteMZpbYBeM" TargetMode="External"/><Relationship Id="rId2" Type="http://schemas.openxmlformats.org/officeDocument/2006/relationships/hyperlink" Target="https://www.contraloria.cl/documents/451102/4166106/ESCALA+UNICA+DE+SUELDOS+DIC.+2020+publicar.pdf/d8422992-53f7-fbf9-bfa5-c599d184ac21" TargetMode="External"/><Relationship Id="rId1" Type="http://schemas.openxmlformats.org/officeDocument/2006/relationships/hyperlink" Target="https://www.contraloria.cl/documents/451102/4166106/ESCALA+UNICA+DE+SUELDOS+DIC.+2020+publicar.pdf/d8422992-53f7-fbf9-bfa5-c599d184ac21" TargetMode="External"/><Relationship Id="rId4" Type="http://schemas.openxmlformats.org/officeDocument/2006/relationships/hyperlink" Target="https://www.mercadopublico.cl/CMII/Tienda/frm_GCV2_Ficha.aspx?IURL=uPteMZpbYBeM$07gdmgg$08EFecMSuZM0euS4Z$07cbeFMX_05ohEOMPbeteMZpbYBe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econorent.cl/reserva/173250/paso-uno" TargetMode="External"/><Relationship Id="rId2" Type="http://schemas.openxmlformats.org/officeDocument/2006/relationships/hyperlink" Target="https://www.mercadopublico.cl/CMII/Tienda/frm_GCV2_Ficha.aspx?IURL=uPteMZpbYBeM$07ddIzV$08EFecMSuZM0euS4Z$07cbeFMX_05ohEOMPbeteMZpbYBeM" TargetMode="External"/><Relationship Id="rId1" Type="http://schemas.openxmlformats.org/officeDocument/2006/relationships/hyperlink" Target="https://ayuda.tgr.cl/hc/es-419/articles/360018620714-Pago-Vocal-de-Mesa-para-elecciones-de-Constituyentes-Alcaldes-y-Gobernadores-Regionales-a%C3%B1o-2021-" TargetMode="External"/><Relationship Id="rId6" Type="http://schemas.openxmlformats.org/officeDocument/2006/relationships/printerSettings" Target="../printerSettings/printerSettings3.bin"/><Relationship Id="rId5" Type="http://schemas.openxmlformats.org/officeDocument/2006/relationships/hyperlink" Target="https://www.contraloria.cl/documents/451102/4166106/ESCALA+UNICA+DE+SUELDOS+DIC.+2020+publicar.pdf/d8422992-53f7-fbf9-bfa5-c599d184ac21" TargetMode="External"/><Relationship Id="rId4" Type="http://schemas.openxmlformats.org/officeDocument/2006/relationships/hyperlink" Target="http://www.consumovehicular.cl/inicio"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ontraloria.cl/web/cgr/dotacion-de-personal"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mercadopublico.cl/CMII/Tienda/frm_GCV2_Ficha.aspx?IURL=uPteMZpbYBeM_07zAUAQ_08EFecMSuZM0euS4Z_07cbeFMX$05ohEOMPbeteMZpbYBeM" TargetMode="External"/><Relationship Id="rId1" Type="http://schemas.openxmlformats.org/officeDocument/2006/relationships/hyperlink" Target="https://www.mercadopublico.cl/CMII/Tienda/frm_GCV2_Ficha.aspx?IURL=uPteMZpbYBeM$07dgIQQ$08EFecMSuZM0euS4Z$07cbeFMX_05ohEOMPbeteMZpbYBe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D1B66-0C0C-44B9-A378-1B61854A8D66}">
  <sheetPr>
    <tabColor rgb="FFFF0000"/>
  </sheetPr>
  <dimension ref="A1:O22"/>
  <sheetViews>
    <sheetView tabSelected="1" topLeftCell="A4" zoomScaleNormal="100" workbookViewId="0">
      <selection activeCell="D31" sqref="D31"/>
    </sheetView>
  </sheetViews>
  <sheetFormatPr baseColWidth="10" defaultColWidth="11.5546875" defaultRowHeight="14.4" x14ac:dyDescent="0.3"/>
  <cols>
    <col min="1" max="3" width="10.77734375" customWidth="1"/>
    <col min="4" max="15" width="16.6640625" customWidth="1"/>
  </cols>
  <sheetData>
    <row r="1" spans="1:15" x14ac:dyDescent="0.3">
      <c r="A1" s="240" t="s">
        <v>554</v>
      </c>
      <c r="B1" s="240"/>
      <c r="C1" s="240"/>
      <c r="D1" s="240"/>
      <c r="E1" s="240"/>
      <c r="F1" s="240"/>
      <c r="G1" s="240"/>
      <c r="H1" s="240"/>
      <c r="I1" s="240"/>
      <c r="J1" s="240"/>
      <c r="K1" s="240"/>
      <c r="L1" s="240"/>
      <c r="M1" s="240"/>
      <c r="N1" s="240"/>
      <c r="O1" s="240"/>
    </row>
    <row r="2" spans="1:15" x14ac:dyDescent="0.3">
      <c r="A2" s="240"/>
      <c r="B2" s="240"/>
      <c r="C2" s="240"/>
      <c r="D2" s="240"/>
      <c r="E2" s="240"/>
      <c r="F2" s="240"/>
      <c r="G2" s="240"/>
      <c r="H2" s="240"/>
      <c r="I2" s="240"/>
      <c r="J2" s="240"/>
      <c r="K2" s="240"/>
      <c r="L2" s="240"/>
      <c r="M2" s="240"/>
      <c r="N2" s="240"/>
      <c r="O2" s="240"/>
    </row>
    <row r="3" spans="1:15" ht="10.8" customHeight="1" x14ac:dyDescent="0.3">
      <c r="A3" s="241" t="s">
        <v>578</v>
      </c>
      <c r="B3" s="241"/>
      <c r="C3" s="241"/>
      <c r="D3" s="241"/>
      <c r="E3" s="241"/>
      <c r="F3" s="241"/>
      <c r="G3" s="241"/>
      <c r="H3" s="241"/>
      <c r="I3" s="241"/>
      <c r="J3" s="241"/>
      <c r="K3" s="241"/>
      <c r="L3" s="241"/>
      <c r="M3" s="241"/>
      <c r="N3" s="241"/>
      <c r="O3" s="241"/>
    </row>
    <row r="4" spans="1:15" ht="10.8" customHeight="1" x14ac:dyDescent="0.3">
      <c r="A4" s="241"/>
      <c r="B4" s="241"/>
      <c r="C4" s="241"/>
      <c r="D4" s="241"/>
      <c r="E4" s="241"/>
      <c r="F4" s="241"/>
      <c r="G4" s="241"/>
      <c r="H4" s="241"/>
      <c r="I4" s="241"/>
      <c r="J4" s="241"/>
      <c r="K4" s="241"/>
      <c r="L4" s="241"/>
      <c r="M4" s="241"/>
      <c r="N4" s="241"/>
      <c r="O4" s="241"/>
    </row>
    <row r="5" spans="1:15" ht="10.8" customHeight="1" x14ac:dyDescent="0.3">
      <c r="A5" s="241"/>
      <c r="B5" s="241"/>
      <c r="C5" s="241"/>
      <c r="D5" s="241"/>
      <c r="E5" s="241"/>
      <c r="F5" s="241"/>
      <c r="G5" s="241"/>
      <c r="H5" s="241"/>
      <c r="I5" s="241"/>
      <c r="J5" s="241"/>
      <c r="K5" s="241"/>
      <c r="L5" s="241"/>
      <c r="M5" s="241"/>
      <c r="N5" s="241"/>
      <c r="O5" s="241"/>
    </row>
    <row r="6" spans="1:15" ht="10.8" customHeight="1" x14ac:dyDescent="0.3">
      <c r="A6" s="241"/>
      <c r="B6" s="241"/>
      <c r="C6" s="241"/>
      <c r="D6" s="241"/>
      <c r="E6" s="241"/>
      <c r="F6" s="241"/>
      <c r="G6" s="241"/>
      <c r="H6" s="241"/>
      <c r="I6" s="241"/>
      <c r="J6" s="241"/>
      <c r="K6" s="241"/>
      <c r="L6" s="241"/>
      <c r="M6" s="241"/>
      <c r="N6" s="241"/>
      <c r="O6" s="241"/>
    </row>
    <row r="7" spans="1:15" ht="10.8" customHeight="1" x14ac:dyDescent="0.3">
      <c r="A7" s="241"/>
      <c r="B7" s="241"/>
      <c r="C7" s="241"/>
      <c r="D7" s="241"/>
      <c r="E7" s="241"/>
      <c r="F7" s="241"/>
      <c r="G7" s="241"/>
      <c r="H7" s="241"/>
      <c r="I7" s="241"/>
      <c r="J7" s="241"/>
      <c r="K7" s="241"/>
      <c r="L7" s="241"/>
      <c r="M7" s="241"/>
      <c r="N7" s="241"/>
      <c r="O7" s="241"/>
    </row>
    <row r="8" spans="1:15" ht="10.8" customHeight="1" x14ac:dyDescent="0.3">
      <c r="A8" s="241"/>
      <c r="B8" s="241"/>
      <c r="C8" s="241"/>
      <c r="D8" s="241"/>
      <c r="E8" s="241"/>
      <c r="F8" s="241"/>
      <c r="G8" s="241"/>
      <c r="H8" s="241"/>
      <c r="I8" s="241"/>
      <c r="J8" s="241"/>
      <c r="K8" s="241"/>
      <c r="L8" s="241"/>
      <c r="M8" s="241"/>
      <c r="N8" s="241"/>
      <c r="O8" s="241"/>
    </row>
    <row r="9" spans="1:15" ht="10.8" customHeight="1" x14ac:dyDescent="0.3">
      <c r="A9" s="241"/>
      <c r="B9" s="241"/>
      <c r="C9" s="241"/>
      <c r="D9" s="241"/>
      <c r="E9" s="241"/>
      <c r="F9" s="241"/>
      <c r="G9" s="241"/>
      <c r="H9" s="241"/>
      <c r="I9" s="241"/>
      <c r="J9" s="241"/>
      <c r="K9" s="241"/>
      <c r="L9" s="241"/>
      <c r="M9" s="241"/>
      <c r="N9" s="241"/>
      <c r="O9" s="241"/>
    </row>
    <row r="10" spans="1:15" ht="28.8" customHeight="1" x14ac:dyDescent="0.3">
      <c r="A10" s="243" t="s">
        <v>549</v>
      </c>
      <c r="B10" s="243"/>
      <c r="C10" s="243"/>
      <c r="D10" s="234" t="s">
        <v>555</v>
      </c>
      <c r="E10" s="234"/>
      <c r="F10" s="234"/>
      <c r="G10" s="234"/>
      <c r="H10" s="234"/>
      <c r="I10" s="234"/>
      <c r="J10" s="234"/>
      <c r="K10" s="234"/>
      <c r="L10" s="234"/>
      <c r="M10" s="234"/>
      <c r="N10" s="234"/>
      <c r="O10" s="234"/>
    </row>
    <row r="11" spans="1:15" ht="42.6" customHeight="1" x14ac:dyDescent="0.3">
      <c r="A11" s="242" t="s">
        <v>550</v>
      </c>
      <c r="B11" s="242"/>
      <c r="C11" s="242"/>
      <c r="D11" s="235" t="s">
        <v>636</v>
      </c>
      <c r="E11" s="235"/>
      <c r="F11" s="235"/>
      <c r="G11" s="235"/>
      <c r="H11" s="235"/>
      <c r="I11" s="235"/>
      <c r="J11" s="235"/>
      <c r="K11" s="235"/>
      <c r="L11" s="235"/>
      <c r="M11" s="235"/>
      <c r="N11" s="235"/>
      <c r="O11" s="235"/>
    </row>
    <row r="12" spans="1:15" ht="46.8" customHeight="1" x14ac:dyDescent="0.3">
      <c r="A12" s="238" t="s">
        <v>571</v>
      </c>
      <c r="B12" s="238"/>
      <c r="C12" s="238"/>
      <c r="D12" s="237" t="s">
        <v>637</v>
      </c>
      <c r="E12" s="237"/>
      <c r="F12" s="237"/>
      <c r="G12" s="237"/>
      <c r="H12" s="237"/>
      <c r="I12" s="237"/>
      <c r="J12" s="237"/>
      <c r="K12" s="237"/>
      <c r="L12" s="237"/>
      <c r="M12" s="237"/>
      <c r="N12" s="237"/>
      <c r="O12" s="237"/>
    </row>
    <row r="13" spans="1:15" ht="34.200000000000003" customHeight="1" x14ac:dyDescent="0.3">
      <c r="A13" s="242" t="s">
        <v>543</v>
      </c>
      <c r="B13" s="242"/>
      <c r="C13" s="242"/>
      <c r="D13" s="235" t="s">
        <v>556</v>
      </c>
      <c r="E13" s="235"/>
      <c r="F13" s="235"/>
      <c r="G13" s="235"/>
      <c r="H13" s="235"/>
      <c r="I13" s="235"/>
      <c r="J13" s="235"/>
      <c r="K13" s="235"/>
      <c r="L13" s="235"/>
      <c r="M13" s="235"/>
      <c r="N13" s="235"/>
      <c r="O13" s="235"/>
    </row>
    <row r="14" spans="1:15" ht="34.200000000000003" customHeight="1" x14ac:dyDescent="0.3">
      <c r="A14" s="239" t="s">
        <v>572</v>
      </c>
      <c r="B14" s="239"/>
      <c r="C14" s="239"/>
      <c r="D14" s="237" t="s">
        <v>574</v>
      </c>
      <c r="E14" s="237"/>
      <c r="F14" s="237"/>
      <c r="G14" s="237"/>
      <c r="H14" s="237"/>
      <c r="I14" s="237"/>
      <c r="J14" s="237"/>
      <c r="K14" s="237"/>
      <c r="L14" s="237"/>
      <c r="M14" s="237"/>
      <c r="N14" s="237"/>
      <c r="O14" s="237"/>
    </row>
    <row r="15" spans="1:15" ht="34.200000000000003" customHeight="1" x14ac:dyDescent="0.3">
      <c r="A15" s="242" t="s">
        <v>551</v>
      </c>
      <c r="B15" s="242"/>
      <c r="C15" s="242"/>
      <c r="D15" s="236" t="s">
        <v>557</v>
      </c>
      <c r="E15" s="236"/>
      <c r="F15" s="236"/>
      <c r="G15" s="236"/>
      <c r="H15" s="236"/>
      <c r="I15" s="236"/>
      <c r="J15" s="236"/>
      <c r="K15" s="236"/>
      <c r="L15" s="236"/>
      <c r="M15" s="236"/>
      <c r="N15" s="236"/>
      <c r="O15" s="236"/>
    </row>
    <row r="16" spans="1:15" ht="34.200000000000003" customHeight="1" x14ac:dyDescent="0.3">
      <c r="A16" s="239" t="s">
        <v>575</v>
      </c>
      <c r="B16" s="239"/>
      <c r="C16" s="239"/>
      <c r="D16" s="237" t="s">
        <v>576</v>
      </c>
      <c r="E16" s="237"/>
      <c r="F16" s="237"/>
      <c r="G16" s="237"/>
      <c r="H16" s="237"/>
      <c r="I16" s="237"/>
      <c r="J16" s="237"/>
      <c r="K16" s="237"/>
      <c r="L16" s="237"/>
      <c r="M16" s="237"/>
      <c r="N16" s="237"/>
      <c r="O16" s="237"/>
    </row>
    <row r="17" spans="1:15" ht="34.200000000000003" customHeight="1" x14ac:dyDescent="0.3">
      <c r="A17" s="242" t="s">
        <v>552</v>
      </c>
      <c r="B17" s="242"/>
      <c r="C17" s="242"/>
      <c r="D17" s="235" t="s">
        <v>558</v>
      </c>
      <c r="E17" s="235"/>
      <c r="F17" s="235"/>
      <c r="G17" s="235"/>
      <c r="H17" s="235"/>
      <c r="I17" s="235"/>
      <c r="J17" s="235"/>
      <c r="K17" s="235"/>
      <c r="L17" s="235"/>
      <c r="M17" s="235"/>
      <c r="N17" s="235"/>
      <c r="O17" s="235"/>
    </row>
    <row r="18" spans="1:15" ht="34.200000000000003" customHeight="1" x14ac:dyDescent="0.3">
      <c r="A18" s="238" t="s">
        <v>577</v>
      </c>
      <c r="B18" s="238"/>
      <c r="C18" s="238"/>
      <c r="D18" s="237" t="s">
        <v>638</v>
      </c>
      <c r="E18" s="237"/>
      <c r="F18" s="237"/>
      <c r="G18" s="237"/>
      <c r="H18" s="237"/>
      <c r="I18" s="237"/>
      <c r="J18" s="237"/>
      <c r="K18" s="237"/>
      <c r="L18" s="237"/>
      <c r="M18" s="237"/>
      <c r="N18" s="237"/>
      <c r="O18" s="237"/>
    </row>
    <row r="19" spans="1:15" ht="34.200000000000003" customHeight="1" x14ac:dyDescent="0.3">
      <c r="A19" s="242" t="s">
        <v>546</v>
      </c>
      <c r="B19" s="242"/>
      <c r="C19" s="242"/>
      <c r="D19" s="235" t="s">
        <v>559</v>
      </c>
      <c r="E19" s="235"/>
      <c r="F19" s="235"/>
      <c r="G19" s="235"/>
      <c r="H19" s="235"/>
      <c r="I19" s="235"/>
      <c r="J19" s="235"/>
      <c r="K19" s="235"/>
      <c r="L19" s="235"/>
      <c r="M19" s="235"/>
      <c r="N19" s="235"/>
      <c r="O19" s="235"/>
    </row>
    <row r="20" spans="1:15" ht="37.200000000000003" customHeight="1" x14ac:dyDescent="0.3">
      <c r="A20" s="239" t="s">
        <v>579</v>
      </c>
      <c r="B20" s="239"/>
      <c r="C20" s="239"/>
      <c r="D20" s="237" t="s">
        <v>580</v>
      </c>
      <c r="E20" s="237"/>
      <c r="F20" s="237"/>
      <c r="G20" s="237"/>
      <c r="H20" s="237"/>
      <c r="I20" s="237"/>
      <c r="J20" s="237"/>
      <c r="K20" s="237"/>
      <c r="L20" s="237"/>
      <c r="M20" s="237"/>
      <c r="N20" s="237"/>
      <c r="O20" s="237"/>
    </row>
    <row r="21" spans="1:15" ht="37.200000000000003" customHeight="1" x14ac:dyDescent="0.3">
      <c r="A21" s="242" t="s">
        <v>553</v>
      </c>
      <c r="B21" s="242"/>
      <c r="C21" s="242"/>
      <c r="D21" s="235" t="s">
        <v>560</v>
      </c>
      <c r="E21" s="235"/>
      <c r="F21" s="235"/>
      <c r="G21" s="235"/>
      <c r="H21" s="235"/>
      <c r="I21" s="235"/>
      <c r="J21" s="235"/>
      <c r="K21" s="235"/>
      <c r="L21" s="235"/>
      <c r="M21" s="235"/>
      <c r="N21" s="235"/>
      <c r="O21" s="235"/>
    </row>
    <row r="22" spans="1:15" ht="37.200000000000003" customHeight="1" x14ac:dyDescent="0.3">
      <c r="A22" s="239" t="s">
        <v>581</v>
      </c>
      <c r="B22" s="239"/>
      <c r="C22" s="239"/>
      <c r="D22" s="237" t="s">
        <v>582</v>
      </c>
      <c r="E22" s="237"/>
      <c r="F22" s="237"/>
      <c r="G22" s="237"/>
      <c r="H22" s="237"/>
      <c r="I22" s="237"/>
      <c r="J22" s="237"/>
      <c r="K22" s="237"/>
      <c r="L22" s="237"/>
      <c r="M22" s="237"/>
      <c r="N22" s="237"/>
      <c r="O22" s="237"/>
    </row>
  </sheetData>
  <mergeCells count="28">
    <mergeCell ref="A22:C22"/>
    <mergeCell ref="D22:O22"/>
    <mergeCell ref="A1:O2"/>
    <mergeCell ref="A3:O9"/>
    <mergeCell ref="A12:C12"/>
    <mergeCell ref="D12:O12"/>
    <mergeCell ref="A14:C14"/>
    <mergeCell ref="D14:O14"/>
    <mergeCell ref="A21:C21"/>
    <mergeCell ref="A10:C10"/>
    <mergeCell ref="A11:C11"/>
    <mergeCell ref="A13:C13"/>
    <mergeCell ref="A15:C15"/>
    <mergeCell ref="A17:C17"/>
    <mergeCell ref="A19:C19"/>
    <mergeCell ref="A16:C16"/>
    <mergeCell ref="A18:C18"/>
    <mergeCell ref="D18:O18"/>
    <mergeCell ref="A20:C20"/>
    <mergeCell ref="D20:O20"/>
    <mergeCell ref="D21:O21"/>
    <mergeCell ref="D19:O19"/>
    <mergeCell ref="D10:O10"/>
    <mergeCell ref="D11:O11"/>
    <mergeCell ref="D13:O13"/>
    <mergeCell ref="D15:O15"/>
    <mergeCell ref="D17:O17"/>
    <mergeCell ref="D16:O16"/>
  </mergeCells>
  <hyperlinks>
    <hyperlink ref="A10" location="'TOTAL COSTEO'!A1" display="TOTAL COSTEO" xr:uid="{8EAF1162-58B2-4B61-9B86-24AF0FEF5B45}"/>
    <hyperlink ref="A11" location="'1. Participación Territorial'!A1" display="PARTICIPACIÓN TERRITORIAL" xr:uid="{74C18FDC-AAC7-481B-90F9-5A48B12F6106}"/>
    <hyperlink ref="A13" location="'2. Plataforma Web'!A1" display="PLATAFORMA WEB" xr:uid="{535A3C92-8A3E-461B-A152-1E6612768C6E}"/>
    <hyperlink ref="A15" location="'3. App Participación'!A1" display="APLICACIÓN MÓVIL PARA PARTICIPACIÓN" xr:uid="{7215F02E-E006-4841-8F02-26778EDFD75D}"/>
    <hyperlink ref="A17" location="'4. Sistematización y Análisis'!A1" display="EQUIPO DE SISTEMATIZACIÓN Y ANÁLISIS" xr:uid="{73D44F53-1A87-4EC5-A5BE-050D4954934B}"/>
    <hyperlink ref="A19" location="'5. Campaña Comunicacional'!A1" display="CAMPAÑA COMUNICACIONAL" xr:uid="{8975E441-9AFE-426D-AE38-F51405F0A9B8}"/>
    <hyperlink ref="A21" location="'6. Sesiones CC regiones'!A1" display="SESIONES CONVENCIÓN EN REGIONES" xr:uid="{E5E1F1A8-C973-4255-B594-1BA4279BB3C3}"/>
    <hyperlink ref="A12:C12" location="'1. (Insumos)'!A1" display="INSUMOS PARTICIPACIÓN TERRITORIAL" xr:uid="{3794448A-02B6-419E-A030-FF043EC96F67}"/>
    <hyperlink ref="A14:C14" location="'2. (Insumos)'!A1" display="INSUMOS PLATAFORMA WEB" xr:uid="{B6FDFDD8-EF55-40F3-BD58-A7A9837CBFB9}"/>
    <hyperlink ref="A16:C16" location="'3. (Insumos)'!A1" display="INSUMOS APLICACIÓN MÓVIL PARA PARTICIPACIÓN" xr:uid="{0060B53A-DC21-4A1C-A026-1A4F40B86550}"/>
    <hyperlink ref="A18:C18" location="'4. (Insumos)'!A1" display="INSUMOS EQUIPO DE SISTEMATIZACIÓN Y ANÁLISIS" xr:uid="{692C9478-6BC4-4330-98EC-B9CA0ED07F23}"/>
    <hyperlink ref="A20:C20" location="'5. (Insumos)'!A1" display="INSUMOS EQUIPO DE SISTEMATIZACIÓN Y ANÁLISIS" xr:uid="{4EA7DFC7-7B3E-4640-A8DE-65EEABA4B2B5}"/>
    <hyperlink ref="A22:C22" location="'6. (Insumos)'!A1" display="INSUMOS CAMPAÑA COMUNICACIONAL" xr:uid="{44DB707B-9E4E-400F-A190-8FAE7473B24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0"/>
  <sheetViews>
    <sheetView zoomScale="85" zoomScaleNormal="85" workbookViewId="0"/>
  </sheetViews>
  <sheetFormatPr baseColWidth="10" defaultColWidth="11.5546875" defaultRowHeight="14.4" x14ac:dyDescent="0.3"/>
  <cols>
    <col min="2" max="2" width="36.88671875" bestFit="1" customWidth="1"/>
    <col min="4" max="4" width="125.5546875" bestFit="1" customWidth="1"/>
    <col min="5" max="5" width="20.77734375" bestFit="1" customWidth="1"/>
  </cols>
  <sheetData>
    <row r="1" spans="1:5" s="192" customFormat="1" ht="18" x14ac:dyDescent="0.35">
      <c r="A1" s="191" t="s">
        <v>85</v>
      </c>
    </row>
    <row r="2" spans="1:5" x14ac:dyDescent="0.3">
      <c r="A2" s="6" t="s">
        <v>10</v>
      </c>
    </row>
    <row r="3" spans="1:5" x14ac:dyDescent="0.3">
      <c r="A3" t="s">
        <v>14</v>
      </c>
    </row>
    <row r="5" spans="1:5" x14ac:dyDescent="0.3">
      <c r="A5" s="7" t="s">
        <v>69</v>
      </c>
      <c r="C5" s="1"/>
    </row>
    <row r="6" spans="1:5" x14ac:dyDescent="0.3">
      <c r="A6" s="7"/>
      <c r="B6" t="s">
        <v>86</v>
      </c>
      <c r="C6" s="11" t="s">
        <v>88</v>
      </c>
    </row>
    <row r="7" spans="1:5" x14ac:dyDescent="0.3">
      <c r="A7" s="7"/>
      <c r="B7" t="s">
        <v>77</v>
      </c>
      <c r="C7" s="11" t="s">
        <v>87</v>
      </c>
    </row>
    <row r="9" spans="1:5" x14ac:dyDescent="0.3">
      <c r="A9" s="70">
        <v>1</v>
      </c>
      <c r="B9" s="69" t="s">
        <v>89</v>
      </c>
      <c r="C9" s="70" t="s">
        <v>53</v>
      </c>
      <c r="D9" s="70" t="s">
        <v>56</v>
      </c>
      <c r="E9" s="70" t="s">
        <v>38</v>
      </c>
    </row>
    <row r="10" spans="1:5" x14ac:dyDescent="0.3">
      <c r="B10" t="s">
        <v>90</v>
      </c>
      <c r="C10" s="41">
        <v>6752440</v>
      </c>
      <c r="D10" t="s">
        <v>175</v>
      </c>
      <c r="E10" t="s">
        <v>173</v>
      </c>
    </row>
    <row r="11" spans="1:5" x14ac:dyDescent="0.3">
      <c r="B11" t="s">
        <v>135</v>
      </c>
      <c r="C11" s="41">
        <v>4985942</v>
      </c>
      <c r="D11" t="s">
        <v>174</v>
      </c>
      <c r="E11" t="s">
        <v>173</v>
      </c>
    </row>
    <row r="12" spans="1:5" x14ac:dyDescent="0.3">
      <c r="B12" t="s">
        <v>136</v>
      </c>
      <c r="C12" s="41">
        <v>1900361</v>
      </c>
      <c r="D12" t="s">
        <v>176</v>
      </c>
      <c r="E12" t="s">
        <v>173</v>
      </c>
    </row>
    <row r="13" spans="1:5" x14ac:dyDescent="0.3">
      <c r="B13" t="s">
        <v>629</v>
      </c>
      <c r="C13" s="41">
        <v>1900361</v>
      </c>
      <c r="D13" t="s">
        <v>630</v>
      </c>
      <c r="E13" t="s">
        <v>173</v>
      </c>
    </row>
    <row r="15" spans="1:5" x14ac:dyDescent="0.3">
      <c r="A15" s="9">
        <v>2</v>
      </c>
      <c r="B15" s="6" t="s">
        <v>91</v>
      </c>
      <c r="C15" s="9" t="s">
        <v>53</v>
      </c>
      <c r="D15" s="9" t="s">
        <v>56</v>
      </c>
      <c r="E15" s="9" t="s">
        <v>38</v>
      </c>
    </row>
    <row r="16" spans="1:5" x14ac:dyDescent="0.3">
      <c r="B16" t="s">
        <v>359</v>
      </c>
      <c r="C16" s="123">
        <v>0.22</v>
      </c>
      <c r="D16" t="s">
        <v>368</v>
      </c>
      <c r="E16" t="s">
        <v>367</v>
      </c>
    </row>
    <row r="17" spans="1:6" x14ac:dyDescent="0.3">
      <c r="B17" t="s">
        <v>366</v>
      </c>
      <c r="C17" s="128">
        <v>7.0000000000000001E-3</v>
      </c>
      <c r="D17" t="s">
        <v>562</v>
      </c>
      <c r="E17" t="s">
        <v>367</v>
      </c>
    </row>
    <row r="20" spans="1:6" x14ac:dyDescent="0.3">
      <c r="A20" s="70"/>
      <c r="B20" s="69"/>
      <c r="C20" s="70"/>
      <c r="D20" s="70"/>
      <c r="E20" s="70"/>
      <c r="F20" s="1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0"/>
  <sheetViews>
    <sheetView zoomScale="85" zoomScaleNormal="85" workbookViewId="0"/>
  </sheetViews>
  <sheetFormatPr baseColWidth="10" defaultColWidth="11.5546875" defaultRowHeight="14.4" x14ac:dyDescent="0.3"/>
  <cols>
    <col min="1" max="1" width="44" customWidth="1"/>
    <col min="2" max="4" width="21.33203125" customWidth="1"/>
  </cols>
  <sheetData>
    <row r="1" spans="1:4" s="192" customFormat="1" ht="18" x14ac:dyDescent="0.35">
      <c r="A1" s="191" t="s">
        <v>92</v>
      </c>
    </row>
    <row r="2" spans="1:4" x14ac:dyDescent="0.3">
      <c r="A2" s="6" t="s">
        <v>8</v>
      </c>
    </row>
    <row r="3" spans="1:4" x14ac:dyDescent="0.3">
      <c r="A3" s="6"/>
    </row>
    <row r="4" spans="1:4" x14ac:dyDescent="0.3">
      <c r="A4" s="182" t="s">
        <v>69</v>
      </c>
      <c r="B4" s="183"/>
      <c r="C4" s="183"/>
      <c r="D4" s="183"/>
    </row>
    <row r="5" spans="1:4" x14ac:dyDescent="0.3">
      <c r="A5" s="6" t="s">
        <v>463</v>
      </c>
      <c r="B5" t="s">
        <v>464</v>
      </c>
    </row>
    <row r="6" spans="1:4" x14ac:dyDescent="0.3">
      <c r="A6" s="6" t="s">
        <v>457</v>
      </c>
      <c r="B6" s="123">
        <v>0.3</v>
      </c>
      <c r="C6" t="s">
        <v>535</v>
      </c>
    </row>
    <row r="7" spans="1:4" x14ac:dyDescent="0.3">
      <c r="A7" s="6"/>
    </row>
    <row r="8" spans="1:4" x14ac:dyDescent="0.3">
      <c r="A8" s="182" t="s">
        <v>534</v>
      </c>
      <c r="B8" s="183"/>
      <c r="C8" s="183"/>
      <c r="D8" s="183"/>
    </row>
    <row r="9" spans="1:4" x14ac:dyDescent="0.3">
      <c r="A9" s="6"/>
      <c r="B9" s="142">
        <v>0.33</v>
      </c>
      <c r="C9" s="142">
        <v>0.5</v>
      </c>
      <c r="D9" s="40" t="s">
        <v>458</v>
      </c>
    </row>
    <row r="10" spans="1:4" x14ac:dyDescent="0.3">
      <c r="B10" s="1" t="s">
        <v>213</v>
      </c>
      <c r="C10" s="1" t="s">
        <v>214</v>
      </c>
      <c r="D10" s="1" t="s">
        <v>471</v>
      </c>
    </row>
    <row r="11" spans="1:4" x14ac:dyDescent="0.3">
      <c r="B11" s="40" t="s">
        <v>446</v>
      </c>
      <c r="C11" s="40" t="s">
        <v>207</v>
      </c>
      <c r="D11" s="40" t="s">
        <v>208</v>
      </c>
    </row>
    <row r="12" spans="1:4" x14ac:dyDescent="0.3">
      <c r="A12" t="s">
        <v>99</v>
      </c>
      <c r="B12" s="324" t="s">
        <v>215</v>
      </c>
      <c r="C12" s="324"/>
      <c r="D12" s="324"/>
    </row>
    <row r="13" spans="1:4" x14ac:dyDescent="0.3">
      <c r="A13" t="s">
        <v>216</v>
      </c>
      <c r="B13" s="324" t="s">
        <v>199</v>
      </c>
      <c r="C13" s="324"/>
      <c r="D13" s="324"/>
    </row>
    <row r="14" spans="1:4" x14ac:dyDescent="0.3">
      <c r="A14" t="s">
        <v>217</v>
      </c>
      <c r="B14" s="324" t="s">
        <v>199</v>
      </c>
      <c r="C14" s="324"/>
      <c r="D14" s="324"/>
    </row>
    <row r="15" spans="1:4" x14ac:dyDescent="0.3">
      <c r="A15" t="s">
        <v>222</v>
      </c>
      <c r="B15" s="324" t="s">
        <v>570</v>
      </c>
      <c r="C15" s="324"/>
      <c r="D15" s="324"/>
    </row>
    <row r="16" spans="1:4" x14ac:dyDescent="0.3">
      <c r="A16" t="s">
        <v>223</v>
      </c>
      <c r="B16" s="324" t="s">
        <v>570</v>
      </c>
      <c r="C16" s="324"/>
      <c r="D16" s="324"/>
    </row>
    <row r="17" spans="1:4" x14ac:dyDescent="0.3">
      <c r="A17" t="s">
        <v>568</v>
      </c>
      <c r="B17" s="324" t="s">
        <v>569</v>
      </c>
      <c r="C17" s="324"/>
      <c r="D17" s="324"/>
    </row>
    <row r="19" spans="1:4" x14ac:dyDescent="0.3">
      <c r="A19" s="182" t="s">
        <v>286</v>
      </c>
      <c r="B19" s="183"/>
      <c r="C19" s="183"/>
      <c r="D19" s="183"/>
    </row>
    <row r="20" spans="1:4" ht="15" thickBot="1" x14ac:dyDescent="0.35">
      <c r="B20" s="40" t="s">
        <v>231</v>
      </c>
      <c r="C20" s="40" t="s">
        <v>232</v>
      </c>
      <c r="D20" s="40" t="s">
        <v>233</v>
      </c>
    </row>
    <row r="21" spans="1:4" ht="15" thickBot="1" x14ac:dyDescent="0.35">
      <c r="A21" s="184" t="s">
        <v>329</v>
      </c>
      <c r="B21" s="187">
        <f>SUM(B22:B25)</f>
        <v>825228000</v>
      </c>
      <c r="C21" s="187">
        <f>SUM(C22:C25)</f>
        <v>1341128000</v>
      </c>
      <c r="D21" s="188">
        <f>SUM(D22:D25)</f>
        <v>2111128000</v>
      </c>
    </row>
    <row r="22" spans="1:4" x14ac:dyDescent="0.3">
      <c r="A22" s="69" t="s">
        <v>465</v>
      </c>
      <c r="B22" s="109">
        <f>('5. (Insumos)'!$C$11*$B$6)*3</f>
        <v>495000000</v>
      </c>
      <c r="C22" s="109">
        <f>('5. (Insumos)'!$C$11*$B$6)*3</f>
        <v>495000000</v>
      </c>
      <c r="D22" s="109">
        <f>('5. (Insumos)'!$C$11*$B$6)*3</f>
        <v>495000000</v>
      </c>
    </row>
    <row r="23" spans="1:4" x14ac:dyDescent="0.3">
      <c r="A23" s="69" t="s">
        <v>467</v>
      </c>
      <c r="B23" s="109">
        <f>C23*$B$9</f>
        <v>254100000</v>
      </c>
      <c r="C23" s="109">
        <f>D23*$C$9</f>
        <v>770000000</v>
      </c>
      <c r="D23" s="109">
        <f>'5. (Insumos)'!C11*(1-'5. Campaña Comunicacional'!B6)*(1/3)*(2+8+2)</f>
        <v>1540000000</v>
      </c>
    </row>
    <row r="24" spans="1:4" x14ac:dyDescent="0.3">
      <c r="A24" s="127" t="s">
        <v>466</v>
      </c>
      <c r="B24" s="109">
        <f>('5. (Insumos)'!C30+'5. (Insumos)'!C31)*12</f>
        <v>62400000</v>
      </c>
      <c r="C24" s="109">
        <f>('5. (Insumos)'!C30+'5. (Insumos)'!C31)*12</f>
        <v>62400000</v>
      </c>
      <c r="D24" s="41">
        <f>('5. (Insumos)'!C30+'5. (Insumos)'!C31)*12</f>
        <v>62400000</v>
      </c>
    </row>
    <row r="25" spans="1:4" x14ac:dyDescent="0.3">
      <c r="A25" s="127" t="s">
        <v>468</v>
      </c>
      <c r="B25" s="41">
        <f>D24*22%</f>
        <v>13728000</v>
      </c>
      <c r="C25" s="41">
        <f>D24*22%</f>
        <v>13728000</v>
      </c>
      <c r="D25" s="41">
        <f>D24*22%</f>
        <v>13728000</v>
      </c>
    </row>
    <row r="27" spans="1:4" x14ac:dyDescent="0.3">
      <c r="A27" s="175" t="s">
        <v>515</v>
      </c>
      <c r="B27" s="176">
        <v>0</v>
      </c>
    </row>
    <row r="28" spans="1:4" x14ac:dyDescent="0.3">
      <c r="A28" s="175" t="s">
        <v>509</v>
      </c>
      <c r="B28" s="176">
        <f>B21</f>
        <v>825228000</v>
      </c>
    </row>
    <row r="29" spans="1:4" x14ac:dyDescent="0.3">
      <c r="A29" s="175" t="s">
        <v>510</v>
      </c>
      <c r="B29" s="176">
        <f>C21</f>
        <v>1341128000</v>
      </c>
    </row>
    <row r="30" spans="1:4" x14ac:dyDescent="0.3">
      <c r="A30" s="175" t="s">
        <v>511</v>
      </c>
      <c r="B30" s="176">
        <f>D21</f>
        <v>2111128000</v>
      </c>
    </row>
  </sheetData>
  <mergeCells count="6">
    <mergeCell ref="B17:D17"/>
    <mergeCell ref="B13:D13"/>
    <mergeCell ref="B14:D14"/>
    <mergeCell ref="B12:D12"/>
    <mergeCell ref="B15:D15"/>
    <mergeCell ref="B16:D1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1"/>
  <sheetViews>
    <sheetView zoomScale="85" zoomScaleNormal="85" workbookViewId="0"/>
  </sheetViews>
  <sheetFormatPr baseColWidth="10" defaultColWidth="11.5546875" defaultRowHeight="14.4" x14ac:dyDescent="0.3"/>
  <cols>
    <col min="2" max="2" width="33.21875" bestFit="1" customWidth="1"/>
    <col min="3" max="3" width="21.77734375" customWidth="1"/>
    <col min="4" max="4" width="140.77734375" bestFit="1" customWidth="1"/>
    <col min="5" max="5" width="21.77734375" customWidth="1"/>
  </cols>
  <sheetData>
    <row r="1" spans="1:6" s="192" customFormat="1" ht="18" x14ac:dyDescent="0.35">
      <c r="A1" s="191" t="s">
        <v>92</v>
      </c>
    </row>
    <row r="2" spans="1:6" x14ac:dyDescent="0.3">
      <c r="A2" s="6" t="s">
        <v>10</v>
      </c>
    </row>
    <row r="3" spans="1:6" x14ac:dyDescent="0.3">
      <c r="A3" t="s">
        <v>14</v>
      </c>
    </row>
    <row r="5" spans="1:6" x14ac:dyDescent="0.3">
      <c r="A5" s="7" t="s">
        <v>69</v>
      </c>
      <c r="C5" s="7" t="s">
        <v>115</v>
      </c>
    </row>
    <row r="6" spans="1:6" x14ac:dyDescent="0.3">
      <c r="A6" s="7"/>
      <c r="B6" t="s">
        <v>93</v>
      </c>
      <c r="C6" s="11" t="s">
        <v>94</v>
      </c>
    </row>
    <row r="7" spans="1:6" x14ac:dyDescent="0.3">
      <c r="A7" s="7"/>
      <c r="B7" t="s">
        <v>95</v>
      </c>
      <c r="C7" s="16" t="s">
        <v>125</v>
      </c>
      <c r="D7" s="17"/>
      <c r="E7" s="17"/>
      <c r="F7" s="17"/>
    </row>
    <row r="8" spans="1:6" x14ac:dyDescent="0.3">
      <c r="A8" s="7"/>
      <c r="B8" t="s">
        <v>96</v>
      </c>
      <c r="C8" s="11" t="s">
        <v>124</v>
      </c>
    </row>
    <row r="10" spans="1:6" x14ac:dyDescent="0.3">
      <c r="A10" s="6" t="s">
        <v>447</v>
      </c>
      <c r="B10" s="29"/>
      <c r="C10" s="40" t="s">
        <v>53</v>
      </c>
      <c r="D10" s="40" t="s">
        <v>56</v>
      </c>
      <c r="E10" s="40" t="s">
        <v>38</v>
      </c>
    </row>
    <row r="11" spans="1:6" x14ac:dyDescent="0.3">
      <c r="B11" s="94" t="s">
        <v>450</v>
      </c>
      <c r="C11" s="42">
        <v>550000000</v>
      </c>
      <c r="D11" t="s">
        <v>451</v>
      </c>
      <c r="E11" s="79" t="s">
        <v>449</v>
      </c>
    </row>
    <row r="13" spans="1:6" x14ac:dyDescent="0.3">
      <c r="A13" s="9">
        <v>1</v>
      </c>
      <c r="B13" s="6" t="s">
        <v>98</v>
      </c>
      <c r="C13" s="9" t="s">
        <v>53</v>
      </c>
      <c r="D13" s="9" t="s">
        <v>56</v>
      </c>
      <c r="E13" s="9" t="s">
        <v>38</v>
      </c>
    </row>
    <row r="14" spans="1:6" x14ac:dyDescent="0.3">
      <c r="A14" s="1" t="s">
        <v>59</v>
      </c>
      <c r="B14" t="s">
        <v>99</v>
      </c>
      <c r="C14" s="1" t="s">
        <v>452</v>
      </c>
      <c r="D14" s="316" t="s">
        <v>469</v>
      </c>
      <c r="E14" s="325" t="s">
        <v>448</v>
      </c>
    </row>
    <row r="15" spans="1:6" x14ac:dyDescent="0.3">
      <c r="A15" s="1" t="s">
        <v>60</v>
      </c>
      <c r="B15" t="s">
        <v>100</v>
      </c>
      <c r="C15" s="1" t="s">
        <v>452</v>
      </c>
      <c r="D15" s="316"/>
      <c r="E15" s="316"/>
    </row>
    <row r="16" spans="1:6" x14ac:dyDescent="0.3">
      <c r="A16" s="1" t="s">
        <v>61</v>
      </c>
      <c r="B16" t="s">
        <v>101</v>
      </c>
      <c r="C16" s="1" t="s">
        <v>452</v>
      </c>
      <c r="D16" s="316"/>
      <c r="E16" s="316"/>
    </row>
    <row r="17" spans="1:5" x14ac:dyDescent="0.3">
      <c r="A17" s="1"/>
      <c r="C17" s="1"/>
      <c r="D17" s="1"/>
      <c r="E17" s="1"/>
    </row>
    <row r="18" spans="1:5" x14ac:dyDescent="0.3">
      <c r="A18" s="9">
        <v>2</v>
      </c>
      <c r="B18" s="6" t="s">
        <v>102</v>
      </c>
      <c r="C18" s="9" t="s">
        <v>53</v>
      </c>
      <c r="D18" s="9" t="s">
        <v>56</v>
      </c>
      <c r="E18" s="9" t="s">
        <v>38</v>
      </c>
    </row>
    <row r="19" spans="1:5" x14ac:dyDescent="0.3">
      <c r="A19" s="1" t="s">
        <v>59</v>
      </c>
      <c r="B19" t="s">
        <v>103</v>
      </c>
      <c r="C19" s="1" t="s">
        <v>452</v>
      </c>
      <c r="D19" s="316" t="s">
        <v>469</v>
      </c>
      <c r="E19" s="325" t="s">
        <v>449</v>
      </c>
    </row>
    <row r="20" spans="1:5" x14ac:dyDescent="0.3">
      <c r="A20" s="1" t="s">
        <v>60</v>
      </c>
      <c r="B20" t="s">
        <v>104</v>
      </c>
      <c r="C20" s="1" t="s">
        <v>452</v>
      </c>
      <c r="D20" s="316"/>
      <c r="E20" s="316"/>
    </row>
    <row r="21" spans="1:5" x14ac:dyDescent="0.3">
      <c r="A21" s="1" t="s">
        <v>61</v>
      </c>
      <c r="B21" t="s">
        <v>105</v>
      </c>
      <c r="C21" s="1" t="s">
        <v>452</v>
      </c>
      <c r="D21" s="316"/>
      <c r="E21" s="316"/>
    </row>
    <row r="22" spans="1:5" x14ac:dyDescent="0.3">
      <c r="A22" s="1" t="s">
        <v>64</v>
      </c>
      <c r="B22" t="s">
        <v>106</v>
      </c>
      <c r="C22" s="1"/>
      <c r="D22" s="316"/>
      <c r="E22" s="316"/>
    </row>
    <row r="23" spans="1:5" x14ac:dyDescent="0.3">
      <c r="A23" s="49"/>
      <c r="B23" s="14" t="s">
        <v>453</v>
      </c>
      <c r="C23" s="49" t="s">
        <v>452</v>
      </c>
      <c r="D23" s="316"/>
      <c r="E23" s="316"/>
    </row>
    <row r="24" spans="1:5" x14ac:dyDescent="0.3">
      <c r="A24" s="1"/>
      <c r="B24" s="14" t="s">
        <v>107</v>
      </c>
      <c r="C24" s="1" t="s">
        <v>452</v>
      </c>
      <c r="D24" s="316"/>
      <c r="E24" s="316"/>
    </row>
    <row r="25" spans="1:5" x14ac:dyDescent="0.3">
      <c r="A25" s="1"/>
      <c r="B25" s="14" t="s">
        <v>108</v>
      </c>
      <c r="C25" s="1" t="s">
        <v>452</v>
      </c>
      <c r="D25" s="316"/>
      <c r="E25" s="316"/>
    </row>
    <row r="26" spans="1:5" x14ac:dyDescent="0.3">
      <c r="A26" s="1"/>
      <c r="B26" s="14" t="s">
        <v>109</v>
      </c>
      <c r="C26" s="1" t="s">
        <v>452</v>
      </c>
      <c r="D26" s="316"/>
      <c r="E26" s="316"/>
    </row>
    <row r="27" spans="1:5" x14ac:dyDescent="0.3">
      <c r="A27" s="49" t="s">
        <v>65</v>
      </c>
      <c r="B27" s="14" t="s">
        <v>454</v>
      </c>
      <c r="C27" s="49" t="s">
        <v>452</v>
      </c>
      <c r="D27" s="316"/>
      <c r="E27" s="316"/>
    </row>
    <row r="28" spans="1:5" x14ac:dyDescent="0.3">
      <c r="A28" s="49" t="s">
        <v>455</v>
      </c>
      <c r="B28" s="14" t="s">
        <v>456</v>
      </c>
      <c r="C28" s="49" t="s">
        <v>452</v>
      </c>
      <c r="D28" s="316"/>
      <c r="E28" s="316"/>
    </row>
    <row r="29" spans="1:5" x14ac:dyDescent="0.3">
      <c r="A29" s="1"/>
      <c r="C29" s="1"/>
      <c r="D29" s="1"/>
      <c r="E29" s="1"/>
    </row>
    <row r="30" spans="1:5" x14ac:dyDescent="0.3">
      <c r="A30" s="40">
        <v>3</v>
      </c>
      <c r="B30" s="11" t="s">
        <v>459</v>
      </c>
      <c r="C30" s="42">
        <v>3300000</v>
      </c>
      <c r="D30" t="s">
        <v>461</v>
      </c>
      <c r="E30" s="79" t="s">
        <v>470</v>
      </c>
    </row>
    <row r="31" spans="1:5" x14ac:dyDescent="0.3">
      <c r="B31" s="11" t="s">
        <v>460</v>
      </c>
      <c r="C31" s="42">
        <v>1900000</v>
      </c>
      <c r="D31" t="s">
        <v>462</v>
      </c>
      <c r="E31" s="79" t="s">
        <v>470</v>
      </c>
    </row>
  </sheetData>
  <mergeCells count="4">
    <mergeCell ref="D14:D16"/>
    <mergeCell ref="D19:D28"/>
    <mergeCell ref="E14:E16"/>
    <mergeCell ref="E19:E28"/>
  </mergeCells>
  <hyperlinks>
    <hyperlink ref="E11" r:id="rId1" xr:uid="{BB12D06E-72EF-45C4-BD06-01147BFB08B9}"/>
    <hyperlink ref="E14" r:id="rId2" xr:uid="{5930F354-4CBA-4AE4-85D3-22E6AF0FD0C9}"/>
    <hyperlink ref="E19" r:id="rId3" xr:uid="{E93C1CD3-D314-4E9F-8BE8-83A1A1FAEB0D}"/>
    <hyperlink ref="E30" r:id="rId4" xr:uid="{B0B54480-59B7-4406-9474-2A1520A81DA0}"/>
    <hyperlink ref="E31" r:id="rId5" xr:uid="{BF4405C0-3D49-4173-A5E0-D9AF24DBFFB1}"/>
  </hyperlinks>
  <pageMargins left="0.7" right="0.7" top="0.75" bottom="0.75" header="0.3" footer="0.3"/>
  <pageSetup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8"/>
  <sheetViews>
    <sheetView zoomScale="85" zoomScaleNormal="85" workbookViewId="0"/>
  </sheetViews>
  <sheetFormatPr baseColWidth="10" defaultColWidth="11.5546875" defaultRowHeight="14.4" x14ac:dyDescent="0.3"/>
  <cols>
    <col min="1" max="1" width="52.33203125" customWidth="1"/>
    <col min="2" max="4" width="21.109375" customWidth="1"/>
  </cols>
  <sheetData>
    <row r="1" spans="1:4" s="192" customFormat="1" ht="18" x14ac:dyDescent="0.35">
      <c r="A1" s="191" t="s">
        <v>110</v>
      </c>
    </row>
    <row r="2" spans="1:4" x14ac:dyDescent="0.3">
      <c r="A2" s="6" t="s">
        <v>8</v>
      </c>
    </row>
    <row r="4" spans="1:4" x14ac:dyDescent="0.3">
      <c r="A4" s="182" t="s">
        <v>390</v>
      </c>
      <c r="B4" s="183"/>
      <c r="C4" s="183"/>
      <c r="D4" s="183"/>
    </row>
    <row r="5" spans="1:4" x14ac:dyDescent="0.3">
      <c r="A5" t="s">
        <v>393</v>
      </c>
      <c r="B5" t="s">
        <v>398</v>
      </c>
    </row>
    <row r="6" spans="1:4" x14ac:dyDescent="0.3">
      <c r="A6" t="s">
        <v>391</v>
      </c>
      <c r="B6" t="s">
        <v>392</v>
      </c>
    </row>
    <row r="7" spans="1:4" x14ac:dyDescent="0.3">
      <c r="A7" t="s">
        <v>394</v>
      </c>
      <c r="B7" t="s">
        <v>395</v>
      </c>
    </row>
    <row r="8" spans="1:4" x14ac:dyDescent="0.3">
      <c r="A8" t="s">
        <v>396</v>
      </c>
      <c r="B8" t="s">
        <v>397</v>
      </c>
    </row>
    <row r="9" spans="1:4" x14ac:dyDescent="0.3">
      <c r="A9" s="17" t="s">
        <v>399</v>
      </c>
      <c r="B9" s="55">
        <v>10</v>
      </c>
      <c r="C9" s="16" t="s">
        <v>431</v>
      </c>
    </row>
    <row r="10" spans="1:4" x14ac:dyDescent="0.3">
      <c r="A10" s="17"/>
      <c r="B10" s="17"/>
      <c r="C10" s="17"/>
    </row>
    <row r="11" spans="1:4" x14ac:dyDescent="0.3">
      <c r="A11" s="182" t="s">
        <v>388</v>
      </c>
      <c r="B11" s="189" t="s">
        <v>218</v>
      </c>
      <c r="C11" s="189" t="s">
        <v>219</v>
      </c>
      <c r="D11" s="189" t="s">
        <v>208</v>
      </c>
    </row>
    <row r="12" spans="1:4" x14ac:dyDescent="0.3">
      <c r="A12" s="17" t="s">
        <v>389</v>
      </c>
      <c r="B12" s="55">
        <v>1</v>
      </c>
      <c r="C12" s="55">
        <v>2</v>
      </c>
      <c r="D12" s="55">
        <v>3</v>
      </c>
    </row>
    <row r="13" spans="1:4" ht="15" thickBot="1" x14ac:dyDescent="0.35">
      <c r="A13" s="17"/>
      <c r="B13" s="55"/>
      <c r="C13" s="55"/>
      <c r="D13" s="49"/>
    </row>
    <row r="14" spans="1:4" ht="15" thickBot="1" x14ac:dyDescent="0.35">
      <c r="A14" s="184" t="s">
        <v>286</v>
      </c>
      <c r="B14" s="187">
        <f>SUM(B15:B20)</f>
        <v>609245700</v>
      </c>
      <c r="C14" s="187">
        <f>SUM(C15:C20)</f>
        <v>819848154</v>
      </c>
      <c r="D14" s="188">
        <f>SUM(D15:D20)</f>
        <v>1030450608</v>
      </c>
    </row>
    <row r="15" spans="1:4" x14ac:dyDescent="0.3">
      <c r="A15" t="s">
        <v>435</v>
      </c>
      <c r="B15" s="42">
        <f>(SUM('6. (Insumos)'!$C$12:$C$26))*155*B12</f>
        <v>170122730</v>
      </c>
      <c r="C15" s="42">
        <f>(SUM('6. (Insumos)'!$C$12:$C$26))*155*C12</f>
        <v>340245460</v>
      </c>
      <c r="D15" s="42">
        <f>(SUM('6. (Insumos)'!$C$12:$C$26))*155*D12</f>
        <v>510368190</v>
      </c>
    </row>
    <row r="16" spans="1:4" x14ac:dyDescent="0.3">
      <c r="A16" t="s">
        <v>436</v>
      </c>
      <c r="B16" s="42">
        <f>(SUM('6. (Insumos)'!$C$12:$C$26))*$B$9*B12</f>
        <v>10975660</v>
      </c>
      <c r="C16" s="42">
        <f>(SUM('6. (Insumos)'!$C$12:$C$26))*$B$9*C12</f>
        <v>21951320</v>
      </c>
      <c r="D16" s="42">
        <f>(SUM('6. (Insumos)'!$C$12:$C$26))*$B$9*D12</f>
        <v>32926980</v>
      </c>
    </row>
    <row r="17" spans="1:4" x14ac:dyDescent="0.3">
      <c r="A17" t="s">
        <v>437</v>
      </c>
      <c r="B17" s="42">
        <f>((155*'6. (Insumos)'!$C$29)+('6. Sesiones CC regiones'!$B$9*'6. (Insumos)'!$C$30))*2*'6. Sesiones CC regiones'!B12</f>
        <v>25589670</v>
      </c>
      <c r="C17" s="42">
        <f>((155*'6. (Insumos)'!$C$29)+('6. Sesiones CC regiones'!$B$9*'6. (Insumos)'!$C$30))*2*'6. Sesiones CC regiones'!C12</f>
        <v>51179340</v>
      </c>
      <c r="D17" s="42">
        <f>((155*'6. (Insumos)'!$C$29)+('6. Sesiones CC regiones'!$B$9*'6. (Insumos)'!$C$30))*2*'6. Sesiones CC regiones'!D12</f>
        <v>76769010</v>
      </c>
    </row>
    <row r="18" spans="1:4" x14ac:dyDescent="0.3">
      <c r="A18" t="s">
        <v>438</v>
      </c>
      <c r="B18" s="42">
        <f>('1. (Insumos)'!$C$67+'1. (Insumos)'!$B$77)*2*'6. Sesiones CC regiones'!B12</f>
        <v>3914394</v>
      </c>
      <c r="C18" s="42">
        <f>('1. (Insumos)'!$C$67+'1. (Insumos)'!$B$77)*2*'6. Sesiones CC regiones'!C12</f>
        <v>7828788</v>
      </c>
      <c r="D18" s="42">
        <f>('1. (Insumos)'!$C$67+'1. (Insumos)'!$B$77)*2*'6. Sesiones CC regiones'!D12</f>
        <v>11743182</v>
      </c>
    </row>
    <row r="19" spans="1:4" x14ac:dyDescent="0.3">
      <c r="A19" t="s">
        <v>439</v>
      </c>
      <c r="B19" s="42">
        <f>'6. (Insumos)'!$C$33</f>
        <v>108130064</v>
      </c>
      <c r="C19" s="42">
        <f>'6. (Insumos)'!$C$33</f>
        <v>108130064</v>
      </c>
      <c r="D19" s="42">
        <f>'6. (Insumos)'!$C$33</f>
        <v>108130064</v>
      </c>
    </row>
    <row r="20" spans="1:4" x14ac:dyDescent="0.3">
      <c r="A20" t="s">
        <v>445</v>
      </c>
      <c r="B20" s="77">
        <f>'6. (Insumos)'!$C$34</f>
        <v>290513182</v>
      </c>
      <c r="C20" s="77">
        <f>'6. (Insumos)'!$C$34</f>
        <v>290513182</v>
      </c>
      <c r="D20" s="77">
        <f>'6. (Insumos)'!$C$34</f>
        <v>290513182</v>
      </c>
    </row>
    <row r="22" spans="1:4" x14ac:dyDescent="0.3">
      <c r="A22" t="s">
        <v>516</v>
      </c>
      <c r="B22" s="41">
        <v>0</v>
      </c>
    </row>
    <row r="23" spans="1:4" x14ac:dyDescent="0.3">
      <c r="A23" s="175" t="s">
        <v>536</v>
      </c>
      <c r="B23" s="41">
        <f>B14</f>
        <v>609245700</v>
      </c>
    </row>
    <row r="24" spans="1:4" x14ac:dyDescent="0.3">
      <c r="A24" s="175" t="s">
        <v>537</v>
      </c>
      <c r="B24" s="41">
        <f>B14-B18</f>
        <v>605331306</v>
      </c>
    </row>
    <row r="25" spans="1:4" x14ac:dyDescent="0.3">
      <c r="A25" s="175" t="s">
        <v>538</v>
      </c>
      <c r="B25" s="41">
        <f>C14</f>
        <v>819848154</v>
      </c>
    </row>
    <row r="26" spans="1:4" x14ac:dyDescent="0.3">
      <c r="A26" s="175" t="s">
        <v>539</v>
      </c>
      <c r="B26" s="41">
        <f>C14-C18</f>
        <v>812019366</v>
      </c>
    </row>
    <row r="27" spans="1:4" x14ac:dyDescent="0.3">
      <c r="A27" s="175" t="s">
        <v>540</v>
      </c>
      <c r="B27" s="41">
        <f>D14</f>
        <v>1030450608</v>
      </c>
    </row>
    <row r="28" spans="1:4" x14ac:dyDescent="0.3">
      <c r="A28" s="175" t="s">
        <v>566</v>
      </c>
      <c r="B28" s="41">
        <f>D14-D18</f>
        <v>1018707426</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41"/>
  <sheetViews>
    <sheetView zoomScale="85" zoomScaleNormal="85" workbookViewId="0"/>
  </sheetViews>
  <sheetFormatPr baseColWidth="10" defaultColWidth="11.5546875" defaultRowHeight="14.4" x14ac:dyDescent="0.3"/>
  <cols>
    <col min="1" max="1" width="7.44140625" customWidth="1"/>
    <col min="2" max="2" width="30" bestFit="1" customWidth="1"/>
    <col min="3" max="3" width="22" customWidth="1"/>
    <col min="4" max="4" width="131.6640625" bestFit="1" customWidth="1"/>
    <col min="5" max="5" width="22" customWidth="1"/>
  </cols>
  <sheetData>
    <row r="1" spans="1:9" s="192" customFormat="1" ht="18" x14ac:dyDescent="0.35">
      <c r="A1" s="191" t="s">
        <v>110</v>
      </c>
    </row>
    <row r="2" spans="1:9" x14ac:dyDescent="0.3">
      <c r="A2" s="6" t="s">
        <v>10</v>
      </c>
    </row>
    <row r="3" spans="1:9" x14ac:dyDescent="0.3">
      <c r="A3" t="s">
        <v>14</v>
      </c>
    </row>
    <row r="5" spans="1:9" x14ac:dyDescent="0.3">
      <c r="A5" s="7" t="s">
        <v>69</v>
      </c>
      <c r="C5" s="16"/>
      <c r="D5" s="17"/>
      <c r="E5" s="17"/>
    </row>
    <row r="6" spans="1:9" x14ac:dyDescent="0.3">
      <c r="A6" s="7"/>
      <c r="B6" s="17" t="s">
        <v>111</v>
      </c>
      <c r="C6" s="16" t="s">
        <v>137</v>
      </c>
      <c r="D6" s="17"/>
      <c r="E6" s="17"/>
      <c r="F6" s="17"/>
      <c r="G6" s="17"/>
      <c r="H6" s="17"/>
      <c r="I6" s="17"/>
    </row>
    <row r="7" spans="1:9" x14ac:dyDescent="0.3">
      <c r="A7" s="7"/>
      <c r="B7" s="17" t="s">
        <v>112</v>
      </c>
      <c r="C7" s="16" t="s">
        <v>117</v>
      </c>
      <c r="D7" s="17"/>
      <c r="E7" s="17"/>
      <c r="F7" s="17"/>
      <c r="G7" s="17"/>
      <c r="H7" s="17"/>
      <c r="I7" s="17"/>
    </row>
    <row r="8" spans="1:9" x14ac:dyDescent="0.3">
      <c r="A8" s="7"/>
      <c r="B8" s="17" t="s">
        <v>118</v>
      </c>
      <c r="C8" s="16" t="s">
        <v>119</v>
      </c>
      <c r="D8" s="17"/>
      <c r="E8" s="17"/>
      <c r="F8" s="17"/>
      <c r="G8" s="17"/>
      <c r="H8" s="17"/>
      <c r="I8" s="17"/>
    </row>
    <row r="9" spans="1:9" x14ac:dyDescent="0.3">
      <c r="A9" s="7"/>
      <c r="B9" t="s">
        <v>113</v>
      </c>
      <c r="C9" s="11" t="s">
        <v>114</v>
      </c>
    </row>
    <row r="11" spans="1:9" x14ac:dyDescent="0.3">
      <c r="A11" s="9">
        <v>1</v>
      </c>
      <c r="B11" s="6" t="s">
        <v>413</v>
      </c>
      <c r="C11" s="9" t="s">
        <v>53</v>
      </c>
      <c r="D11" s="9" t="s">
        <v>56</v>
      </c>
      <c r="E11" s="137" t="s">
        <v>38</v>
      </c>
    </row>
    <row r="12" spans="1:9" x14ac:dyDescent="0.3">
      <c r="A12" s="40"/>
      <c r="B12" s="13" t="s">
        <v>414</v>
      </c>
      <c r="C12" s="134">
        <v>97042</v>
      </c>
      <c r="D12" s="135" t="s">
        <v>417</v>
      </c>
      <c r="E12" s="136" t="s">
        <v>419</v>
      </c>
    </row>
    <row r="13" spans="1:9" x14ac:dyDescent="0.3">
      <c r="A13" s="1"/>
      <c r="B13" s="13" t="s">
        <v>415</v>
      </c>
      <c r="C13" s="134">
        <v>76132</v>
      </c>
      <c r="D13" s="135" t="s">
        <v>417</v>
      </c>
      <c r="E13" s="136" t="s">
        <v>420</v>
      </c>
    </row>
    <row r="14" spans="1:9" x14ac:dyDescent="0.3">
      <c r="A14" s="1"/>
      <c r="B14" s="13" t="s">
        <v>416</v>
      </c>
      <c r="C14" s="134">
        <v>98540</v>
      </c>
      <c r="D14" s="135" t="s">
        <v>417</v>
      </c>
      <c r="E14" s="136" t="s">
        <v>421</v>
      </c>
    </row>
    <row r="15" spans="1:9" x14ac:dyDescent="0.3">
      <c r="A15" s="1"/>
      <c r="B15" s="13" t="s">
        <v>401</v>
      </c>
      <c r="C15" s="134">
        <v>61122</v>
      </c>
      <c r="D15" s="135" t="s">
        <v>417</v>
      </c>
      <c r="E15" s="136" t="s">
        <v>422</v>
      </c>
    </row>
    <row r="16" spans="1:9" x14ac:dyDescent="0.3">
      <c r="A16" s="1"/>
      <c r="B16" s="13" t="s">
        <v>402</v>
      </c>
      <c r="C16" s="134">
        <v>96464</v>
      </c>
      <c r="D16" s="135" t="s">
        <v>417</v>
      </c>
      <c r="E16" s="136" t="s">
        <v>423</v>
      </c>
    </row>
    <row r="17" spans="1:5" x14ac:dyDescent="0.3">
      <c r="A17" s="1"/>
      <c r="B17" s="13" t="s">
        <v>403</v>
      </c>
      <c r="C17" s="134">
        <v>7000</v>
      </c>
      <c r="D17" s="135" t="s">
        <v>418</v>
      </c>
      <c r="E17" t="s">
        <v>430</v>
      </c>
    </row>
    <row r="18" spans="1:5" x14ac:dyDescent="0.3">
      <c r="A18" s="1"/>
      <c r="B18" s="13" t="s">
        <v>404</v>
      </c>
      <c r="C18" s="134">
        <v>5000</v>
      </c>
      <c r="D18" s="135" t="s">
        <v>418</v>
      </c>
      <c r="E18" t="s">
        <v>430</v>
      </c>
    </row>
    <row r="19" spans="1:5" x14ac:dyDescent="0.3">
      <c r="A19" s="1"/>
      <c r="B19" s="13" t="s">
        <v>405</v>
      </c>
      <c r="C19" s="134">
        <v>16200</v>
      </c>
      <c r="D19" s="135" t="s">
        <v>418</v>
      </c>
      <c r="E19" t="s">
        <v>430</v>
      </c>
    </row>
    <row r="20" spans="1:5" x14ac:dyDescent="0.3">
      <c r="A20" s="49"/>
      <c r="B20" s="13" t="s">
        <v>406</v>
      </c>
      <c r="C20" s="134">
        <v>26800</v>
      </c>
      <c r="D20" s="135" t="s">
        <v>418</v>
      </c>
      <c r="E20" t="s">
        <v>430</v>
      </c>
    </row>
    <row r="21" spans="1:5" x14ac:dyDescent="0.3">
      <c r="A21" s="1"/>
      <c r="B21" s="13" t="s">
        <v>407</v>
      </c>
      <c r="C21" s="134">
        <v>74632</v>
      </c>
      <c r="D21" s="135" t="s">
        <v>417</v>
      </c>
      <c r="E21" s="136" t="s">
        <v>424</v>
      </c>
    </row>
    <row r="22" spans="1:5" x14ac:dyDescent="0.3">
      <c r="A22" s="10"/>
      <c r="B22" s="13" t="s">
        <v>408</v>
      </c>
      <c r="C22" s="134">
        <v>83112</v>
      </c>
      <c r="D22" s="135" t="s">
        <v>417</v>
      </c>
      <c r="E22" s="136" t="s">
        <v>425</v>
      </c>
    </row>
    <row r="23" spans="1:5" x14ac:dyDescent="0.3">
      <c r="A23" s="1"/>
      <c r="B23" s="13" t="s">
        <v>409</v>
      </c>
      <c r="C23" s="134">
        <v>81347</v>
      </c>
      <c r="D23" s="135" t="s">
        <v>417</v>
      </c>
      <c r="E23" s="136" t="s">
        <v>426</v>
      </c>
    </row>
    <row r="24" spans="1:5" x14ac:dyDescent="0.3">
      <c r="A24" s="1"/>
      <c r="B24" s="13" t="s">
        <v>410</v>
      </c>
      <c r="C24" s="134">
        <v>107964</v>
      </c>
      <c r="D24" s="135" t="s">
        <v>417</v>
      </c>
      <c r="E24" s="136" t="s">
        <v>427</v>
      </c>
    </row>
    <row r="25" spans="1:5" x14ac:dyDescent="0.3">
      <c r="A25" s="1"/>
      <c r="B25" s="13" t="s">
        <v>411</v>
      </c>
      <c r="C25" s="134">
        <v>123247</v>
      </c>
      <c r="D25" s="135" t="s">
        <v>417</v>
      </c>
      <c r="E25" s="136" t="s">
        <v>428</v>
      </c>
    </row>
    <row r="26" spans="1:5" x14ac:dyDescent="0.3">
      <c r="A26" s="1"/>
      <c r="B26" s="13" t="s">
        <v>412</v>
      </c>
      <c r="C26" s="134">
        <v>142964</v>
      </c>
      <c r="D26" s="135" t="s">
        <v>417</v>
      </c>
      <c r="E26" s="136" t="s">
        <v>429</v>
      </c>
    </row>
    <row r="27" spans="1:5" x14ac:dyDescent="0.3">
      <c r="A27" s="1"/>
      <c r="B27" s="13"/>
      <c r="C27" s="1"/>
      <c r="D27" s="1"/>
      <c r="E27" s="136"/>
    </row>
    <row r="28" spans="1:5" x14ac:dyDescent="0.3">
      <c r="A28" s="1">
        <v>2</v>
      </c>
      <c r="B28" s="138" t="s">
        <v>284</v>
      </c>
      <c r="C28" s="40" t="s">
        <v>53</v>
      </c>
      <c r="D28" s="40" t="s">
        <v>56</v>
      </c>
      <c r="E28" s="137" t="s">
        <v>38</v>
      </c>
    </row>
    <row r="29" spans="1:5" x14ac:dyDescent="0.3">
      <c r="A29" s="1"/>
      <c r="B29" s="13" t="s">
        <v>432</v>
      </c>
      <c r="C29" s="113">
        <v>78621</v>
      </c>
      <c r="D29" s="17" t="s">
        <v>384</v>
      </c>
      <c r="E29" s="108" t="s">
        <v>334</v>
      </c>
    </row>
    <row r="30" spans="1:5" x14ac:dyDescent="0.3">
      <c r="A30" s="1"/>
      <c r="B30" s="13" t="s">
        <v>433</v>
      </c>
      <c r="C30" s="77">
        <v>60858</v>
      </c>
      <c r="D30" s="17" t="s">
        <v>384</v>
      </c>
      <c r="E30" s="108" t="s">
        <v>334</v>
      </c>
    </row>
    <row r="31" spans="1:5" x14ac:dyDescent="0.3">
      <c r="A31" s="10"/>
      <c r="B31" s="6"/>
      <c r="C31" s="10"/>
      <c r="D31" s="10"/>
      <c r="E31" s="10"/>
    </row>
    <row r="32" spans="1:5" x14ac:dyDescent="0.3">
      <c r="A32" s="40"/>
      <c r="B32" s="6"/>
      <c r="C32" s="40" t="s">
        <v>53</v>
      </c>
      <c r="D32" s="40" t="s">
        <v>56</v>
      </c>
      <c r="E32" s="137" t="s">
        <v>38</v>
      </c>
    </row>
    <row r="33" spans="1:5" x14ac:dyDescent="0.3">
      <c r="A33" s="1">
        <v>3</v>
      </c>
      <c r="B33" s="138" t="s">
        <v>434</v>
      </c>
      <c r="C33" s="77">
        <v>108130064</v>
      </c>
      <c r="D33" s="11" t="s">
        <v>440</v>
      </c>
      <c r="E33" s="139" t="s">
        <v>441</v>
      </c>
    </row>
    <row r="34" spans="1:5" x14ac:dyDescent="0.3">
      <c r="A34" s="1"/>
      <c r="B34" s="138" t="s">
        <v>443</v>
      </c>
      <c r="C34" s="77">
        <v>290513182</v>
      </c>
      <c r="D34" s="11" t="s">
        <v>444</v>
      </c>
      <c r="E34" s="139" t="s">
        <v>442</v>
      </c>
    </row>
    <row r="35" spans="1:5" x14ac:dyDescent="0.3">
      <c r="A35" s="1"/>
      <c r="B35" s="13"/>
      <c r="C35" s="1"/>
      <c r="D35" s="1"/>
      <c r="E35" s="1"/>
    </row>
    <row r="36" spans="1:5" x14ac:dyDescent="0.3">
      <c r="A36" s="1"/>
      <c r="B36" s="13"/>
      <c r="C36" s="1"/>
      <c r="D36" s="1"/>
      <c r="E36" s="1"/>
    </row>
    <row r="37" spans="1:5" x14ac:dyDescent="0.3">
      <c r="A37" s="1"/>
      <c r="B37" s="13"/>
      <c r="C37" s="1"/>
      <c r="D37" s="1"/>
      <c r="E37" s="1"/>
    </row>
    <row r="38" spans="1:5" x14ac:dyDescent="0.3">
      <c r="A38" s="1"/>
      <c r="B38" s="13"/>
      <c r="C38" s="1"/>
      <c r="D38" s="1"/>
      <c r="E38" s="1"/>
    </row>
    <row r="39" spans="1:5" x14ac:dyDescent="0.3">
      <c r="A39" s="1"/>
      <c r="B39" s="13"/>
      <c r="C39" s="1"/>
      <c r="D39" s="1"/>
      <c r="E39" s="1"/>
    </row>
    <row r="41" spans="1:5" x14ac:dyDescent="0.3">
      <c r="A41" s="51"/>
      <c r="B41" s="13"/>
    </row>
  </sheetData>
  <hyperlinks>
    <hyperlink ref="E29" r:id="rId1" xr:uid="{0FE60D07-E77D-4252-9777-999BDC33EE0A}"/>
    <hyperlink ref="E30" r:id="rId2" xr:uid="{3C978583-2E7D-4088-908E-63E09569736F}"/>
    <hyperlink ref="E33" r:id="rId3" xr:uid="{9D5C2760-E64E-405B-827A-4F8B3C56EDD3}"/>
    <hyperlink ref="E34" r:id="rId4" xr:uid="{3657192C-C429-4270-AEC9-E768F9C0FDA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80"/>
  <sheetViews>
    <sheetView topLeftCell="B1" zoomScaleNormal="100" workbookViewId="0">
      <selection activeCell="H69" sqref="H69"/>
    </sheetView>
  </sheetViews>
  <sheetFormatPr baseColWidth="10" defaultColWidth="11.5546875" defaultRowHeight="14.4" x14ac:dyDescent="0.3"/>
  <cols>
    <col min="1" max="1" width="7.6640625" customWidth="1"/>
    <col min="2" max="2" width="48.33203125" bestFit="1" customWidth="1"/>
    <col min="3" max="3" width="19.6640625" customWidth="1"/>
    <col min="4" max="4" width="21.109375" customWidth="1"/>
    <col min="5" max="5" width="12.6640625" customWidth="1"/>
    <col min="6" max="6" width="23.44140625" customWidth="1"/>
  </cols>
  <sheetData>
    <row r="1" spans="1:6" s="192" customFormat="1" ht="18" x14ac:dyDescent="0.35">
      <c r="A1" s="191" t="s">
        <v>0</v>
      </c>
    </row>
    <row r="2" spans="1:6" s="192" customFormat="1" ht="18" x14ac:dyDescent="0.35">
      <c r="A2" s="191" t="s">
        <v>1</v>
      </c>
    </row>
    <row r="3" spans="1:6" x14ac:dyDescent="0.3">
      <c r="A3" t="s">
        <v>2</v>
      </c>
      <c r="B3" s="2">
        <f ca="1">TODAY()</f>
        <v>44425</v>
      </c>
    </row>
    <row r="4" spans="1:6" ht="15" thickBot="1" x14ac:dyDescent="0.35">
      <c r="B4" s="17"/>
      <c r="C4" s="17"/>
      <c r="D4" s="17"/>
      <c r="E4" s="17"/>
    </row>
    <row r="5" spans="1:6" ht="55.8" customHeight="1" thickBot="1" x14ac:dyDescent="0.35">
      <c r="A5" s="65"/>
      <c r="B5" s="166" t="s">
        <v>3</v>
      </c>
      <c r="C5" s="166" t="s">
        <v>491</v>
      </c>
      <c r="D5" s="166" t="s">
        <v>9</v>
      </c>
      <c r="E5" s="166" t="s">
        <v>542</v>
      </c>
      <c r="F5" s="172" t="s">
        <v>138</v>
      </c>
    </row>
    <row r="6" spans="1:6" s="3" customFormat="1" ht="30.6" customHeight="1" x14ac:dyDescent="0.3">
      <c r="A6" s="157">
        <v>1</v>
      </c>
      <c r="B6" s="158" t="str">
        <f>UPPER("Participación Presencial TERRITORIAL")</f>
        <v>PARTICIPACIÓN PRESENCIAL TERRITORIAL</v>
      </c>
      <c r="C6" s="247">
        <f>VLOOKUP(B7,'1. Participación Territorial'!A89:B95,2,)/1000000</f>
        <v>316.49669175961282</v>
      </c>
      <c r="D6" s="249">
        <f>C6/700</f>
        <v>0.45213813108516115</v>
      </c>
      <c r="E6" s="251">
        <f>C6/$C$19</f>
        <v>0.12934952307908759</v>
      </c>
      <c r="F6" s="244">
        <f>C6/D24</f>
        <v>0.63299338351922563</v>
      </c>
    </row>
    <row r="7" spans="1:6" s="3" customFormat="1" ht="21.6" customHeight="1" x14ac:dyDescent="0.3">
      <c r="A7" s="161" t="s">
        <v>227</v>
      </c>
      <c r="B7" s="162" t="s">
        <v>504</v>
      </c>
      <c r="C7" s="248"/>
      <c r="D7" s="250"/>
      <c r="E7" s="252"/>
      <c r="F7" s="245"/>
    </row>
    <row r="8" spans="1:6" s="3" customFormat="1" ht="21.6" customHeight="1" thickBot="1" x14ac:dyDescent="0.35">
      <c r="A8" s="159" t="s">
        <v>226</v>
      </c>
      <c r="B8" s="160" t="s">
        <v>501</v>
      </c>
      <c r="C8" s="163">
        <f>VLOOKUP(B8,'1. Participación Territorial'!A97:B100,2,)/1000000</f>
        <v>0</v>
      </c>
      <c r="D8" s="164">
        <f>C8/700</f>
        <v>0</v>
      </c>
      <c r="E8" s="165">
        <f>C8/$C$19</f>
        <v>0</v>
      </c>
      <c r="F8" s="197">
        <f>C8/D24</f>
        <v>0</v>
      </c>
    </row>
    <row r="9" spans="1:6" s="3" customFormat="1" ht="21.6" customHeight="1" x14ac:dyDescent="0.3">
      <c r="A9" s="157">
        <v>2</v>
      </c>
      <c r="B9" s="158" t="str">
        <f>UPPER("Plataforma Web")</f>
        <v>PLATAFORMA WEB</v>
      </c>
      <c r="C9" s="247">
        <f>VLOOKUP(B10,'2. Plataforma Web'!B21:C24,2,)/1000000</f>
        <v>154.73665199999999</v>
      </c>
      <c r="D9" s="249">
        <f>C9/700</f>
        <v>0.22105235999999998</v>
      </c>
      <c r="E9" s="251">
        <f>C9/C19</f>
        <v>6.323956192962904E-2</v>
      </c>
      <c r="F9" s="244">
        <f>C9/D24</f>
        <v>0.309473304</v>
      </c>
    </row>
    <row r="10" spans="1:6" s="3" customFormat="1" ht="21.6" customHeight="1" thickBot="1" x14ac:dyDescent="0.35">
      <c r="A10" s="159"/>
      <c r="B10" s="160" t="s">
        <v>509</v>
      </c>
      <c r="C10" s="253"/>
      <c r="D10" s="254"/>
      <c r="E10" s="255"/>
      <c r="F10" s="246"/>
    </row>
    <row r="11" spans="1:6" s="3" customFormat="1" ht="21.6" customHeight="1" x14ac:dyDescent="0.3">
      <c r="A11" s="157">
        <v>3</v>
      </c>
      <c r="B11" s="158" t="str">
        <f>UPPER("App Participación")</f>
        <v>APP PARTICIPACIÓN</v>
      </c>
      <c r="C11" s="247">
        <f>VLOOKUP(B12,'3. App Participación'!B13:C14,2,)/1000000</f>
        <v>204.31899999999999</v>
      </c>
      <c r="D11" s="249">
        <f>C11/700</f>
        <v>0.29188428571428571</v>
      </c>
      <c r="E11" s="251">
        <f>C11/C19</f>
        <v>8.3503448516514853E-2</v>
      </c>
      <c r="F11" s="244">
        <f>C11/D24</f>
        <v>0.408638</v>
      </c>
    </row>
    <row r="12" spans="1:6" s="3" customFormat="1" ht="21.6" customHeight="1" thickBot="1" x14ac:dyDescent="0.35">
      <c r="A12" s="159"/>
      <c r="B12" s="160" t="s">
        <v>485</v>
      </c>
      <c r="C12" s="253"/>
      <c r="D12" s="254"/>
      <c r="E12" s="255"/>
      <c r="F12" s="246"/>
    </row>
    <row r="13" spans="1:6" s="3" customFormat="1" ht="21.6" customHeight="1" x14ac:dyDescent="0.3">
      <c r="A13" s="157">
        <v>4</v>
      </c>
      <c r="B13" s="158" t="str">
        <f>UPPER("Sistematización y Análisis")</f>
        <v>SISTEMATIZACIÓN Y ANÁLISIS</v>
      </c>
      <c r="C13" s="247">
        <f>VLOOKUP('TOTAL COSTEO'!B14,'4. Sistematización y Análisis'!A23:B26,2,)/1000000</f>
        <v>340.72142875199995</v>
      </c>
      <c r="D13" s="249">
        <f>C13/700</f>
        <v>0.48674489821714279</v>
      </c>
      <c r="E13" s="251">
        <f>C13/C19</f>
        <v>0.1392499683547101</v>
      </c>
      <c r="F13" s="244">
        <f>C13/D24</f>
        <v>0.68144285750399991</v>
      </c>
    </row>
    <row r="14" spans="1:6" s="3" customFormat="1" ht="21.6" customHeight="1" thickBot="1" x14ac:dyDescent="0.35">
      <c r="A14" s="159"/>
      <c r="B14" s="160" t="s">
        <v>509</v>
      </c>
      <c r="C14" s="253"/>
      <c r="D14" s="254"/>
      <c r="E14" s="255"/>
      <c r="F14" s="246"/>
    </row>
    <row r="15" spans="1:6" s="3" customFormat="1" ht="21.6" customHeight="1" x14ac:dyDescent="0.3">
      <c r="A15" s="157">
        <v>5</v>
      </c>
      <c r="B15" s="158" t="str">
        <f>UPPER("Campaña Comunicacional")</f>
        <v>CAMPAÑA COMUNICACIONAL</v>
      </c>
      <c r="C15" s="247">
        <f>VLOOKUP(B16,'5. Campaña Comunicacional'!A27:B30,2,)/1000000</f>
        <v>825.22799999999995</v>
      </c>
      <c r="D15" s="249">
        <f>C15/700</f>
        <v>1.1788971428571429</v>
      </c>
      <c r="E15" s="251">
        <f>C15/C19</f>
        <v>0.33726370926045307</v>
      </c>
      <c r="F15" s="244">
        <f>C15/D24</f>
        <v>1.6504559999999999</v>
      </c>
    </row>
    <row r="16" spans="1:6" s="3" customFormat="1" ht="21.6" customHeight="1" thickBot="1" x14ac:dyDescent="0.35">
      <c r="A16" s="159"/>
      <c r="B16" s="160" t="s">
        <v>509</v>
      </c>
      <c r="C16" s="253"/>
      <c r="D16" s="254"/>
      <c r="E16" s="255"/>
      <c r="F16" s="246"/>
    </row>
    <row r="17" spans="1:6" s="3" customFormat="1" ht="26.4" customHeight="1" x14ac:dyDescent="0.3">
      <c r="A17" s="157">
        <v>6</v>
      </c>
      <c r="B17" s="158" t="str">
        <f>UPPER("Sesiones Convención Constituyente en regiones")</f>
        <v>SESIONES CONVENCIÓN CONSTITUYENTE EN REGIONES</v>
      </c>
      <c r="C17" s="247">
        <f>VLOOKUP(B18,'6. Sesiones CC regiones'!A22:B28,2,)/1000000</f>
        <v>605.33130600000004</v>
      </c>
      <c r="D17" s="249">
        <f>C17/700</f>
        <v>0.86475900857142862</v>
      </c>
      <c r="E17" s="251">
        <f>C17/C19</f>
        <v>0.24739378885960533</v>
      </c>
      <c r="F17" s="244">
        <f>C17/D24</f>
        <v>1.2106626120000001</v>
      </c>
    </row>
    <row r="18" spans="1:6" s="3" customFormat="1" ht="21.6" customHeight="1" thickBot="1" x14ac:dyDescent="0.35">
      <c r="A18" s="159"/>
      <c r="B18" s="160" t="s">
        <v>537</v>
      </c>
      <c r="C18" s="253"/>
      <c r="D18" s="254"/>
      <c r="E18" s="255"/>
      <c r="F18" s="246"/>
    </row>
    <row r="19" spans="1:6" s="4" customFormat="1" ht="40.799999999999997" customHeight="1" thickBot="1" x14ac:dyDescent="0.35">
      <c r="A19" s="167"/>
      <c r="B19" s="168" t="s">
        <v>4</v>
      </c>
      <c r="C19" s="169">
        <f>SUM(C6:C18)</f>
        <v>2446.8330785116127</v>
      </c>
      <c r="D19" s="170">
        <f>C19/700</f>
        <v>3.4954758264451611</v>
      </c>
      <c r="E19" s="171">
        <f>C19/$C$19</f>
        <v>1</v>
      </c>
      <c r="F19" s="173">
        <f>C19/D24</f>
        <v>4.8936661570232252</v>
      </c>
    </row>
    <row r="21" spans="1:6" x14ac:dyDescent="0.3">
      <c r="A21" t="s">
        <v>5</v>
      </c>
    </row>
    <row r="22" spans="1:6" x14ac:dyDescent="0.3">
      <c r="A22" t="s">
        <v>6</v>
      </c>
    </row>
    <row r="23" spans="1:6" x14ac:dyDescent="0.3">
      <c r="A23" t="s">
        <v>492</v>
      </c>
    </row>
    <row r="24" spans="1:6" x14ac:dyDescent="0.3">
      <c r="A24" t="s">
        <v>500</v>
      </c>
      <c r="D24" s="77">
        <v>500</v>
      </c>
      <c r="E24" t="s">
        <v>561</v>
      </c>
    </row>
    <row r="26" spans="1:6" s="190" customFormat="1" x14ac:dyDescent="0.3">
      <c r="B26" s="190" t="s">
        <v>541</v>
      </c>
      <c r="C26" s="230">
        <f>E6</f>
        <v>0.12934952307908759</v>
      </c>
      <c r="D26" s="231"/>
    </row>
    <row r="27" spans="1:6" s="190" customFormat="1" x14ac:dyDescent="0.3">
      <c r="B27" s="190" t="s">
        <v>548</v>
      </c>
      <c r="C27" s="230">
        <f>E8</f>
        <v>0</v>
      </c>
      <c r="D27" s="231"/>
    </row>
    <row r="28" spans="1:6" s="190" customFormat="1" x14ac:dyDescent="0.3">
      <c r="B28" s="190" t="s">
        <v>543</v>
      </c>
      <c r="C28" s="230">
        <f>E9</f>
        <v>6.323956192962904E-2</v>
      </c>
      <c r="D28" s="231"/>
    </row>
    <row r="29" spans="1:6" s="190" customFormat="1" x14ac:dyDescent="0.3">
      <c r="B29" s="190" t="s">
        <v>544</v>
      </c>
      <c r="C29" s="230">
        <f>E11</f>
        <v>8.3503448516514853E-2</v>
      </c>
      <c r="D29" s="231"/>
    </row>
    <row r="30" spans="1:6" s="190" customFormat="1" x14ac:dyDescent="0.3">
      <c r="B30" s="190" t="s">
        <v>545</v>
      </c>
      <c r="C30" s="230">
        <f>E13</f>
        <v>0.1392499683547101</v>
      </c>
      <c r="D30" s="231"/>
    </row>
    <row r="31" spans="1:6" s="190" customFormat="1" x14ac:dyDescent="0.3">
      <c r="B31" s="190" t="s">
        <v>546</v>
      </c>
      <c r="C31" s="230">
        <f>E15</f>
        <v>0.33726370926045307</v>
      </c>
      <c r="D31" s="231"/>
    </row>
    <row r="32" spans="1:6" s="190" customFormat="1" x14ac:dyDescent="0.3">
      <c r="B32" s="190" t="s">
        <v>547</v>
      </c>
      <c r="C32" s="230">
        <f>E17</f>
        <v>0.24739378885960533</v>
      </c>
      <c r="D32" s="231"/>
    </row>
    <row r="33" spans="2:6" s="190" customFormat="1" x14ac:dyDescent="0.3">
      <c r="D33" s="232" t="s">
        <v>565</v>
      </c>
      <c r="E33" s="232"/>
      <c r="F33" s="232" t="s">
        <v>564</v>
      </c>
    </row>
    <row r="34" spans="2:6" s="190" customFormat="1" x14ac:dyDescent="0.3">
      <c r="B34" s="190" t="s">
        <v>541</v>
      </c>
      <c r="C34" s="231">
        <f>C6</f>
        <v>316.49669175961282</v>
      </c>
      <c r="D34" s="231">
        <v>316.49669175961282</v>
      </c>
      <c r="F34" s="231">
        <v>7739.275623259613</v>
      </c>
    </row>
    <row r="35" spans="2:6" s="190" customFormat="1" x14ac:dyDescent="0.3">
      <c r="B35" s="190" t="s">
        <v>548</v>
      </c>
      <c r="C35" s="231">
        <f>C8</f>
        <v>0</v>
      </c>
      <c r="D35" s="231">
        <v>0</v>
      </c>
      <c r="F35" s="231">
        <v>1226.2414019499997</v>
      </c>
    </row>
    <row r="36" spans="2:6" s="190" customFormat="1" x14ac:dyDescent="0.3">
      <c r="B36" s="190" t="s">
        <v>543</v>
      </c>
      <c r="C36" s="231">
        <f>C9</f>
        <v>154.73665199999999</v>
      </c>
      <c r="D36" s="231">
        <v>154.73665199999999</v>
      </c>
      <c r="F36" s="231">
        <v>333.23665199999999</v>
      </c>
    </row>
    <row r="37" spans="2:6" s="190" customFormat="1" x14ac:dyDescent="0.3">
      <c r="B37" s="190" t="s">
        <v>544</v>
      </c>
      <c r="C37" s="231">
        <f>C11</f>
        <v>204.31899999999999</v>
      </c>
      <c r="D37" s="231">
        <v>204.31899999999999</v>
      </c>
      <c r="F37" s="231">
        <v>204.31899999999999</v>
      </c>
    </row>
    <row r="38" spans="2:6" s="190" customFormat="1" x14ac:dyDescent="0.3">
      <c r="B38" s="190" t="s">
        <v>545</v>
      </c>
      <c r="C38" s="231">
        <f>C13</f>
        <v>340.72142875199995</v>
      </c>
      <c r="D38" s="231">
        <v>340.72142875199995</v>
      </c>
      <c r="F38" s="231">
        <v>914.18262242399999</v>
      </c>
    </row>
    <row r="39" spans="2:6" s="190" customFormat="1" x14ac:dyDescent="0.3">
      <c r="B39" s="190" t="s">
        <v>546</v>
      </c>
      <c r="C39" s="231">
        <f>C15</f>
        <v>825.22799999999995</v>
      </c>
      <c r="D39" s="231">
        <v>825.22799999999995</v>
      </c>
      <c r="F39" s="231">
        <v>2111.1280000000002</v>
      </c>
    </row>
    <row r="40" spans="2:6" s="190" customFormat="1" x14ac:dyDescent="0.3">
      <c r="B40" s="190" t="s">
        <v>547</v>
      </c>
      <c r="C40" s="231">
        <f>C17</f>
        <v>605.33130600000004</v>
      </c>
      <c r="D40" s="231">
        <v>605.33130600000004</v>
      </c>
      <c r="F40" s="231">
        <v>1030.4506080000001</v>
      </c>
    </row>
    <row r="41" spans="2:6" s="190" customFormat="1" x14ac:dyDescent="0.3">
      <c r="B41" s="190" t="s">
        <v>643</v>
      </c>
      <c r="D41" s="231">
        <f>SUM(D34:D40)</f>
        <v>2446.8330785116127</v>
      </c>
      <c r="F41" s="231">
        <f>SUM(F34:F40)</f>
        <v>13558.833907633612</v>
      </c>
    </row>
    <row r="42" spans="2:6" s="195" customFormat="1" x14ac:dyDescent="0.3"/>
    <row r="43" spans="2:6" s="195" customFormat="1" x14ac:dyDescent="0.3"/>
    <row r="44" spans="2:6" s="195" customFormat="1" x14ac:dyDescent="0.3"/>
    <row r="45" spans="2:6" s="195" customFormat="1" x14ac:dyDescent="0.3"/>
    <row r="46" spans="2:6" s="195" customFormat="1" x14ac:dyDescent="0.3"/>
    <row r="67" spans="1:4" x14ac:dyDescent="0.3">
      <c r="A67">
        <v>1</v>
      </c>
      <c r="C67" s="233"/>
      <c r="D67" s="233"/>
    </row>
    <row r="68" spans="1:4" x14ac:dyDescent="0.3">
      <c r="A68" t="s">
        <v>227</v>
      </c>
      <c r="C68" s="233"/>
      <c r="D68" s="233"/>
    </row>
    <row r="69" spans="1:4" x14ac:dyDescent="0.3">
      <c r="A69" t="s">
        <v>226</v>
      </c>
      <c r="C69" s="233"/>
      <c r="D69" s="233"/>
    </row>
    <row r="70" spans="1:4" x14ac:dyDescent="0.3">
      <c r="A70">
        <v>2</v>
      </c>
      <c r="C70" s="233"/>
      <c r="D70" s="233"/>
    </row>
    <row r="71" spans="1:4" x14ac:dyDescent="0.3">
      <c r="C71" s="233"/>
      <c r="D71" s="233"/>
    </row>
    <row r="72" spans="1:4" x14ac:dyDescent="0.3">
      <c r="A72">
        <v>3</v>
      </c>
      <c r="C72" s="233"/>
      <c r="D72" s="233"/>
    </row>
    <row r="73" spans="1:4" x14ac:dyDescent="0.3">
      <c r="C73" s="233"/>
      <c r="D73" s="233"/>
    </row>
    <row r="74" spans="1:4" x14ac:dyDescent="0.3">
      <c r="A74">
        <v>4</v>
      </c>
      <c r="C74" s="233"/>
      <c r="D74" s="233"/>
    </row>
    <row r="75" spans="1:4" x14ac:dyDescent="0.3">
      <c r="C75" s="233"/>
      <c r="D75" s="233"/>
    </row>
    <row r="76" spans="1:4" x14ac:dyDescent="0.3">
      <c r="A76">
        <v>5</v>
      </c>
      <c r="C76" s="233"/>
      <c r="D76" s="233"/>
    </row>
    <row r="77" spans="1:4" x14ac:dyDescent="0.3">
      <c r="C77" s="233"/>
      <c r="D77" s="233"/>
    </row>
    <row r="78" spans="1:4" x14ac:dyDescent="0.3">
      <c r="A78">
        <v>6</v>
      </c>
      <c r="C78" s="233"/>
      <c r="D78" s="233"/>
    </row>
    <row r="79" spans="1:4" x14ac:dyDescent="0.3">
      <c r="C79" s="233"/>
      <c r="D79" s="233"/>
    </row>
    <row r="80" spans="1:4" x14ac:dyDescent="0.3">
      <c r="C80" s="233"/>
      <c r="D80" s="233"/>
    </row>
  </sheetData>
  <mergeCells count="24">
    <mergeCell ref="E17:E18"/>
    <mergeCell ref="E15:E16"/>
    <mergeCell ref="E13:E14"/>
    <mergeCell ref="E11:E12"/>
    <mergeCell ref="C11:C12"/>
    <mergeCell ref="C13:C14"/>
    <mergeCell ref="C15:C16"/>
    <mergeCell ref="C17:C18"/>
    <mergeCell ref="D17:D18"/>
    <mergeCell ref="D15:D16"/>
    <mergeCell ref="D13:D14"/>
    <mergeCell ref="D11:D12"/>
    <mergeCell ref="C6:C7"/>
    <mergeCell ref="D6:D7"/>
    <mergeCell ref="E6:E7"/>
    <mergeCell ref="C9:C10"/>
    <mergeCell ref="D9:D10"/>
    <mergeCell ref="E9:E10"/>
    <mergeCell ref="F6:F7"/>
    <mergeCell ref="F9:F10"/>
    <mergeCell ref="F11:F12"/>
    <mergeCell ref="F17:F18"/>
    <mergeCell ref="F15:F16"/>
    <mergeCell ref="F13:F1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BAE1E818-0839-43E9-9AE5-8D5AE8230C5E}">
          <x14:formula1>
            <xm:f>'1. Participación Territorial'!$A$89:$A$95</xm:f>
          </x14:formula1>
          <xm:sqref>B7</xm:sqref>
        </x14:dataValidation>
        <x14:dataValidation type="list" allowBlank="1" showInputMessage="1" showErrorMessage="1" xr:uid="{C0B5C778-78B9-4B11-8E35-00A5C65324FC}">
          <x14:formula1>
            <xm:f>'1. Participación Territorial'!$A$97:$A$100</xm:f>
          </x14:formula1>
          <xm:sqref>B8</xm:sqref>
        </x14:dataValidation>
        <x14:dataValidation type="list" allowBlank="1" showInputMessage="1" showErrorMessage="1" xr:uid="{CA521E10-4C0D-49D2-88B6-9E47C01593C5}">
          <x14:formula1>
            <xm:f>'2. Plataforma Web'!$B$21:$B$24</xm:f>
          </x14:formula1>
          <xm:sqref>B10</xm:sqref>
        </x14:dataValidation>
        <x14:dataValidation type="list" allowBlank="1" showInputMessage="1" showErrorMessage="1" xr:uid="{E23268CC-57FC-45AC-AAB7-49C0D19B141C}">
          <x14:formula1>
            <xm:f>'4. Sistematización y Análisis'!$A$23:$A$26</xm:f>
          </x14:formula1>
          <xm:sqref>B14</xm:sqref>
        </x14:dataValidation>
        <x14:dataValidation type="list" allowBlank="1" showInputMessage="1" showErrorMessage="1" xr:uid="{877C3535-4A14-4BCC-9EDB-8954F23553CB}">
          <x14:formula1>
            <xm:f>'5. Campaña Comunicacional'!$A$27:$A$30</xm:f>
          </x14:formula1>
          <xm:sqref>B16</xm:sqref>
        </x14:dataValidation>
        <x14:dataValidation type="list" allowBlank="1" showInputMessage="1" showErrorMessage="1" xr:uid="{7E0BC36D-EDF3-4B4A-96F1-A5E831CA5D78}">
          <x14:formula1>
            <xm:f>'6. Sesiones CC regiones'!$A$22:$A$28</xm:f>
          </x14:formula1>
          <xm:sqref>B18</xm:sqref>
        </x14:dataValidation>
        <x14:dataValidation type="list" allowBlank="1" showInputMessage="1" showErrorMessage="1" xr:uid="{E5ED0F6F-8418-473B-8B4C-4FC582BAD020}">
          <x14:formula1>
            <xm:f>'3. App Participación'!$B$13:$B$14</xm:f>
          </x14:formula1>
          <xm:sqref>B12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
  <sheetViews>
    <sheetView topLeftCell="A22" zoomScale="85" zoomScaleNormal="85" workbookViewId="0">
      <selection activeCell="H70" sqref="H70"/>
    </sheetView>
  </sheetViews>
  <sheetFormatPr baseColWidth="10" defaultColWidth="11.5546875" defaultRowHeight="14.4" x14ac:dyDescent="0.3"/>
  <cols>
    <col min="1" max="1" width="33.77734375" customWidth="1"/>
    <col min="2" max="2" width="28.109375" customWidth="1"/>
    <col min="3" max="3" width="25.5546875" bestFit="1" customWidth="1"/>
    <col min="4" max="4" width="25.6640625" bestFit="1" customWidth="1"/>
    <col min="5" max="5" width="27.109375" customWidth="1"/>
  </cols>
  <sheetData>
    <row r="1" spans="1:5" s="192" customFormat="1" ht="18" x14ac:dyDescent="0.35">
      <c r="A1" s="191" t="s">
        <v>121</v>
      </c>
    </row>
    <row r="2" spans="1:5" x14ac:dyDescent="0.3">
      <c r="A2" s="6" t="s">
        <v>8</v>
      </c>
    </row>
    <row r="3" spans="1:5" ht="15" thickBot="1" x14ac:dyDescent="0.35">
      <c r="A3" s="17"/>
      <c r="B3" s="17"/>
      <c r="C3" s="17"/>
      <c r="D3" s="17"/>
    </row>
    <row r="4" spans="1:5" ht="15" thickBot="1" x14ac:dyDescent="0.35">
      <c r="B4" s="264" t="s">
        <v>567</v>
      </c>
      <c r="C4" s="178" t="s">
        <v>522</v>
      </c>
      <c r="D4" s="179" t="s">
        <v>523</v>
      </c>
      <c r="E4" s="180" t="s">
        <v>524</v>
      </c>
    </row>
    <row r="5" spans="1:5" ht="15" thickBot="1" x14ac:dyDescent="0.35">
      <c r="B5" s="264"/>
      <c r="C5" s="219" t="s">
        <v>231</v>
      </c>
      <c r="D5" s="220" t="s">
        <v>232</v>
      </c>
      <c r="E5" s="221" t="s">
        <v>233</v>
      </c>
    </row>
    <row r="6" spans="1:5" x14ac:dyDescent="0.3">
      <c r="B6" s="222" t="s">
        <v>525</v>
      </c>
      <c r="C6" s="25">
        <v>346</v>
      </c>
      <c r="D6" s="223">
        <v>346</v>
      </c>
      <c r="E6" s="26">
        <v>346</v>
      </c>
    </row>
    <row r="7" spans="1:5" x14ac:dyDescent="0.3">
      <c r="B7" s="177" t="s">
        <v>182</v>
      </c>
      <c r="C7" s="198" t="s">
        <v>183</v>
      </c>
      <c r="D7" s="199" t="s">
        <v>518</v>
      </c>
      <c r="E7" s="200" t="s">
        <v>519</v>
      </c>
    </row>
    <row r="8" spans="1:5" x14ac:dyDescent="0.3">
      <c r="B8" s="177" t="s">
        <v>184</v>
      </c>
      <c r="C8" s="198" t="s">
        <v>185</v>
      </c>
      <c r="D8" s="199" t="s">
        <v>187</v>
      </c>
      <c r="E8" s="200" t="s">
        <v>186</v>
      </c>
    </row>
    <row r="9" spans="1:5" x14ac:dyDescent="0.3">
      <c r="B9" s="177" t="s">
        <v>188</v>
      </c>
      <c r="C9" s="198">
        <v>1</v>
      </c>
      <c r="D9" s="199" t="s">
        <v>189</v>
      </c>
      <c r="E9" s="200">
        <v>2</v>
      </c>
    </row>
    <row r="10" spans="1:5" x14ac:dyDescent="0.3">
      <c r="B10" s="177" t="s">
        <v>190</v>
      </c>
      <c r="C10" s="198" t="s">
        <v>191</v>
      </c>
      <c r="D10" s="199" t="s">
        <v>193</v>
      </c>
      <c r="E10" s="200" t="s">
        <v>192</v>
      </c>
    </row>
    <row r="11" spans="1:5" x14ac:dyDescent="0.3">
      <c r="B11" s="177" t="s">
        <v>40</v>
      </c>
      <c r="C11" s="198" t="s">
        <v>194</v>
      </c>
      <c r="D11" s="199" t="s">
        <v>196</v>
      </c>
      <c r="E11" s="52" t="s">
        <v>195</v>
      </c>
    </row>
    <row r="12" spans="1:5" x14ac:dyDescent="0.3">
      <c r="B12" s="177" t="s">
        <v>197</v>
      </c>
      <c r="C12" s="258" t="s">
        <v>520</v>
      </c>
      <c r="D12" s="259"/>
      <c r="E12" s="260"/>
    </row>
    <row r="13" spans="1:5" x14ac:dyDescent="0.3">
      <c r="B13" s="177" t="s">
        <v>198</v>
      </c>
      <c r="C13" s="261" t="s">
        <v>521</v>
      </c>
      <c r="D13" s="262"/>
      <c r="E13" s="263"/>
    </row>
    <row r="14" spans="1:5" x14ac:dyDescent="0.3">
      <c r="B14" s="177" t="s">
        <v>200</v>
      </c>
      <c r="C14" s="261" t="s">
        <v>203</v>
      </c>
      <c r="D14" s="262"/>
      <c r="E14" s="263"/>
    </row>
    <row r="15" spans="1:5" x14ac:dyDescent="0.3">
      <c r="B15" s="177" t="s">
        <v>201</v>
      </c>
      <c r="C15" s="201" t="s">
        <v>202</v>
      </c>
      <c r="D15" s="202" t="s">
        <v>202</v>
      </c>
      <c r="E15" s="203" t="s">
        <v>202</v>
      </c>
    </row>
    <row r="16" spans="1:5" x14ac:dyDescent="0.3">
      <c r="B16" s="177" t="s">
        <v>205</v>
      </c>
      <c r="C16" s="201" t="s">
        <v>206</v>
      </c>
      <c r="D16" s="202" t="s">
        <v>206</v>
      </c>
      <c r="E16" s="203" t="s">
        <v>206</v>
      </c>
    </row>
    <row r="17" spans="1:5" x14ac:dyDescent="0.3">
      <c r="B17" s="177" t="s">
        <v>204</v>
      </c>
      <c r="C17" s="261" t="s">
        <v>526</v>
      </c>
      <c r="D17" s="262"/>
      <c r="E17" s="263"/>
    </row>
    <row r="18" spans="1:5" x14ac:dyDescent="0.3">
      <c r="B18" s="177" t="s">
        <v>220</v>
      </c>
      <c r="C18" s="261" t="s">
        <v>221</v>
      </c>
      <c r="D18" s="262"/>
      <c r="E18" s="263"/>
    </row>
    <row r="19" spans="1:5" ht="31.2" customHeight="1" thickBot="1" x14ac:dyDescent="0.35">
      <c r="B19" s="224" t="s">
        <v>631</v>
      </c>
      <c r="C19" s="269" t="s">
        <v>632</v>
      </c>
      <c r="D19" s="270"/>
      <c r="E19" s="271"/>
    </row>
    <row r="21" spans="1:5" x14ac:dyDescent="0.3">
      <c r="A21" s="181" t="s">
        <v>374</v>
      </c>
      <c r="B21" s="182"/>
      <c r="C21" s="183"/>
      <c r="D21" s="183"/>
      <c r="E21" s="183"/>
    </row>
    <row r="22" spans="1:5" x14ac:dyDescent="0.3">
      <c r="C22" s="40" t="s">
        <v>231</v>
      </c>
      <c r="D22" s="40" t="s">
        <v>232</v>
      </c>
      <c r="E22" s="40" t="s">
        <v>233</v>
      </c>
    </row>
    <row r="23" spans="1:5" x14ac:dyDescent="0.3">
      <c r="A23" s="32" t="s">
        <v>227</v>
      </c>
      <c r="B23" s="48" t="s">
        <v>224</v>
      </c>
      <c r="C23" s="32"/>
      <c r="D23" s="32"/>
      <c r="E23" s="32"/>
    </row>
    <row r="24" spans="1:5" x14ac:dyDescent="0.3">
      <c r="B24" s="6" t="s">
        <v>329</v>
      </c>
      <c r="C24" s="30">
        <v>346</v>
      </c>
      <c r="D24" s="30">
        <v>346</v>
      </c>
      <c r="E24" s="30">
        <v>346</v>
      </c>
    </row>
    <row r="25" spans="1:5" x14ac:dyDescent="0.3">
      <c r="A25" s="32" t="s">
        <v>226</v>
      </c>
      <c r="B25" s="48" t="s">
        <v>228</v>
      </c>
      <c r="C25" s="54"/>
      <c r="D25" s="54"/>
      <c r="E25" s="54"/>
    </row>
    <row r="26" spans="1:5" x14ac:dyDescent="0.3">
      <c r="B26" t="s">
        <v>229</v>
      </c>
      <c r="C26" s="1">
        <v>1</v>
      </c>
      <c r="D26" s="1">
        <v>2</v>
      </c>
      <c r="E26" s="1">
        <v>5</v>
      </c>
    </row>
    <row r="27" spans="1:5" x14ac:dyDescent="0.3">
      <c r="B27" t="s">
        <v>230</v>
      </c>
      <c r="C27" s="1">
        <v>1</v>
      </c>
      <c r="D27" s="1">
        <v>5</v>
      </c>
      <c r="E27" s="1">
        <v>10</v>
      </c>
    </row>
    <row r="28" spans="1:5" x14ac:dyDescent="0.3">
      <c r="B28" s="6" t="s">
        <v>260</v>
      </c>
      <c r="C28" s="68">
        <f>(C26*'1. (Insumos)'!$D$51)+('1. Participación Territorial'!C27*'1. (Insumos)'!$D$50)</f>
        <v>346</v>
      </c>
      <c r="D28" s="68">
        <f>(D26*'1. (Insumos)'!$D$51)+('1. Participación Territorial'!D27*'1. (Insumos)'!$D$50)</f>
        <v>977</v>
      </c>
      <c r="E28" s="68">
        <f>(E26*'1. (Insumos)'!$D$51)+('1. Participación Territorial'!E27*'1. (Insumos)'!$D$50)</f>
        <v>2205</v>
      </c>
    </row>
    <row r="29" spans="1:5" x14ac:dyDescent="0.3">
      <c r="A29" s="32" t="s">
        <v>234</v>
      </c>
      <c r="B29" s="48" t="s">
        <v>235</v>
      </c>
      <c r="C29" s="32"/>
      <c r="D29" s="32"/>
      <c r="E29" s="32"/>
    </row>
    <row r="30" spans="1:5" x14ac:dyDescent="0.3">
      <c r="B30" t="s">
        <v>229</v>
      </c>
      <c r="C30" s="1">
        <v>50</v>
      </c>
      <c r="D30" s="1">
        <v>50</v>
      </c>
      <c r="E30" s="1">
        <v>100</v>
      </c>
    </row>
    <row r="31" spans="1:5" x14ac:dyDescent="0.3">
      <c r="B31" t="s">
        <v>230</v>
      </c>
      <c r="C31" s="1">
        <v>50</v>
      </c>
      <c r="D31" s="1">
        <v>100</v>
      </c>
      <c r="E31" s="1">
        <v>100</v>
      </c>
    </row>
    <row r="32" spans="1:5" x14ac:dyDescent="0.3">
      <c r="B32" s="6" t="s">
        <v>259</v>
      </c>
      <c r="C32" s="68">
        <f>(C30*'1. (Insumos)'!$D$51*'1. Participación Territorial'!C26)+(C27*'1. (Insumos)'!$D$50*'1. Participación Territorial'!C31)</f>
        <v>17300</v>
      </c>
      <c r="D32" s="68">
        <f>(D30*'1. (Insumos)'!$D$51*'1. Participación Territorial'!D26)+(D27*'1. (Insumos)'!$D$50*'1. Participación Territorial'!D31)</f>
        <v>72600</v>
      </c>
      <c r="E32" s="68">
        <f>(E30*'1. (Insumos)'!$D$51*'1. Participación Territorial'!E26)+(E27*'1. (Insumos)'!$D$50*'1. Participación Territorial'!E31)</f>
        <v>220500</v>
      </c>
    </row>
    <row r="33" spans="1:5" x14ac:dyDescent="0.3">
      <c r="A33" s="32" t="s">
        <v>236</v>
      </c>
      <c r="B33" s="48" t="s">
        <v>237</v>
      </c>
      <c r="C33" s="32"/>
      <c r="D33" s="32"/>
      <c r="E33" s="32"/>
    </row>
    <row r="34" spans="1:5" x14ac:dyDescent="0.3">
      <c r="B34" t="s">
        <v>229</v>
      </c>
      <c r="C34" s="1">
        <v>1</v>
      </c>
      <c r="D34" s="1">
        <v>1</v>
      </c>
      <c r="E34" s="1">
        <v>2</v>
      </c>
    </row>
    <row r="35" spans="1:5" x14ac:dyDescent="0.3">
      <c r="B35" t="s">
        <v>230</v>
      </c>
      <c r="C35" s="1">
        <v>1</v>
      </c>
      <c r="D35" s="1">
        <v>2</v>
      </c>
      <c r="E35" s="1">
        <v>2</v>
      </c>
    </row>
    <row r="36" spans="1:5" x14ac:dyDescent="0.3">
      <c r="B36" s="74" t="s">
        <v>261</v>
      </c>
      <c r="C36" s="75">
        <f>(C26*'1. (Insumos)'!$D$51)+('1. Participación Territorial'!C27*'1. (Insumos)'!$D$50)</f>
        <v>346</v>
      </c>
      <c r="D36" s="75">
        <f>(D34*'1. (Insumos)'!$D$51)+('1. Participación Territorial'!D35*'1. (Insumos)'!$D$50)</f>
        <v>441</v>
      </c>
      <c r="E36" s="75">
        <f>(E34*'1. (Insumos)'!$D$51)+('1. Participación Territorial'!E35*'1. (Insumos)'!$D$50)</f>
        <v>692</v>
      </c>
    </row>
    <row r="37" spans="1:5" x14ac:dyDescent="0.3">
      <c r="A37" s="32" t="s">
        <v>238</v>
      </c>
      <c r="B37" s="48" t="s">
        <v>239</v>
      </c>
      <c r="C37" s="31" t="s">
        <v>262</v>
      </c>
      <c r="D37" s="31" t="s">
        <v>264</v>
      </c>
      <c r="E37" s="31" t="s">
        <v>263</v>
      </c>
    </row>
    <row r="38" spans="1:5" x14ac:dyDescent="0.3">
      <c r="A38" s="17"/>
      <c r="B38" s="71" t="s">
        <v>229</v>
      </c>
      <c r="C38" s="72">
        <f>(C26*'1. (Insumos)'!$D$51)</f>
        <v>251</v>
      </c>
      <c r="D38" s="72">
        <f>(D26*'1. (Insumos)'!$D$51)</f>
        <v>502</v>
      </c>
      <c r="E38" s="218">
        <f>(E26*'1. (Insumos)'!$D$51)</f>
        <v>1255</v>
      </c>
    </row>
    <row r="39" spans="1:5" x14ac:dyDescent="0.3">
      <c r="A39" s="17"/>
      <c r="B39" s="71" t="s">
        <v>230</v>
      </c>
      <c r="C39" s="72">
        <f>('1. Participación Territorial'!C27*'1. (Insumos)'!$D$50)</f>
        <v>95</v>
      </c>
      <c r="D39" s="72">
        <f>('1. Participación Territorial'!D27*'1. (Insumos)'!$D$50)</f>
        <v>475</v>
      </c>
      <c r="E39" s="72">
        <f>('1. Participación Territorial'!E27*'1. (Insumos)'!$D$50)</f>
        <v>950</v>
      </c>
    </row>
    <row r="40" spans="1:5" x14ac:dyDescent="0.3">
      <c r="B40" s="6" t="s">
        <v>266</v>
      </c>
      <c r="C40" s="68">
        <f>C28</f>
        <v>346</v>
      </c>
      <c r="D40" s="6" t="str">
        <f>(D26*'1. (Insumos)'!$D$51)&amp;"  MEDIA - "&amp;('1. Participación Territorial'!D27*'1. (Insumos)'!$D$50)&amp;" COMPLETA"</f>
        <v>502  MEDIA - 475 COMPLETA</v>
      </c>
      <c r="E40" s="68">
        <f>E28</f>
        <v>2205</v>
      </c>
    </row>
    <row r="41" spans="1:5" x14ac:dyDescent="0.3">
      <c r="A41" s="32" t="s">
        <v>240</v>
      </c>
      <c r="B41" s="48" t="s">
        <v>265</v>
      </c>
      <c r="C41" s="32"/>
      <c r="D41" s="32"/>
      <c r="E41" s="32"/>
    </row>
    <row r="42" spans="1:5" x14ac:dyDescent="0.3">
      <c r="A42" s="17"/>
      <c r="B42" s="71" t="s">
        <v>229</v>
      </c>
      <c r="C42" s="55" t="s">
        <v>267</v>
      </c>
      <c r="D42" s="55" t="s">
        <v>267</v>
      </c>
      <c r="E42" s="55" t="s">
        <v>268</v>
      </c>
    </row>
    <row r="43" spans="1:5" x14ac:dyDescent="0.3">
      <c r="A43" s="17"/>
      <c r="B43" s="71" t="s">
        <v>230</v>
      </c>
      <c r="C43" s="55" t="s">
        <v>267</v>
      </c>
      <c r="D43" s="55" t="s">
        <v>268</v>
      </c>
      <c r="E43" s="55" t="s">
        <v>268</v>
      </c>
    </row>
    <row r="44" spans="1:5" x14ac:dyDescent="0.3">
      <c r="B44" t="s">
        <v>225</v>
      </c>
    </row>
    <row r="45" spans="1:5" x14ac:dyDescent="0.3">
      <c r="A45" s="32" t="s">
        <v>241</v>
      </c>
      <c r="B45" s="48" t="s">
        <v>242</v>
      </c>
      <c r="C45" s="265" t="s">
        <v>277</v>
      </c>
      <c r="D45" s="265"/>
      <c r="E45" s="265"/>
    </row>
    <row r="46" spans="1:5" x14ac:dyDescent="0.3">
      <c r="B46" t="s">
        <v>225</v>
      </c>
    </row>
    <row r="47" spans="1:5" x14ac:dyDescent="0.3">
      <c r="A47" s="32" t="s">
        <v>244</v>
      </c>
      <c r="B47" s="48" t="s">
        <v>243</v>
      </c>
      <c r="C47" s="265" t="s">
        <v>269</v>
      </c>
      <c r="D47" s="265"/>
      <c r="E47" s="265"/>
    </row>
    <row r="48" spans="1:5" x14ac:dyDescent="0.3">
      <c r="B48" t="s">
        <v>270</v>
      </c>
      <c r="C48" s="12" t="str">
        <f>(C28*0.5)&amp;" DÍAS"</f>
        <v>173 DÍAS</v>
      </c>
      <c r="D48" s="12" t="str">
        <f>(D28*0.5)&amp;" DÍAS"</f>
        <v>488.5 DÍAS</v>
      </c>
      <c r="E48" s="12" t="str">
        <f>(E28*0.5)&amp;" DÍAS"</f>
        <v>1102.5 DÍAS</v>
      </c>
    </row>
    <row r="49" spans="1:8" x14ac:dyDescent="0.3">
      <c r="A49" s="32" t="s">
        <v>245</v>
      </c>
      <c r="B49" s="48" t="s">
        <v>246</v>
      </c>
      <c r="C49" s="32"/>
      <c r="D49" s="32"/>
      <c r="E49" s="32"/>
    </row>
    <row r="50" spans="1:8" x14ac:dyDescent="0.3">
      <c r="B50" t="s">
        <v>247</v>
      </c>
      <c r="C50" s="73">
        <f>C28*0</f>
        <v>0</v>
      </c>
      <c r="D50" s="73">
        <f>D28*0</f>
        <v>0</v>
      </c>
      <c r="E50" s="73">
        <f>E28*0</f>
        <v>0</v>
      </c>
    </row>
    <row r="51" spans="1:8" x14ac:dyDescent="0.3">
      <c r="B51" s="17" t="s">
        <v>248</v>
      </c>
      <c r="C51" t="s">
        <v>249</v>
      </c>
    </row>
    <row r="52" spans="1:8" x14ac:dyDescent="0.3">
      <c r="A52" s="32" t="s">
        <v>250</v>
      </c>
      <c r="B52" s="48" t="s">
        <v>251</v>
      </c>
      <c r="C52" s="265" t="s">
        <v>330</v>
      </c>
      <c r="D52" s="265"/>
      <c r="E52" s="265"/>
    </row>
    <row r="53" spans="1:8" x14ac:dyDescent="0.3">
      <c r="B53" s="17" t="s">
        <v>331</v>
      </c>
    </row>
    <row r="54" spans="1:8" x14ac:dyDescent="0.3">
      <c r="A54" s="32" t="s">
        <v>252</v>
      </c>
      <c r="B54" s="48" t="s">
        <v>253</v>
      </c>
      <c r="C54" s="265" t="s">
        <v>517</v>
      </c>
      <c r="D54" s="265"/>
      <c r="E54" s="265"/>
    </row>
    <row r="55" spans="1:8" ht="48.6" customHeight="1" x14ac:dyDescent="0.3">
      <c r="A55" s="206" t="s">
        <v>590</v>
      </c>
      <c r="B55" s="207" t="s">
        <v>591</v>
      </c>
      <c r="C55" s="268" t="s">
        <v>628</v>
      </c>
      <c r="D55" s="268"/>
      <c r="E55" s="268"/>
    </row>
    <row r="56" spans="1:8" x14ac:dyDescent="0.3">
      <c r="A56" s="17"/>
      <c r="B56" s="69"/>
      <c r="C56" s="70"/>
      <c r="D56" s="70"/>
      <c r="E56" s="70"/>
    </row>
    <row r="58" spans="1:8" ht="15" thickBot="1" x14ac:dyDescent="0.35">
      <c r="A58" s="182" t="s">
        <v>286</v>
      </c>
      <c r="B58" s="183"/>
      <c r="C58" s="183"/>
      <c r="D58" s="183"/>
      <c r="E58" s="183"/>
    </row>
    <row r="59" spans="1:8" x14ac:dyDescent="0.3">
      <c r="A59" s="80"/>
      <c r="B59" s="81" t="s">
        <v>287</v>
      </c>
      <c r="C59" s="82">
        <f>C61+C62+C63</f>
        <v>269693506</v>
      </c>
      <c r="D59" s="82">
        <f t="shared" ref="D59:E59" si="0">D61+D62+D63</f>
        <v>1783609422</v>
      </c>
      <c r="E59" s="83">
        <f t="shared" si="0"/>
        <v>6463296000</v>
      </c>
    </row>
    <row r="60" spans="1:8" ht="15" thickBot="1" x14ac:dyDescent="0.35">
      <c r="A60" s="84"/>
      <c r="B60" s="85" t="s">
        <v>288</v>
      </c>
      <c r="C60" s="86">
        <f>C62+C63</f>
        <v>205489400</v>
      </c>
      <c r="D60" s="86">
        <f t="shared" ref="D60:E60" si="1">D62+D63</f>
        <v>1221157800</v>
      </c>
      <c r="E60" s="87">
        <f t="shared" si="1"/>
        <v>4284756000</v>
      </c>
    </row>
    <row r="61" spans="1:8" x14ac:dyDescent="0.3">
      <c r="B61" t="s">
        <v>281</v>
      </c>
      <c r="C61" s="109">
        <f>(C26*'1. (Insumos)'!$D$51*('1. (Insumos)'!$B$67/2))+('1. Participación Territorial'!C27*'1. (Insumos)'!$D$50*('1. (Insumos)'!B67/2))</f>
        <v>64204106</v>
      </c>
      <c r="D61" s="109">
        <f>(D26*'1. (Insumos)'!$D$51*('1. (Insumos)'!$B$67/2))+('1. Participación Territorial'!D27*'1. (Insumos)'!$D$50*'1. (Insumos)'!$C$67)</f>
        <v>562451622</v>
      </c>
      <c r="E61" s="109">
        <f>(E26*'1. (Insumos)'!$D$51*'1. (Insumos)'!$C$67)+('1. Participación Territorial'!E27*'1. (Insumos)'!$D$50*'1. (Insumos)'!$C$67)</f>
        <v>2178540000</v>
      </c>
      <c r="F61" s="17"/>
      <c r="G61" s="227"/>
      <c r="H61" s="17"/>
    </row>
    <row r="62" spans="1:8" x14ac:dyDescent="0.3">
      <c r="B62" t="s">
        <v>265</v>
      </c>
      <c r="C62" s="41">
        <f>C28*'1. (Insumos)'!C88*2</f>
        <v>188189400</v>
      </c>
      <c r="D62" s="41">
        <f>(D26*'1. (Insumos)'!$D$51*2*'1. (Insumos)'!C88)+(('1. Participación Territorial'!D27*'1. (Insumos)'!$D$50)*((2*'1. (Insumos)'!D88)+'1. (Insumos)'!D98))</f>
        <v>1148557800</v>
      </c>
      <c r="E62" s="41">
        <f>E28*((2*'1. (Insumos)'!D88)+'1. (Insumos)'!D98)</f>
        <v>4064256000</v>
      </c>
      <c r="G62" s="227"/>
    </row>
    <row r="63" spans="1:8" x14ac:dyDescent="0.3">
      <c r="B63" t="s">
        <v>242</v>
      </c>
      <c r="C63" s="41">
        <f>C32*'1. (Insumos)'!$B$133</f>
        <v>17300000</v>
      </c>
      <c r="D63" s="41">
        <f>D32*'1. (Insumos)'!$B$133</f>
        <v>72600000</v>
      </c>
      <c r="E63" s="41">
        <f>E32*'1. (Insumos)'!$B$133</f>
        <v>220500000</v>
      </c>
      <c r="G63" s="228"/>
    </row>
    <row r="64" spans="1:8" ht="15" thickBot="1" x14ac:dyDescent="0.35">
      <c r="G64" s="228"/>
    </row>
    <row r="65" spans="1:10" ht="15" thickBot="1" x14ac:dyDescent="0.35">
      <c r="A65" s="88"/>
      <c r="B65" s="89" t="s">
        <v>261</v>
      </c>
      <c r="C65" s="90">
        <f>SUM(C66:C68)</f>
        <v>13009600</v>
      </c>
      <c r="D65" s="90">
        <f>SUM(D66:D68)</f>
        <v>55801600</v>
      </c>
      <c r="E65" s="91">
        <f>SUM(E66:E68)</f>
        <v>188579200</v>
      </c>
      <c r="G65" s="228"/>
    </row>
    <row r="66" spans="1:10" x14ac:dyDescent="0.3">
      <c r="B66" t="s">
        <v>282</v>
      </c>
      <c r="C66" s="76">
        <f>C36*'1. (Insumos)'!$B$129</f>
        <v>6089600</v>
      </c>
      <c r="D66" s="76">
        <f>D36*'1. (Insumos)'!$B$129</f>
        <v>7761600</v>
      </c>
      <c r="E66" s="76">
        <f>E36*'1. (Insumos)'!$B$129</f>
        <v>12179200</v>
      </c>
      <c r="F66" s="17"/>
      <c r="G66" s="229"/>
      <c r="H66" s="17"/>
      <c r="I66" s="17"/>
      <c r="J66" s="17"/>
    </row>
    <row r="67" spans="1:10" x14ac:dyDescent="0.3">
      <c r="B67" t="s">
        <v>280</v>
      </c>
      <c r="C67" s="111">
        <f>((C26*'1. (Insumos)'!$D$51*C34)+('1. Participación Territorial'!C27*'1. (Insumos)'!$D$50*C35))*('1. (Insumos)'!$B$109/2)</f>
        <v>3460000</v>
      </c>
      <c r="D67" s="111">
        <f>((D26*'1. (Insumos)'!$D$51*D34)*('1. (Insumos)'!$B$109/2))+(('1. Participación Territorial'!D27*'1. (Insumos)'!$D$50*D35)*('1. (Insumos)'!$B$109))</f>
        <v>24020000</v>
      </c>
      <c r="E67" s="111">
        <f>((E26*'1. (Insumos)'!$D$51*E34)+('1. Participación Territorial'!E27*'1. (Insumos)'!$D$50*E35))*'1. (Insumos)'!$B$109</f>
        <v>88200000</v>
      </c>
      <c r="F67" s="17"/>
      <c r="G67" s="229"/>
      <c r="H67" s="17"/>
      <c r="I67" s="17"/>
      <c r="J67" s="17"/>
    </row>
    <row r="68" spans="1:10" x14ac:dyDescent="0.3">
      <c r="B68" t="s">
        <v>243</v>
      </c>
      <c r="C68" s="111">
        <f>((C26*'1. (Insumos)'!$D$51*C34)+('1. Participación Territorial'!C27*'1. (Insumos)'!$D$50*C35))*('1. (Insumos)'!$B$119/2)</f>
        <v>3460000</v>
      </c>
      <c r="D68" s="111">
        <f>((D26*'1. (Insumos)'!$D$51*D34)*('1. (Insumos)'!$B$119/2))+(('1. Participación Territorial'!D27*'1. (Insumos)'!$D$50*D35))*('1. (Insumos)'!$B$119)</f>
        <v>24020000</v>
      </c>
      <c r="E68" s="111">
        <f>((E26*'1. (Insumos)'!$D$51*E34)+('1. Participación Territorial'!E27*'1. (Insumos)'!$D$50*E35))*'1. (Insumos)'!$B$119</f>
        <v>88200000</v>
      </c>
      <c r="F68" s="17"/>
      <c r="G68" s="229"/>
      <c r="H68" s="17"/>
      <c r="I68" s="17"/>
      <c r="J68" s="17"/>
    </row>
    <row r="69" spans="1:10" ht="15" thickBot="1" x14ac:dyDescent="0.35">
      <c r="G69" s="228"/>
    </row>
    <row r="70" spans="1:10" ht="15" thickBot="1" x14ac:dyDescent="0.35">
      <c r="A70" s="266" t="s">
        <v>332</v>
      </c>
      <c r="B70" s="119" t="s">
        <v>253</v>
      </c>
      <c r="C70" s="90">
        <f>SUM(C71:C72)</f>
        <v>223935183.34</v>
      </c>
      <c r="D70" s="90">
        <f>SUM(D71:D72)</f>
        <v>546492612.32999992</v>
      </c>
      <c r="E70" s="91">
        <f>SUM(E71:E72)</f>
        <v>1226241401.9499998</v>
      </c>
      <c r="G70" s="227"/>
    </row>
    <row r="71" spans="1:10" x14ac:dyDescent="0.3">
      <c r="A71" s="267"/>
      <c r="B71" t="s">
        <v>284</v>
      </c>
      <c r="C71" s="76">
        <f>(('1. (Insumos)'!$B$142*'1. (Insumos)'!$B$138)+('1. (Insumos)'!$B$143*'1. (Insumos)'!$B$139))*5</f>
        <v>156455790</v>
      </c>
      <c r="D71" s="76">
        <f>((('1. (Insumos)'!C142*'1. (Insumos)'!B138)+('1. (Insumos)'!C143*'1. (Insumos)'!B139)*'1. Participación Territorial'!D26)+(('1. (Insumos)'!D142*'1. (Insumos)'!B138)+('1. (Insumos)'!D143*'1. (Insumos)'!B139)*'1. Participación Territorial'!D27))*5</f>
        <v>349273792.5</v>
      </c>
      <c r="E71" s="76">
        <f>((('1. (Insumos)'!C142*'1. (Insumos)'!B138)+('1. (Insumos)'!C143*'1. (Insumos)'!B139)*'1. Participación Territorial'!E26)+(('1. (Insumos)'!D142*'1. (Insumos)'!B138)+('1. (Insumos)'!D143*'1. (Insumos)'!B139)*'1. Participación Territorial'!E27))*5</f>
        <v>787389315</v>
      </c>
    </row>
    <row r="72" spans="1:10" x14ac:dyDescent="0.3">
      <c r="A72" s="267"/>
      <c r="B72" s="17" t="s">
        <v>285</v>
      </c>
      <c r="C72" s="111">
        <f>(((C28*('1. (Insumos)'!B150+'1. (Insumos)'!B151))+'1. (Insumos)'!C168+'1. (Insumos)'!C169)+'1. (Insumos)'!C171)+('1. (Insumos)'!C171*MAX('1. Participación Territorial'!C26:C27)*5)</f>
        <v>67479393.340000004</v>
      </c>
      <c r="D72" s="111">
        <f>(D28*('1. (Insumos)'!B150+'1. (Insumos)'!B151)+('1. (Insumos)'!C168*D27)+('1. (Insumos)'!C169*D26))+('1. (Insumos)'!C171*MAX('1. Participación Territorial'!D26:D27)*5)</f>
        <v>197218819.82999998</v>
      </c>
      <c r="E72" s="111">
        <f>(E28*('1. (Insumos)'!B150+'1. (Insumos)'!B151)+('1. (Insumos)'!C168*E27)+('1. (Insumos)'!C169*E26))++('1. (Insumos)'!C171*MAX('1. Participación Territorial'!E26:E27)*5)</f>
        <v>438852086.94999993</v>
      </c>
    </row>
    <row r="73" spans="1:10" ht="15" thickBot="1" x14ac:dyDescent="0.35">
      <c r="B73" s="17"/>
      <c r="C73" s="17"/>
      <c r="D73" s="17"/>
      <c r="E73" s="17"/>
    </row>
    <row r="74" spans="1:10" ht="15" thickBot="1" x14ac:dyDescent="0.35">
      <c r="A74" s="88"/>
      <c r="B74" s="89" t="s">
        <v>283</v>
      </c>
      <c r="C74" s="140">
        <f>'4. Sistematización y Análisis'!$C$19/4.34524*2</f>
        <v>14695258.259612815</v>
      </c>
      <c r="D74" s="140">
        <f>'4. Sistematización y Análisis'!$C$19/4.34524*2</f>
        <v>14695258.259612815</v>
      </c>
      <c r="E74" s="214">
        <f>'4. Sistematización y Análisis'!$C$19/4.34524*2</f>
        <v>14695258.259612815</v>
      </c>
    </row>
    <row r="75" spans="1:10" x14ac:dyDescent="0.3">
      <c r="B75" t="s">
        <v>251</v>
      </c>
    </row>
    <row r="76" spans="1:10" ht="15" thickBot="1" x14ac:dyDescent="0.35"/>
    <row r="77" spans="1:10" ht="15" thickBot="1" x14ac:dyDescent="0.35">
      <c r="A77" s="215"/>
      <c r="B77" s="216" t="s">
        <v>591</v>
      </c>
      <c r="C77" s="140">
        <f>SUM(C78:C79)</f>
        <v>83302433.5</v>
      </c>
      <c r="D77" s="140">
        <f t="shared" ref="D77:E77" si="2">SUM(D78:D79)</f>
        <v>358349531</v>
      </c>
      <c r="E77" s="214">
        <f t="shared" si="2"/>
        <v>1072705165</v>
      </c>
    </row>
    <row r="78" spans="1:10" x14ac:dyDescent="0.3">
      <c r="A78" s="17"/>
      <c r="B78" s="217" t="s">
        <v>626</v>
      </c>
      <c r="C78" s="111">
        <f>C40*'1. (Insumos)'!B177*0.5</f>
        <v>64104804</v>
      </c>
      <c r="D78" s="111">
        <f>(D38*'1. (Insumos)'!B177*0.5)+('1. Participación Territorial'!D39*'1. (Insumos)'!B177)</f>
        <v>269017848</v>
      </c>
      <c r="E78" s="111">
        <f>E40*'1. (Insumos)'!B177</f>
        <v>817058340</v>
      </c>
    </row>
    <row r="79" spans="1:10" x14ac:dyDescent="0.3">
      <c r="A79" s="17"/>
      <c r="B79" s="17" t="s">
        <v>627</v>
      </c>
      <c r="C79" s="111">
        <f>'1. (Insumos)'!B178*0.5*('1. (Insumos)'!C202+'1. (Insumos)'!C204)</f>
        <v>19197629.5</v>
      </c>
      <c r="D79" s="111">
        <f>'1. (Insumos)'!B178*(('1. Participación Territorial'!D26*0.5*'1. (Insumos)'!C202)+('1. Participación Territorial'!D27*1*'1. (Insumos)'!C204))</f>
        <v>89331683</v>
      </c>
      <c r="E79" s="111">
        <f>'1. (Insumos)'!B178*(('1. Participación Territorial'!E26*'1. (Insumos)'!C202)+('1. Participación Territorial'!E27*'1. (Insumos)'!C204))</f>
        <v>255646825</v>
      </c>
    </row>
    <row r="80" spans="1:10" ht="15" thickBot="1" x14ac:dyDescent="0.35"/>
    <row r="81" spans="1:5" ht="15" thickBot="1" x14ac:dyDescent="0.35">
      <c r="A81" s="256" t="s">
        <v>498</v>
      </c>
      <c r="B81" s="257"/>
      <c r="C81" s="92">
        <f>C59+C65+C74+C77</f>
        <v>380700797.7596128</v>
      </c>
      <c r="D81" s="92">
        <f>D59+D65+D74+D77</f>
        <v>2212455811.259613</v>
      </c>
      <c r="E81" s="92">
        <f>E59+E65+E74+E77</f>
        <v>7739275623.259613</v>
      </c>
    </row>
    <row r="82" spans="1:5" ht="15" thickBot="1" x14ac:dyDescent="0.35">
      <c r="A82" s="256" t="s">
        <v>499</v>
      </c>
      <c r="B82" s="257"/>
      <c r="C82" s="92">
        <f>C60+C65+C74+C77</f>
        <v>316496691.7596128</v>
      </c>
      <c r="D82" s="92">
        <f>D60+D65+D74+D77</f>
        <v>1650004189.2596128</v>
      </c>
      <c r="E82" s="92">
        <f>E60+E65+E74+E77</f>
        <v>5560735623.259613</v>
      </c>
    </row>
    <row r="83" spans="1:5" ht="15" thickBot="1" x14ac:dyDescent="0.35">
      <c r="A83" s="256" t="s">
        <v>646</v>
      </c>
      <c r="B83" s="257"/>
      <c r="C83" s="92">
        <f>C82-C62</f>
        <v>128307291.7596128</v>
      </c>
      <c r="D83" s="92">
        <f t="shared" ref="D83:E83" si="3">D82-D62</f>
        <v>501446389.2596128</v>
      </c>
      <c r="E83" s="92">
        <f t="shared" si="3"/>
        <v>1496479623.259613</v>
      </c>
    </row>
    <row r="84" spans="1:5" s="17" customFormat="1" ht="15" thickBot="1" x14ac:dyDescent="0.35">
      <c r="A84" s="225"/>
      <c r="B84" s="225"/>
      <c r="C84" s="226"/>
      <c r="D84" s="226"/>
      <c r="E84" s="226"/>
    </row>
    <row r="85" spans="1:5" ht="15" thickBot="1" x14ac:dyDescent="0.35">
      <c r="A85" s="256" t="s">
        <v>633</v>
      </c>
      <c r="B85" s="257"/>
      <c r="C85" s="92">
        <f>C81+C70</f>
        <v>604635981.09961283</v>
      </c>
      <c r="D85" s="92">
        <f t="shared" ref="D85:E85" si="4">D81+D70</f>
        <v>2758948423.589613</v>
      </c>
      <c r="E85" s="92">
        <f t="shared" si="4"/>
        <v>8965517025.2096138</v>
      </c>
    </row>
    <row r="86" spans="1:5" ht="15" thickBot="1" x14ac:dyDescent="0.35">
      <c r="A86" s="256" t="s">
        <v>634</v>
      </c>
      <c r="B86" s="257"/>
      <c r="C86" s="92">
        <f>C82+C70</f>
        <v>540431875.09961283</v>
      </c>
      <c r="D86" s="92">
        <f>D82+D70</f>
        <v>2196496801.589613</v>
      </c>
      <c r="E86" s="92">
        <f>E82+E70</f>
        <v>6786977025.2096128</v>
      </c>
    </row>
    <row r="87" spans="1:5" ht="15" thickBot="1" x14ac:dyDescent="0.35">
      <c r="A87" s="256" t="s">
        <v>647</v>
      </c>
      <c r="B87" s="257"/>
      <c r="C87" s="92">
        <f>C86-C62</f>
        <v>352242475.09961283</v>
      </c>
      <c r="D87" s="92">
        <f t="shared" ref="D87:E87" si="5">D86-D62</f>
        <v>1047939001.589613</v>
      </c>
      <c r="E87" s="92">
        <f t="shared" si="5"/>
        <v>2722721025.2096128</v>
      </c>
    </row>
    <row r="89" spans="1:5" x14ac:dyDescent="0.3">
      <c r="A89" t="s">
        <v>502</v>
      </c>
      <c r="B89" s="47">
        <v>0</v>
      </c>
    </row>
    <row r="90" spans="1:5" x14ac:dyDescent="0.3">
      <c r="A90" t="s">
        <v>503</v>
      </c>
      <c r="B90" s="47">
        <f>C81</f>
        <v>380700797.7596128</v>
      </c>
      <c r="C90" s="46"/>
      <c r="D90" s="46"/>
    </row>
    <row r="91" spans="1:5" x14ac:dyDescent="0.3">
      <c r="A91" t="s">
        <v>504</v>
      </c>
      <c r="B91" s="47">
        <f>C82</f>
        <v>316496691.7596128</v>
      </c>
      <c r="C91" s="46"/>
      <c r="D91" s="46"/>
    </row>
    <row r="92" spans="1:5" x14ac:dyDescent="0.3">
      <c r="A92" t="s">
        <v>505</v>
      </c>
      <c r="B92" s="41">
        <f>D81</f>
        <v>2212455811.259613</v>
      </c>
    </row>
    <row r="93" spans="1:5" x14ac:dyDescent="0.3">
      <c r="A93" t="s">
        <v>506</v>
      </c>
      <c r="B93" s="41">
        <f>D82</f>
        <v>1650004189.2596128</v>
      </c>
      <c r="C93" s="133"/>
      <c r="D93" s="133"/>
    </row>
    <row r="94" spans="1:5" x14ac:dyDescent="0.3">
      <c r="A94" t="s">
        <v>507</v>
      </c>
      <c r="B94" s="41">
        <f>E81</f>
        <v>7739275623.259613</v>
      </c>
    </row>
    <row r="95" spans="1:5" x14ac:dyDescent="0.3">
      <c r="A95" t="s">
        <v>508</v>
      </c>
      <c r="B95" s="41">
        <f>E82</f>
        <v>5560735623.259613</v>
      </c>
    </row>
    <row r="97" spans="1:2" x14ac:dyDescent="0.3">
      <c r="A97" t="s">
        <v>501</v>
      </c>
      <c r="B97" s="76">
        <v>0</v>
      </c>
    </row>
    <row r="98" spans="1:2" x14ac:dyDescent="0.3">
      <c r="A98" t="s">
        <v>509</v>
      </c>
      <c r="B98" s="76">
        <f>C70</f>
        <v>223935183.34</v>
      </c>
    </row>
    <row r="99" spans="1:2" x14ac:dyDescent="0.3">
      <c r="A99" t="s">
        <v>510</v>
      </c>
      <c r="B99" s="76">
        <f>D70</f>
        <v>546492612.32999992</v>
      </c>
    </row>
    <row r="100" spans="1:2" x14ac:dyDescent="0.3">
      <c r="A100" t="s">
        <v>511</v>
      </c>
      <c r="B100" s="76">
        <f>E70</f>
        <v>1226241401.9499998</v>
      </c>
    </row>
  </sheetData>
  <mergeCells count="19">
    <mergeCell ref="A87:B87"/>
    <mergeCell ref="B4:B5"/>
    <mergeCell ref="A82:B82"/>
    <mergeCell ref="C17:E17"/>
    <mergeCell ref="C18:E18"/>
    <mergeCell ref="A81:B81"/>
    <mergeCell ref="C45:E45"/>
    <mergeCell ref="A70:A72"/>
    <mergeCell ref="C47:E47"/>
    <mergeCell ref="C52:E52"/>
    <mergeCell ref="C54:E54"/>
    <mergeCell ref="C55:E55"/>
    <mergeCell ref="C19:E19"/>
    <mergeCell ref="A85:B85"/>
    <mergeCell ref="A86:B86"/>
    <mergeCell ref="C12:E12"/>
    <mergeCell ref="C13:E13"/>
    <mergeCell ref="C14:E14"/>
    <mergeCell ref="A83:B8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05"/>
  <sheetViews>
    <sheetView zoomScale="70" zoomScaleNormal="70" workbookViewId="0">
      <selection activeCell="H40" sqref="H40"/>
    </sheetView>
  </sheetViews>
  <sheetFormatPr baseColWidth="10" defaultColWidth="11.5546875" defaultRowHeight="14.4" x14ac:dyDescent="0.3"/>
  <cols>
    <col min="1" max="1" width="17.33203125" customWidth="1"/>
    <col min="2" max="4" width="20.88671875" customWidth="1"/>
    <col min="5" max="5" width="18.21875" customWidth="1"/>
    <col min="6" max="6" width="35.6640625" customWidth="1"/>
    <col min="9" max="9" width="14.33203125" bestFit="1" customWidth="1"/>
    <col min="10" max="10" width="11.6640625" bestFit="1" customWidth="1"/>
  </cols>
  <sheetData>
    <row r="1" spans="1:11" s="192" customFormat="1" ht="18" x14ac:dyDescent="0.35">
      <c r="A1" s="191" t="s">
        <v>7</v>
      </c>
    </row>
    <row r="2" spans="1:11" x14ac:dyDescent="0.3">
      <c r="A2" s="6" t="s">
        <v>10</v>
      </c>
    </row>
    <row r="3" spans="1:11" x14ac:dyDescent="0.3">
      <c r="A3" t="s">
        <v>14</v>
      </c>
    </row>
    <row r="4" spans="1:11" x14ac:dyDescent="0.3">
      <c r="A4" t="s">
        <v>180</v>
      </c>
    </row>
    <row r="5" spans="1:11" x14ac:dyDescent="0.3">
      <c r="A5" t="s">
        <v>177</v>
      </c>
    </row>
    <row r="6" spans="1:11" x14ac:dyDescent="0.3">
      <c r="A6" t="s">
        <v>178</v>
      </c>
    </row>
    <row r="7" spans="1:11" x14ac:dyDescent="0.3">
      <c r="A7" t="s">
        <v>179</v>
      </c>
    </row>
    <row r="11" spans="1:11" x14ac:dyDescent="0.3">
      <c r="A11" s="6" t="s">
        <v>29</v>
      </c>
    </row>
    <row r="12" spans="1:11" x14ac:dyDescent="0.3">
      <c r="B12" s="1" t="s">
        <v>20</v>
      </c>
      <c r="C12" s="1" t="s">
        <v>19</v>
      </c>
      <c r="D12" t="s">
        <v>21</v>
      </c>
      <c r="I12" s="41"/>
      <c r="J12" s="41"/>
      <c r="K12" s="41"/>
    </row>
    <row r="13" spans="1:11" x14ac:dyDescent="0.3">
      <c r="A13" s="1">
        <v>1</v>
      </c>
      <c r="B13" t="s">
        <v>13</v>
      </c>
      <c r="C13" t="s">
        <v>11</v>
      </c>
      <c r="D13" t="s">
        <v>12</v>
      </c>
    </row>
    <row r="14" spans="1:11" x14ac:dyDescent="0.3">
      <c r="A14" s="1">
        <v>2</v>
      </c>
      <c r="B14" t="s">
        <v>13</v>
      </c>
      <c r="C14" t="s">
        <v>15</v>
      </c>
      <c r="D14" t="s">
        <v>12</v>
      </c>
    </row>
    <row r="15" spans="1:11" x14ac:dyDescent="0.3">
      <c r="A15" s="1">
        <v>3</v>
      </c>
      <c r="B15" t="s">
        <v>16</v>
      </c>
      <c r="C15" t="s">
        <v>11</v>
      </c>
      <c r="D15" t="s">
        <v>12</v>
      </c>
    </row>
    <row r="16" spans="1:11" x14ac:dyDescent="0.3">
      <c r="A16" s="1">
        <v>4</v>
      </c>
      <c r="B16" t="s">
        <v>16</v>
      </c>
      <c r="C16" t="s">
        <v>15</v>
      </c>
      <c r="D16" t="s">
        <v>12</v>
      </c>
    </row>
    <row r="17" spans="1:4" x14ac:dyDescent="0.3">
      <c r="A17" s="1">
        <v>5</v>
      </c>
      <c r="B17" t="s">
        <v>16</v>
      </c>
      <c r="C17" t="s">
        <v>15</v>
      </c>
      <c r="D17" t="s">
        <v>17</v>
      </c>
    </row>
    <row r="18" spans="1:4" x14ac:dyDescent="0.3">
      <c r="A18" s="1">
        <v>6</v>
      </c>
      <c r="B18" t="s">
        <v>18</v>
      </c>
      <c r="C18" t="s">
        <v>11</v>
      </c>
      <c r="D18" t="s">
        <v>12</v>
      </c>
    </row>
    <row r="19" spans="1:4" x14ac:dyDescent="0.3">
      <c r="A19" s="1">
        <v>7</v>
      </c>
      <c r="B19" t="s">
        <v>18</v>
      </c>
      <c r="C19" t="s">
        <v>15</v>
      </c>
      <c r="D19" t="s">
        <v>17</v>
      </c>
    </row>
    <row r="21" spans="1:4" x14ac:dyDescent="0.3">
      <c r="A21" s="6" t="s">
        <v>22</v>
      </c>
    </row>
    <row r="22" spans="1:4" x14ac:dyDescent="0.3">
      <c r="A22" t="s">
        <v>11</v>
      </c>
      <c r="B22" t="s">
        <v>46</v>
      </c>
    </row>
    <row r="23" spans="1:4" x14ac:dyDescent="0.3">
      <c r="A23" t="s">
        <v>15</v>
      </c>
      <c r="B23" t="s">
        <v>45</v>
      </c>
    </row>
    <row r="24" spans="1:4" x14ac:dyDescent="0.3">
      <c r="A24" t="s">
        <v>13</v>
      </c>
      <c r="B24" t="s">
        <v>49</v>
      </c>
    </row>
    <row r="25" spans="1:4" x14ac:dyDescent="0.3">
      <c r="A25" t="s">
        <v>16</v>
      </c>
      <c r="B25" t="s">
        <v>48</v>
      </c>
    </row>
    <row r="26" spans="1:4" x14ac:dyDescent="0.3">
      <c r="A26" t="s">
        <v>18</v>
      </c>
      <c r="B26" t="s">
        <v>47</v>
      </c>
    </row>
    <row r="28" spans="1:4" x14ac:dyDescent="0.3">
      <c r="A28" t="s">
        <v>30</v>
      </c>
    </row>
    <row r="29" spans="1:4" ht="15" thickBot="1" x14ac:dyDescent="0.35">
      <c r="A29" t="s">
        <v>31</v>
      </c>
    </row>
    <row r="30" spans="1:4" ht="15" thickBot="1" x14ac:dyDescent="0.35">
      <c r="A30" s="6" t="s">
        <v>23</v>
      </c>
      <c r="B30" s="18" t="s">
        <v>24</v>
      </c>
      <c r="C30" s="19" t="s">
        <v>25</v>
      </c>
    </row>
    <row r="31" spans="1:4" x14ac:dyDescent="0.3">
      <c r="A31" s="24" t="s">
        <v>26</v>
      </c>
      <c r="B31" s="25" t="s">
        <v>32</v>
      </c>
      <c r="C31" s="26" t="s">
        <v>33</v>
      </c>
    </row>
    <row r="32" spans="1:4" x14ac:dyDescent="0.3">
      <c r="A32" s="27" t="s">
        <v>27</v>
      </c>
      <c r="B32" s="20" t="s">
        <v>34</v>
      </c>
      <c r="C32" s="21" t="s">
        <v>126</v>
      </c>
    </row>
    <row r="33" spans="1:6" ht="15" thickBot="1" x14ac:dyDescent="0.35">
      <c r="A33" s="28" t="s">
        <v>28</v>
      </c>
      <c r="B33" s="22" t="s">
        <v>35</v>
      </c>
      <c r="C33" s="23" t="s">
        <v>36</v>
      </c>
    </row>
    <row r="34" spans="1:6" x14ac:dyDescent="0.3">
      <c r="A34" s="33"/>
      <c r="B34" s="34"/>
      <c r="C34" s="34"/>
    </row>
    <row r="35" spans="1:6" x14ac:dyDescent="0.3">
      <c r="A35" s="35" t="s">
        <v>127</v>
      </c>
      <c r="B35" s="34"/>
      <c r="C35" s="34"/>
    </row>
    <row r="37" spans="1:6" x14ac:dyDescent="0.3">
      <c r="A37" s="6" t="s">
        <v>128</v>
      </c>
    </row>
    <row r="38" spans="1:6" ht="15" thickBot="1" x14ac:dyDescent="0.35"/>
    <row r="39" spans="1:6" ht="29.4" thickBot="1" x14ac:dyDescent="0.35">
      <c r="A39" s="36" t="s">
        <v>20</v>
      </c>
      <c r="B39" s="37" t="s">
        <v>639</v>
      </c>
      <c r="C39" s="38" t="s">
        <v>640</v>
      </c>
      <c r="D39" s="37" t="s">
        <v>641</v>
      </c>
      <c r="E39" s="37" t="s">
        <v>21</v>
      </c>
      <c r="F39" s="39" t="s">
        <v>642</v>
      </c>
    </row>
    <row r="40" spans="1:6" x14ac:dyDescent="0.3">
      <c r="A40" t="s">
        <v>26</v>
      </c>
      <c r="B40" t="s">
        <v>255</v>
      </c>
      <c r="D40" s="1">
        <v>1</v>
      </c>
      <c r="E40" t="s">
        <v>12</v>
      </c>
      <c r="F40" s="55">
        <v>69</v>
      </c>
    </row>
    <row r="41" spans="1:6" x14ac:dyDescent="0.3">
      <c r="A41" t="s">
        <v>26</v>
      </c>
      <c r="B41" t="s">
        <v>25</v>
      </c>
      <c r="D41" s="1">
        <v>2</v>
      </c>
      <c r="E41" t="s">
        <v>12</v>
      </c>
      <c r="F41" s="55">
        <v>103</v>
      </c>
    </row>
    <row r="42" spans="1:6" x14ac:dyDescent="0.3">
      <c r="A42" t="s">
        <v>27</v>
      </c>
      <c r="B42" t="s">
        <v>255</v>
      </c>
      <c r="D42" s="1">
        <v>3</v>
      </c>
      <c r="E42" t="s">
        <v>12</v>
      </c>
      <c r="F42" s="55">
        <v>21</v>
      </c>
    </row>
    <row r="43" spans="1:6" x14ac:dyDescent="0.3">
      <c r="A43" t="s">
        <v>27</v>
      </c>
      <c r="B43" t="s">
        <v>25</v>
      </c>
      <c r="C43" t="s">
        <v>644</v>
      </c>
      <c r="D43" s="1">
        <v>4</v>
      </c>
      <c r="E43" t="s">
        <v>12</v>
      </c>
      <c r="F43" s="55">
        <v>84</v>
      </c>
    </row>
    <row r="44" spans="1:6" x14ac:dyDescent="0.3">
      <c r="A44" t="s">
        <v>27</v>
      </c>
      <c r="B44" t="s">
        <v>25</v>
      </c>
      <c r="C44" t="s">
        <v>645</v>
      </c>
      <c r="D44" s="1">
        <v>5</v>
      </c>
      <c r="E44" t="s">
        <v>17</v>
      </c>
      <c r="F44" s="55">
        <v>21</v>
      </c>
    </row>
    <row r="45" spans="1:6" x14ac:dyDescent="0.3">
      <c r="A45" t="s">
        <v>28</v>
      </c>
      <c r="B45" t="s">
        <v>255</v>
      </c>
      <c r="D45" s="1">
        <v>6</v>
      </c>
      <c r="E45" t="s">
        <v>12</v>
      </c>
      <c r="F45" s="55">
        <v>5</v>
      </c>
    </row>
    <row r="46" spans="1:6" x14ac:dyDescent="0.3">
      <c r="A46" t="s">
        <v>28</v>
      </c>
      <c r="B46" t="s">
        <v>25</v>
      </c>
      <c r="D46" s="1">
        <v>7</v>
      </c>
      <c r="E46" t="s">
        <v>17</v>
      </c>
      <c r="F46" s="55">
        <v>43</v>
      </c>
    </row>
    <row r="47" spans="1:6" x14ac:dyDescent="0.3">
      <c r="D47" s="1"/>
      <c r="F47" s="55"/>
    </row>
    <row r="48" spans="1:6" ht="15" thickBot="1" x14ac:dyDescent="0.35">
      <c r="A48" s="6" t="s">
        <v>254</v>
      </c>
      <c r="D48" s="1"/>
      <c r="F48" s="55"/>
    </row>
    <row r="49" spans="1:6" ht="15" thickBot="1" x14ac:dyDescent="0.35">
      <c r="A49" s="65" t="s">
        <v>256</v>
      </c>
      <c r="B49" s="66" t="s">
        <v>258</v>
      </c>
      <c r="C49" s="66" t="s">
        <v>257</v>
      </c>
      <c r="D49" s="67" t="s">
        <v>258</v>
      </c>
      <c r="F49" s="55"/>
    </row>
    <row r="50" spans="1:6" x14ac:dyDescent="0.3">
      <c r="A50" s="56" t="s">
        <v>26</v>
      </c>
      <c r="B50" s="62">
        <f>F40+F41</f>
        <v>172</v>
      </c>
      <c r="C50" s="59" t="s">
        <v>255</v>
      </c>
      <c r="D50" s="26">
        <f>F40+F42+F45</f>
        <v>95</v>
      </c>
      <c r="F50" s="55"/>
    </row>
    <row r="51" spans="1:6" ht="15" thickBot="1" x14ac:dyDescent="0.35">
      <c r="A51" s="57" t="s">
        <v>27</v>
      </c>
      <c r="B51" s="63">
        <f>F42+F43+F44</f>
        <v>126</v>
      </c>
      <c r="C51" s="60" t="s">
        <v>25</v>
      </c>
      <c r="D51" s="23">
        <f>F41+F43+F44+F46</f>
        <v>251</v>
      </c>
      <c r="F51" s="55"/>
    </row>
    <row r="52" spans="1:6" ht="15" thickBot="1" x14ac:dyDescent="0.35">
      <c r="A52" s="58" t="s">
        <v>28</v>
      </c>
      <c r="B52" s="64">
        <f>F45+F46</f>
        <v>48</v>
      </c>
      <c r="C52" s="60"/>
      <c r="D52" s="61"/>
      <c r="F52" s="55"/>
    </row>
    <row r="54" spans="1:6" x14ac:dyDescent="0.3">
      <c r="A54" s="7" t="s">
        <v>139</v>
      </c>
    </row>
    <row r="55" spans="1:6" x14ac:dyDescent="0.3">
      <c r="A55" s="8" t="s">
        <v>20</v>
      </c>
      <c r="B55" s="8" t="s">
        <v>37</v>
      </c>
      <c r="C55" s="8" t="s">
        <v>140</v>
      </c>
      <c r="D55" s="7" t="s">
        <v>141</v>
      </c>
    </row>
    <row r="56" spans="1:6" x14ac:dyDescent="0.3">
      <c r="A56" s="1">
        <v>1</v>
      </c>
      <c r="B56" s="42">
        <v>9785</v>
      </c>
      <c r="C56" t="s">
        <v>143</v>
      </c>
      <c r="D56" t="s">
        <v>497</v>
      </c>
    </row>
    <row r="57" spans="1:6" x14ac:dyDescent="0.3">
      <c r="A57" s="1">
        <v>2</v>
      </c>
      <c r="B57" s="42">
        <v>18243</v>
      </c>
      <c r="C57" t="s">
        <v>143</v>
      </c>
      <c r="D57" t="s">
        <v>142</v>
      </c>
    </row>
    <row r="58" spans="1:6" x14ac:dyDescent="0.3">
      <c r="A58" s="1">
        <v>3</v>
      </c>
      <c r="B58" s="42">
        <v>83460</v>
      </c>
      <c r="C58" t="s">
        <v>145</v>
      </c>
      <c r="D58" t="s">
        <v>144</v>
      </c>
    </row>
    <row r="59" spans="1:6" x14ac:dyDescent="0.3">
      <c r="A59" s="1">
        <v>4</v>
      </c>
      <c r="B59" s="42">
        <f>B58*(1+10%)</f>
        <v>91806.000000000015</v>
      </c>
      <c r="C59" t="s">
        <v>150</v>
      </c>
    </row>
    <row r="60" spans="1:6" x14ac:dyDescent="0.3">
      <c r="A60" s="1">
        <v>5</v>
      </c>
      <c r="B60" s="42">
        <f>B58*(1+20%)</f>
        <v>100152</v>
      </c>
      <c r="C60" t="s">
        <v>149</v>
      </c>
    </row>
    <row r="61" spans="1:6" x14ac:dyDescent="0.3">
      <c r="A61" s="1">
        <v>6</v>
      </c>
      <c r="B61" s="42">
        <v>101103</v>
      </c>
      <c r="C61" t="s">
        <v>145</v>
      </c>
      <c r="D61" t="s">
        <v>146</v>
      </c>
    </row>
    <row r="62" spans="1:6" x14ac:dyDescent="0.3">
      <c r="A62" s="1">
        <v>7</v>
      </c>
      <c r="B62" s="42">
        <v>150531</v>
      </c>
      <c r="C62" t="s">
        <v>147</v>
      </c>
      <c r="D62" t="s">
        <v>148</v>
      </c>
    </row>
    <row r="64" spans="1:6" x14ac:dyDescent="0.3">
      <c r="A64" s="6" t="s">
        <v>41</v>
      </c>
    </row>
    <row r="65" spans="1:5" x14ac:dyDescent="0.3">
      <c r="A65" s="6" t="s">
        <v>158</v>
      </c>
      <c r="B65" s="277" t="s">
        <v>39</v>
      </c>
      <c r="C65" s="277"/>
      <c r="D65" s="277"/>
    </row>
    <row r="66" spans="1:5" x14ac:dyDescent="0.3">
      <c r="A66" s="8" t="s">
        <v>20</v>
      </c>
      <c r="B66" s="8" t="s">
        <v>297</v>
      </c>
      <c r="C66" s="8" t="s">
        <v>298</v>
      </c>
      <c r="D66" s="30" t="s">
        <v>140</v>
      </c>
      <c r="E66" s="7" t="s">
        <v>38</v>
      </c>
    </row>
    <row r="67" spans="1:5" x14ac:dyDescent="0.3">
      <c r="A67" s="1">
        <v>1</v>
      </c>
      <c r="B67" s="42">
        <v>371122</v>
      </c>
      <c r="C67" s="42">
        <v>988000</v>
      </c>
      <c r="D67" t="s">
        <v>152</v>
      </c>
      <c r="E67" t="s">
        <v>151</v>
      </c>
    </row>
    <row r="68" spans="1:5" x14ac:dyDescent="0.3">
      <c r="A68" s="1">
        <v>2</v>
      </c>
      <c r="B68" s="42">
        <v>371122</v>
      </c>
      <c r="C68" s="42">
        <v>988000</v>
      </c>
      <c r="D68" t="s">
        <v>153</v>
      </c>
      <c r="E68" t="s">
        <v>151</v>
      </c>
    </row>
    <row r="69" spans="1:5" x14ac:dyDescent="0.3">
      <c r="A69" s="1">
        <v>3</v>
      </c>
      <c r="B69" s="42">
        <v>364021</v>
      </c>
      <c r="C69" s="42">
        <v>988000</v>
      </c>
      <c r="D69" t="s">
        <v>154</v>
      </c>
      <c r="E69" t="s">
        <v>151</v>
      </c>
    </row>
    <row r="70" spans="1:5" x14ac:dyDescent="0.3">
      <c r="A70" s="1">
        <v>4</v>
      </c>
      <c r="B70" s="42">
        <v>371122</v>
      </c>
      <c r="C70" s="42">
        <v>988000</v>
      </c>
      <c r="D70" t="s">
        <v>155</v>
      </c>
      <c r="E70" t="s">
        <v>151</v>
      </c>
    </row>
    <row r="71" spans="1:5" x14ac:dyDescent="0.3">
      <c r="A71" s="1">
        <v>5</v>
      </c>
      <c r="B71" s="42">
        <v>371122</v>
      </c>
      <c r="C71" s="42">
        <v>988000</v>
      </c>
      <c r="D71" t="s">
        <v>156</v>
      </c>
      <c r="E71" t="s">
        <v>151</v>
      </c>
    </row>
    <row r="72" spans="1:5" x14ac:dyDescent="0.3">
      <c r="A72" s="1">
        <v>6</v>
      </c>
      <c r="B72" s="42">
        <v>371122</v>
      </c>
      <c r="C72" s="42">
        <v>988000</v>
      </c>
      <c r="D72" t="s">
        <v>157</v>
      </c>
      <c r="E72" t="s">
        <v>151</v>
      </c>
    </row>
    <row r="73" spans="1:5" x14ac:dyDescent="0.3">
      <c r="A73" s="1">
        <v>7</v>
      </c>
      <c r="B73" s="42">
        <v>371122</v>
      </c>
      <c r="C73" s="42">
        <v>988000</v>
      </c>
      <c r="D73" t="s">
        <v>157</v>
      </c>
      <c r="E73" t="s">
        <v>151</v>
      </c>
    </row>
    <row r="74" spans="1:5" x14ac:dyDescent="0.3">
      <c r="A74" s="1"/>
      <c r="B74" s="41"/>
      <c r="C74" s="41"/>
      <c r="D74" s="42"/>
    </row>
    <row r="75" spans="1:5" x14ac:dyDescent="0.3">
      <c r="A75" s="7" t="s">
        <v>159</v>
      </c>
      <c r="B75" s="41"/>
      <c r="C75" s="41"/>
      <c r="D75" s="42"/>
    </row>
    <row r="76" spans="1:5" x14ac:dyDescent="0.3">
      <c r="A76" s="30" t="s">
        <v>20</v>
      </c>
      <c r="B76" s="44" t="s">
        <v>160</v>
      </c>
      <c r="C76" s="44" t="s">
        <v>140</v>
      </c>
      <c r="D76" s="45" t="s">
        <v>38</v>
      </c>
    </row>
    <row r="77" spans="1:5" x14ac:dyDescent="0.3">
      <c r="A77" s="1">
        <v>1</v>
      </c>
      <c r="B77" s="47">
        <v>969197</v>
      </c>
      <c r="C77" s="41" t="s">
        <v>161</v>
      </c>
      <c r="D77" t="s">
        <v>151</v>
      </c>
    </row>
    <row r="78" spans="1:5" x14ac:dyDescent="0.3">
      <c r="A78" s="1">
        <v>2</v>
      </c>
      <c r="B78" s="47">
        <v>969197</v>
      </c>
      <c r="C78" s="41" t="s">
        <v>162</v>
      </c>
      <c r="D78" t="s">
        <v>151</v>
      </c>
    </row>
    <row r="79" spans="1:5" x14ac:dyDescent="0.3">
      <c r="A79" s="1">
        <v>3</v>
      </c>
      <c r="B79" s="47">
        <v>969197</v>
      </c>
      <c r="C79" s="41" t="s">
        <v>163</v>
      </c>
      <c r="D79" t="s">
        <v>151</v>
      </c>
    </row>
    <row r="80" spans="1:5" x14ac:dyDescent="0.3">
      <c r="A80" s="1">
        <v>4</v>
      </c>
      <c r="B80" s="47">
        <v>969197</v>
      </c>
      <c r="C80" s="41" t="s">
        <v>164</v>
      </c>
      <c r="D80" t="s">
        <v>151</v>
      </c>
    </row>
    <row r="81" spans="1:6" x14ac:dyDescent="0.3">
      <c r="A81" s="1">
        <v>5</v>
      </c>
      <c r="B81" s="47">
        <v>969197</v>
      </c>
      <c r="C81" s="41" t="s">
        <v>165</v>
      </c>
      <c r="D81" t="s">
        <v>151</v>
      </c>
    </row>
    <row r="82" spans="1:6" x14ac:dyDescent="0.3">
      <c r="A82" s="1">
        <v>6</v>
      </c>
      <c r="B82" s="47">
        <v>969197</v>
      </c>
      <c r="C82" s="41" t="s">
        <v>166</v>
      </c>
      <c r="D82" t="s">
        <v>151</v>
      </c>
    </row>
    <row r="83" spans="1:6" x14ac:dyDescent="0.3">
      <c r="A83" s="1">
        <v>7</v>
      </c>
      <c r="B83" s="47">
        <v>969197</v>
      </c>
      <c r="C83" s="41" t="s">
        <v>166</v>
      </c>
      <c r="D83" t="s">
        <v>151</v>
      </c>
    </row>
    <row r="84" spans="1:6" x14ac:dyDescent="0.3">
      <c r="A84" s="6"/>
    </row>
    <row r="85" spans="1:6" x14ac:dyDescent="0.3">
      <c r="A85" s="6" t="s">
        <v>42</v>
      </c>
    </row>
    <row r="86" spans="1:6" x14ac:dyDescent="0.3">
      <c r="A86" s="6" t="s">
        <v>307</v>
      </c>
      <c r="B86" s="30" t="s">
        <v>37</v>
      </c>
      <c r="C86" s="43" t="s">
        <v>39</v>
      </c>
      <c r="D86" s="43"/>
      <c r="E86" s="43"/>
      <c r="F86" s="43"/>
    </row>
    <row r="87" spans="1:6" x14ac:dyDescent="0.3">
      <c r="A87" s="8" t="s">
        <v>20</v>
      </c>
      <c r="C87" s="30">
        <v>50</v>
      </c>
      <c r="D87" s="8">
        <v>100</v>
      </c>
      <c r="E87" s="7" t="s">
        <v>140</v>
      </c>
      <c r="F87" s="7" t="s">
        <v>38</v>
      </c>
    </row>
    <row r="88" spans="1:6" x14ac:dyDescent="0.3">
      <c r="A88" s="1">
        <v>1</v>
      </c>
      <c r="B88" s="41">
        <v>5439</v>
      </c>
      <c r="C88" s="41">
        <f>B88*50</f>
        <v>271950</v>
      </c>
      <c r="D88" s="41">
        <f t="shared" ref="D88:D94" si="0">B88*100</f>
        <v>543900</v>
      </c>
      <c r="E88" t="s">
        <v>167</v>
      </c>
      <c r="F88" t="s">
        <v>151</v>
      </c>
    </row>
    <row r="89" spans="1:6" x14ac:dyDescent="0.3">
      <c r="A89" s="1">
        <v>2</v>
      </c>
      <c r="B89" s="41">
        <v>5439</v>
      </c>
      <c r="C89" s="41">
        <f t="shared" ref="C89:C94" si="1">B89*50</f>
        <v>271950</v>
      </c>
      <c r="D89" s="41">
        <f t="shared" si="0"/>
        <v>543900</v>
      </c>
      <c r="E89" t="s">
        <v>168</v>
      </c>
      <c r="F89" t="s">
        <v>151</v>
      </c>
    </row>
    <row r="90" spans="1:6" x14ac:dyDescent="0.3">
      <c r="A90" s="1">
        <v>3</v>
      </c>
      <c r="B90" s="41">
        <v>5439</v>
      </c>
      <c r="C90" s="41">
        <f t="shared" si="1"/>
        <v>271950</v>
      </c>
      <c r="D90" s="41">
        <f t="shared" si="0"/>
        <v>543900</v>
      </c>
      <c r="E90" t="s">
        <v>169</v>
      </c>
      <c r="F90" t="s">
        <v>151</v>
      </c>
    </row>
    <row r="91" spans="1:6" x14ac:dyDescent="0.3">
      <c r="A91" s="55">
        <v>4</v>
      </c>
      <c r="B91" s="109">
        <v>5439</v>
      </c>
      <c r="C91" s="41">
        <f t="shared" si="1"/>
        <v>271950</v>
      </c>
      <c r="D91" s="41">
        <f t="shared" si="0"/>
        <v>543900</v>
      </c>
      <c r="E91" t="s">
        <v>170</v>
      </c>
      <c r="F91" t="s">
        <v>151</v>
      </c>
    </row>
    <row r="92" spans="1:6" x14ac:dyDescent="0.3">
      <c r="A92" s="55">
        <v>5</v>
      </c>
      <c r="B92" s="109">
        <v>5439</v>
      </c>
      <c r="C92" s="41">
        <f t="shared" si="1"/>
        <v>271950</v>
      </c>
      <c r="D92" s="41">
        <f t="shared" si="0"/>
        <v>543900</v>
      </c>
      <c r="E92" t="s">
        <v>171</v>
      </c>
      <c r="F92" t="s">
        <v>151</v>
      </c>
    </row>
    <row r="93" spans="1:6" x14ac:dyDescent="0.3">
      <c r="A93" s="55">
        <v>6</v>
      </c>
      <c r="B93" s="109">
        <v>5439</v>
      </c>
      <c r="C93" s="41">
        <f t="shared" si="1"/>
        <v>271950</v>
      </c>
      <c r="D93" s="41">
        <f t="shared" si="0"/>
        <v>543900</v>
      </c>
      <c r="E93" t="s">
        <v>172</v>
      </c>
      <c r="F93" t="s">
        <v>151</v>
      </c>
    </row>
    <row r="94" spans="1:6" x14ac:dyDescent="0.3">
      <c r="A94" s="55">
        <v>7</v>
      </c>
      <c r="B94" s="109">
        <v>13152</v>
      </c>
      <c r="C94" s="41">
        <f t="shared" si="1"/>
        <v>657600</v>
      </c>
      <c r="D94" s="41">
        <f t="shared" si="0"/>
        <v>1315200</v>
      </c>
      <c r="E94" t="s">
        <v>172</v>
      </c>
      <c r="F94" t="s">
        <v>151</v>
      </c>
    </row>
    <row r="95" spans="1:6" x14ac:dyDescent="0.3">
      <c r="A95" s="55"/>
      <c r="B95" s="109"/>
      <c r="C95" s="41"/>
      <c r="D95" s="41"/>
      <c r="E95" s="1"/>
    </row>
    <row r="96" spans="1:6" x14ac:dyDescent="0.3">
      <c r="A96" s="196" t="s">
        <v>289</v>
      </c>
      <c r="B96" s="70" t="s">
        <v>37</v>
      </c>
      <c r="C96" s="43" t="s">
        <v>39</v>
      </c>
      <c r="D96" s="43"/>
    </row>
    <row r="97" spans="1:6" x14ac:dyDescent="0.3">
      <c r="A97" s="70" t="s">
        <v>20</v>
      </c>
      <c r="B97" s="17"/>
      <c r="C97" s="30">
        <v>50</v>
      </c>
      <c r="D97" s="30">
        <v>100</v>
      </c>
      <c r="E97" s="7" t="s">
        <v>140</v>
      </c>
      <c r="F97" s="7" t="s">
        <v>38</v>
      </c>
    </row>
    <row r="98" spans="1:6" x14ac:dyDescent="0.3">
      <c r="A98" s="55">
        <v>1</v>
      </c>
      <c r="B98" s="109">
        <v>7554</v>
      </c>
      <c r="C98" s="41">
        <f t="shared" ref="C98:C104" si="2">B98*50</f>
        <v>377700</v>
      </c>
      <c r="D98" s="41">
        <f t="shared" ref="D98:D104" si="3">B98*100</f>
        <v>755400</v>
      </c>
      <c r="E98" t="s">
        <v>290</v>
      </c>
      <c r="F98" t="s">
        <v>151</v>
      </c>
    </row>
    <row r="99" spans="1:6" x14ac:dyDescent="0.3">
      <c r="A99" s="55">
        <v>2</v>
      </c>
      <c r="B99" s="109">
        <v>7554</v>
      </c>
      <c r="C99" s="41">
        <f t="shared" si="2"/>
        <v>377700</v>
      </c>
      <c r="D99" s="41">
        <f t="shared" si="3"/>
        <v>755400</v>
      </c>
      <c r="E99" t="s">
        <v>291</v>
      </c>
      <c r="F99" t="s">
        <v>151</v>
      </c>
    </row>
    <row r="100" spans="1:6" x14ac:dyDescent="0.3">
      <c r="A100" s="55">
        <v>3</v>
      </c>
      <c r="B100" s="109">
        <v>7554</v>
      </c>
      <c r="C100" s="41">
        <f t="shared" si="2"/>
        <v>377700</v>
      </c>
      <c r="D100" s="41">
        <f t="shared" si="3"/>
        <v>755400</v>
      </c>
      <c r="E100" t="s">
        <v>292</v>
      </c>
      <c r="F100" t="s">
        <v>151</v>
      </c>
    </row>
    <row r="101" spans="1:6" x14ac:dyDescent="0.3">
      <c r="A101" s="55">
        <v>4</v>
      </c>
      <c r="B101" s="109">
        <v>7554</v>
      </c>
      <c r="C101" s="41">
        <f t="shared" si="2"/>
        <v>377700</v>
      </c>
      <c r="D101" s="41">
        <f t="shared" si="3"/>
        <v>755400</v>
      </c>
      <c r="E101" t="s">
        <v>293</v>
      </c>
      <c r="F101" t="s">
        <v>151</v>
      </c>
    </row>
    <row r="102" spans="1:6" x14ac:dyDescent="0.3">
      <c r="A102" s="1">
        <v>5</v>
      </c>
      <c r="B102" s="41">
        <v>7554</v>
      </c>
      <c r="C102" s="41">
        <f t="shared" si="2"/>
        <v>377700</v>
      </c>
      <c r="D102" s="41">
        <f t="shared" si="3"/>
        <v>755400</v>
      </c>
      <c r="E102" t="s">
        <v>294</v>
      </c>
      <c r="F102" t="s">
        <v>151</v>
      </c>
    </row>
    <row r="103" spans="1:6" x14ac:dyDescent="0.3">
      <c r="A103" s="1">
        <v>6</v>
      </c>
      <c r="B103" s="41">
        <v>7554</v>
      </c>
      <c r="C103" s="41">
        <f t="shared" si="2"/>
        <v>377700</v>
      </c>
      <c r="D103" s="41">
        <f t="shared" si="3"/>
        <v>755400</v>
      </c>
      <c r="E103" t="s">
        <v>295</v>
      </c>
      <c r="F103" t="s">
        <v>151</v>
      </c>
    </row>
    <row r="104" spans="1:6" x14ac:dyDescent="0.3">
      <c r="A104" s="1">
        <v>7</v>
      </c>
      <c r="B104" s="41">
        <f>(B94/B93)*B103</f>
        <v>18266.263651406509</v>
      </c>
      <c r="C104" s="41">
        <f t="shared" si="2"/>
        <v>913313.18257032544</v>
      </c>
      <c r="D104" s="41">
        <f t="shared" si="3"/>
        <v>1826626.3651406509</v>
      </c>
      <c r="E104" t="s">
        <v>296</v>
      </c>
      <c r="F104" t="s">
        <v>275</v>
      </c>
    </row>
    <row r="105" spans="1:6" x14ac:dyDescent="0.3">
      <c r="A105" s="1"/>
      <c r="B105" s="41"/>
      <c r="D105" s="41"/>
    </row>
    <row r="106" spans="1:6" x14ac:dyDescent="0.3">
      <c r="A106" s="6" t="s">
        <v>273</v>
      </c>
    </row>
    <row r="107" spans="1:6" x14ac:dyDescent="0.3">
      <c r="A107" s="6" t="s">
        <v>274</v>
      </c>
    </row>
    <row r="108" spans="1:6" x14ac:dyDescent="0.3">
      <c r="A108" s="8" t="s">
        <v>20</v>
      </c>
      <c r="B108" s="8" t="s">
        <v>37</v>
      </c>
      <c r="C108" s="8" t="s">
        <v>140</v>
      </c>
      <c r="D108" s="7" t="s">
        <v>38</v>
      </c>
    </row>
    <row r="109" spans="1:6" x14ac:dyDescent="0.3">
      <c r="A109" s="1">
        <v>1</v>
      </c>
      <c r="B109" s="78">
        <f>2/3*30000</f>
        <v>20000</v>
      </c>
      <c r="C109" s="278" t="s">
        <v>271</v>
      </c>
      <c r="D109" s="279" t="s">
        <v>272</v>
      </c>
    </row>
    <row r="110" spans="1:6" x14ac:dyDescent="0.3">
      <c r="A110" s="1">
        <v>2</v>
      </c>
      <c r="B110" s="78">
        <f t="shared" ref="B110:B115" si="4">2/3*30000</f>
        <v>20000</v>
      </c>
      <c r="C110" s="278"/>
      <c r="D110" s="280"/>
    </row>
    <row r="111" spans="1:6" x14ac:dyDescent="0.3">
      <c r="A111" s="1">
        <v>3</v>
      </c>
      <c r="B111" s="78">
        <f t="shared" si="4"/>
        <v>20000</v>
      </c>
      <c r="C111" s="278"/>
      <c r="D111" s="280"/>
    </row>
    <row r="112" spans="1:6" x14ac:dyDescent="0.3">
      <c r="A112" s="1">
        <v>4</v>
      </c>
      <c r="B112" s="78">
        <f t="shared" si="4"/>
        <v>20000</v>
      </c>
      <c r="C112" s="278"/>
      <c r="D112" s="280"/>
    </row>
    <row r="113" spans="1:4" x14ac:dyDescent="0.3">
      <c r="A113" s="1">
        <v>5</v>
      </c>
      <c r="B113" s="78">
        <f t="shared" si="4"/>
        <v>20000</v>
      </c>
      <c r="C113" s="278"/>
      <c r="D113" s="280"/>
    </row>
    <row r="114" spans="1:4" x14ac:dyDescent="0.3">
      <c r="A114" s="1">
        <v>6</v>
      </c>
      <c r="B114" s="78">
        <f t="shared" si="4"/>
        <v>20000</v>
      </c>
      <c r="C114" s="278"/>
      <c r="D114" s="280"/>
    </row>
    <row r="115" spans="1:4" x14ac:dyDescent="0.3">
      <c r="A115" s="1">
        <v>7</v>
      </c>
      <c r="B115" s="78">
        <f t="shared" si="4"/>
        <v>20000</v>
      </c>
      <c r="C115" s="278"/>
      <c r="D115" s="280"/>
    </row>
    <row r="117" spans="1:4" x14ac:dyDescent="0.3">
      <c r="A117" s="6" t="s">
        <v>276</v>
      </c>
    </row>
    <row r="118" spans="1:4" x14ac:dyDescent="0.3">
      <c r="A118" s="30" t="s">
        <v>20</v>
      </c>
      <c r="B118" s="30" t="s">
        <v>37</v>
      </c>
      <c r="C118" s="30" t="s">
        <v>140</v>
      </c>
      <c r="D118" s="7" t="s">
        <v>38</v>
      </c>
    </row>
    <row r="119" spans="1:4" x14ac:dyDescent="0.3">
      <c r="A119" s="1">
        <v>1</v>
      </c>
      <c r="B119" s="78">
        <f t="shared" ref="B119:B125" si="5">2/3*30000</f>
        <v>20000</v>
      </c>
      <c r="C119" s="275" t="s">
        <v>333</v>
      </c>
      <c r="D119" s="276" t="s">
        <v>275</v>
      </c>
    </row>
    <row r="120" spans="1:4" x14ac:dyDescent="0.3">
      <c r="A120" s="1">
        <v>2</v>
      </c>
      <c r="B120" s="78">
        <f t="shared" si="5"/>
        <v>20000</v>
      </c>
      <c r="C120" s="275"/>
      <c r="D120" s="276"/>
    </row>
    <row r="121" spans="1:4" x14ac:dyDescent="0.3">
      <c r="A121" s="1">
        <v>3</v>
      </c>
      <c r="B121" s="78">
        <f t="shared" si="5"/>
        <v>20000</v>
      </c>
      <c r="C121" s="275"/>
      <c r="D121" s="276"/>
    </row>
    <row r="122" spans="1:4" x14ac:dyDescent="0.3">
      <c r="A122" s="1">
        <v>4</v>
      </c>
      <c r="B122" s="78">
        <f t="shared" si="5"/>
        <v>20000</v>
      </c>
      <c r="C122" s="275"/>
      <c r="D122" s="276"/>
    </row>
    <row r="123" spans="1:4" x14ac:dyDescent="0.3">
      <c r="A123" s="1">
        <v>5</v>
      </c>
      <c r="B123" s="78">
        <f t="shared" si="5"/>
        <v>20000</v>
      </c>
      <c r="C123" s="275"/>
      <c r="D123" s="276"/>
    </row>
    <row r="124" spans="1:4" x14ac:dyDescent="0.3">
      <c r="A124" s="1">
        <v>6</v>
      </c>
      <c r="B124" s="78">
        <f t="shared" si="5"/>
        <v>20000</v>
      </c>
      <c r="C124" s="275"/>
      <c r="D124" s="276"/>
    </row>
    <row r="125" spans="1:4" x14ac:dyDescent="0.3">
      <c r="A125" s="1">
        <v>7</v>
      </c>
      <c r="B125" s="78">
        <f t="shared" si="5"/>
        <v>20000</v>
      </c>
      <c r="C125" s="275"/>
      <c r="D125" s="276"/>
    </row>
    <row r="127" spans="1:4" x14ac:dyDescent="0.3">
      <c r="A127" s="6" t="s">
        <v>278</v>
      </c>
    </row>
    <row r="128" spans="1:4" x14ac:dyDescent="0.3">
      <c r="A128" s="6"/>
      <c r="B128" s="30" t="s">
        <v>37</v>
      </c>
      <c r="C128" s="30" t="s">
        <v>140</v>
      </c>
      <c r="D128" s="7" t="s">
        <v>38</v>
      </c>
    </row>
    <row r="129" spans="1:4" x14ac:dyDescent="0.3">
      <c r="A129" s="1" t="s">
        <v>123</v>
      </c>
      <c r="B129" s="77">
        <f>44000/5*2</f>
        <v>17600</v>
      </c>
      <c r="C129" t="s">
        <v>563</v>
      </c>
      <c r="D129" s="79" t="s">
        <v>279</v>
      </c>
    </row>
    <row r="131" spans="1:4" x14ac:dyDescent="0.3">
      <c r="A131" s="6" t="s">
        <v>301</v>
      </c>
    </row>
    <row r="132" spans="1:4" x14ac:dyDescent="0.3">
      <c r="A132" s="10" t="s">
        <v>20</v>
      </c>
      <c r="B132" s="10" t="s">
        <v>37</v>
      </c>
      <c r="C132" s="10" t="s">
        <v>140</v>
      </c>
      <c r="D132" s="7" t="s">
        <v>38</v>
      </c>
    </row>
    <row r="133" spans="1:4" x14ac:dyDescent="0.3">
      <c r="A133" s="1" t="s">
        <v>123</v>
      </c>
      <c r="B133" s="77">
        <v>1000</v>
      </c>
      <c r="C133" t="s">
        <v>300</v>
      </c>
      <c r="D133" t="s">
        <v>299</v>
      </c>
    </row>
    <row r="134" spans="1:4" x14ac:dyDescent="0.3">
      <c r="A134" s="1"/>
    </row>
    <row r="135" spans="1:4" x14ac:dyDescent="0.3">
      <c r="A135" s="94" t="s">
        <v>302</v>
      </c>
      <c r="B135" s="17"/>
      <c r="C135" s="17"/>
      <c r="D135" s="17"/>
    </row>
    <row r="136" spans="1:4" x14ac:dyDescent="0.3">
      <c r="A136" s="70" t="s">
        <v>335</v>
      </c>
      <c r="B136" s="70" t="s">
        <v>37</v>
      </c>
      <c r="C136" s="70" t="s">
        <v>140</v>
      </c>
      <c r="D136" s="94" t="s">
        <v>38</v>
      </c>
    </row>
    <row r="137" spans="1:4" x14ac:dyDescent="0.3">
      <c r="A137" s="112">
        <v>1</v>
      </c>
      <c r="B137" s="113">
        <v>78621</v>
      </c>
      <c r="C137" s="17" t="s">
        <v>384</v>
      </c>
      <c r="D137" s="108" t="s">
        <v>334</v>
      </c>
    </row>
    <row r="138" spans="1:4" x14ac:dyDescent="0.3">
      <c r="A138" s="112">
        <v>0.5</v>
      </c>
      <c r="B138" s="113">
        <f>$B$137*A138</f>
        <v>39310.5</v>
      </c>
      <c r="C138" s="17" t="s">
        <v>384</v>
      </c>
      <c r="D138" s="108" t="s">
        <v>334</v>
      </c>
    </row>
    <row r="139" spans="1:4" x14ac:dyDescent="0.3">
      <c r="A139" s="112">
        <v>1.5</v>
      </c>
      <c r="B139" s="113">
        <f>$B$137*A139</f>
        <v>117931.5</v>
      </c>
      <c r="C139" s="17" t="s">
        <v>384</v>
      </c>
      <c r="D139" s="108" t="s">
        <v>334</v>
      </c>
    </row>
    <row r="140" spans="1:4" x14ac:dyDescent="0.3">
      <c r="A140" s="112"/>
      <c r="B140" s="113"/>
      <c r="C140" s="17"/>
      <c r="D140" s="108"/>
    </row>
    <row r="141" spans="1:4" x14ac:dyDescent="0.3">
      <c r="A141" s="112"/>
      <c r="B141" s="117" t="s">
        <v>350</v>
      </c>
      <c r="C141" s="70" t="s">
        <v>352</v>
      </c>
      <c r="D141" s="70" t="s">
        <v>353</v>
      </c>
    </row>
    <row r="142" spans="1:4" x14ac:dyDescent="0.3">
      <c r="A142" s="116" t="s">
        <v>354</v>
      </c>
      <c r="B142" s="118">
        <v>121</v>
      </c>
      <c r="C142" s="118">
        <v>60</v>
      </c>
      <c r="D142" s="118">
        <v>61</v>
      </c>
    </row>
    <row r="143" spans="1:4" x14ac:dyDescent="0.3">
      <c r="A143" s="116" t="s">
        <v>355</v>
      </c>
      <c r="B143" s="118">
        <f>346-B142</f>
        <v>225</v>
      </c>
      <c r="C143" s="118">
        <v>191</v>
      </c>
      <c r="D143" s="118">
        <v>34</v>
      </c>
    </row>
    <row r="144" spans="1:4" x14ac:dyDescent="0.3">
      <c r="A144" s="115" t="s">
        <v>351</v>
      </c>
      <c r="B144" s="113"/>
      <c r="C144" s="17"/>
      <c r="D144" s="108"/>
    </row>
    <row r="145" spans="1:9" x14ac:dyDescent="0.3">
      <c r="A145" s="112"/>
      <c r="B145" s="113"/>
      <c r="C145" s="17"/>
      <c r="D145" s="108"/>
    </row>
    <row r="146" spans="1:9" x14ac:dyDescent="0.3">
      <c r="A146" s="1"/>
    </row>
    <row r="147" spans="1:9" x14ac:dyDescent="0.3">
      <c r="A147" s="7" t="s">
        <v>303</v>
      </c>
    </row>
    <row r="148" spans="1:9" x14ac:dyDescent="0.3">
      <c r="A148" s="69" t="s">
        <v>304</v>
      </c>
      <c r="B148" s="17"/>
      <c r="C148" s="17"/>
      <c r="D148" s="17"/>
      <c r="G148" s="17"/>
      <c r="H148" s="17"/>
      <c r="I148" s="17"/>
    </row>
    <row r="149" spans="1:9" x14ac:dyDescent="0.3">
      <c r="A149" s="70" t="s">
        <v>20</v>
      </c>
      <c r="B149" s="70" t="s">
        <v>37</v>
      </c>
      <c r="C149" s="70" t="s">
        <v>140</v>
      </c>
      <c r="D149" s="94" t="s">
        <v>38</v>
      </c>
      <c r="G149" s="17"/>
      <c r="H149" s="17"/>
      <c r="I149" s="17"/>
    </row>
    <row r="150" spans="1:9" x14ac:dyDescent="0.3">
      <c r="A150" s="55" t="s">
        <v>494</v>
      </c>
      <c r="B150" s="77">
        <f>87841*1.19</f>
        <v>104530.79</v>
      </c>
      <c r="C150" s="17" t="s">
        <v>337</v>
      </c>
      <c r="D150" s="108" t="s">
        <v>328</v>
      </c>
      <c r="G150" s="17"/>
      <c r="H150" s="17"/>
      <c r="I150" s="17"/>
    </row>
    <row r="151" spans="1:9" x14ac:dyDescent="0.3">
      <c r="A151" s="55" t="s">
        <v>493</v>
      </c>
      <c r="B151" s="77">
        <v>50000</v>
      </c>
      <c r="C151" t="s">
        <v>496</v>
      </c>
      <c r="D151" s="17" t="s">
        <v>495</v>
      </c>
      <c r="G151" s="17"/>
      <c r="H151" s="17"/>
      <c r="I151" s="17"/>
    </row>
    <row r="152" spans="1:9" x14ac:dyDescent="0.3">
      <c r="G152" s="17"/>
      <c r="H152" s="17"/>
      <c r="I152" s="17"/>
    </row>
    <row r="153" spans="1:9" x14ac:dyDescent="0.3">
      <c r="A153" s="69" t="s">
        <v>305</v>
      </c>
      <c r="B153" s="17"/>
      <c r="C153" s="17"/>
      <c r="D153" s="17"/>
      <c r="G153" s="17"/>
      <c r="H153" s="17"/>
      <c r="I153" s="17"/>
    </row>
    <row r="154" spans="1:9" x14ac:dyDescent="0.3">
      <c r="A154" s="17" t="s">
        <v>306</v>
      </c>
      <c r="B154" s="17"/>
      <c r="C154" s="17"/>
      <c r="D154" s="17"/>
      <c r="G154" s="17"/>
      <c r="H154" s="17"/>
      <c r="I154" s="17"/>
    </row>
    <row r="155" spans="1:9" x14ac:dyDescent="0.3">
      <c r="A155" s="6" t="s">
        <v>338</v>
      </c>
    </row>
    <row r="156" spans="1:9" x14ac:dyDescent="0.3">
      <c r="A156" t="s">
        <v>339</v>
      </c>
      <c r="B156" s="6" t="s">
        <v>347</v>
      </c>
      <c r="C156" s="70" t="s">
        <v>140</v>
      </c>
      <c r="D156" s="94" t="s">
        <v>38</v>
      </c>
    </row>
    <row r="157" spans="1:9" x14ac:dyDescent="0.3">
      <c r="A157" s="49">
        <v>1</v>
      </c>
      <c r="B157" s="77">
        <v>704</v>
      </c>
      <c r="C157" t="s">
        <v>341</v>
      </c>
      <c r="D157" s="79" t="s">
        <v>340</v>
      </c>
    </row>
    <row r="158" spans="1:9" x14ac:dyDescent="0.3">
      <c r="A158" s="49">
        <v>2</v>
      </c>
      <c r="B158" s="77">
        <v>687</v>
      </c>
      <c r="C158" t="s">
        <v>342</v>
      </c>
      <c r="D158" s="79" t="s">
        <v>340</v>
      </c>
    </row>
    <row r="159" spans="1:9" x14ac:dyDescent="0.3">
      <c r="A159" s="49">
        <v>3</v>
      </c>
      <c r="B159" s="77">
        <v>721</v>
      </c>
      <c r="C159" t="s">
        <v>343</v>
      </c>
      <c r="D159" s="79" t="s">
        <v>340</v>
      </c>
    </row>
    <row r="160" spans="1:9" x14ac:dyDescent="0.3">
      <c r="A160" s="49">
        <v>4</v>
      </c>
      <c r="B160" s="77">
        <v>692</v>
      </c>
      <c r="C160" t="s">
        <v>344</v>
      </c>
      <c r="D160" s="79" t="s">
        <v>340</v>
      </c>
    </row>
    <row r="161" spans="1:4" x14ac:dyDescent="0.3">
      <c r="A161" s="49">
        <v>5</v>
      </c>
      <c r="B161" s="77">
        <v>740</v>
      </c>
      <c r="C161" t="s">
        <v>345</v>
      </c>
      <c r="D161" s="79" t="s">
        <v>340</v>
      </c>
    </row>
    <row r="162" spans="1:4" x14ac:dyDescent="0.3">
      <c r="A162" s="49">
        <v>6</v>
      </c>
      <c r="B162" s="77">
        <v>824</v>
      </c>
      <c r="C162" t="s">
        <v>346</v>
      </c>
      <c r="D162" s="79" t="s">
        <v>340</v>
      </c>
    </row>
    <row r="163" spans="1:4" x14ac:dyDescent="0.3">
      <c r="A163" s="49">
        <v>7</v>
      </c>
      <c r="B163" s="77">
        <v>824</v>
      </c>
      <c r="C163" t="s">
        <v>346</v>
      </c>
      <c r="D163" s="79" t="s">
        <v>340</v>
      </c>
    </row>
    <row r="165" spans="1:4" x14ac:dyDescent="0.3">
      <c r="A165" t="s">
        <v>336</v>
      </c>
      <c r="B165" s="114">
        <v>16.100000000000001</v>
      </c>
      <c r="C165" t="s">
        <v>348</v>
      </c>
      <c r="D165" s="79" t="s">
        <v>349</v>
      </c>
    </row>
    <row r="167" spans="1:4" x14ac:dyDescent="0.3">
      <c r="A167" s="75" t="s">
        <v>181</v>
      </c>
      <c r="B167" s="75" t="s">
        <v>258</v>
      </c>
      <c r="C167" s="75" t="s">
        <v>356</v>
      </c>
    </row>
    <row r="168" spans="1:4" x14ac:dyDescent="0.3">
      <c r="A168" s="74" t="s">
        <v>255</v>
      </c>
      <c r="B168" s="120">
        <v>95</v>
      </c>
      <c r="C168" s="121">
        <v>62755</v>
      </c>
    </row>
    <row r="169" spans="1:4" x14ac:dyDescent="0.3">
      <c r="A169" s="74" t="s">
        <v>25</v>
      </c>
      <c r="B169" s="120">
        <v>251</v>
      </c>
      <c r="C169" s="121">
        <v>5627219</v>
      </c>
    </row>
    <row r="171" spans="1:4" x14ac:dyDescent="0.3">
      <c r="A171" s="6" t="s">
        <v>400</v>
      </c>
      <c r="C171" s="121">
        <v>1386961</v>
      </c>
    </row>
    <row r="172" spans="1:4" x14ac:dyDescent="0.3">
      <c r="A172" s="122" t="s">
        <v>357</v>
      </c>
    </row>
    <row r="174" spans="1:4" x14ac:dyDescent="0.3">
      <c r="A174" s="69" t="s">
        <v>583</v>
      </c>
    </row>
    <row r="175" spans="1:4" x14ac:dyDescent="0.3">
      <c r="B175" s="204" t="s">
        <v>160</v>
      </c>
      <c r="C175" s="204" t="s">
        <v>140</v>
      </c>
      <c r="D175" s="204" t="s">
        <v>38</v>
      </c>
    </row>
    <row r="176" spans="1:4" x14ac:dyDescent="0.3">
      <c r="A176" t="s">
        <v>584</v>
      </c>
      <c r="B176" s="77">
        <v>92637</v>
      </c>
      <c r="C176" t="s">
        <v>585</v>
      </c>
      <c r="D176" t="s">
        <v>586</v>
      </c>
    </row>
    <row r="177" spans="1:7" x14ac:dyDescent="0.3">
      <c r="A177" t="s">
        <v>584</v>
      </c>
      <c r="B177" s="77">
        <f>B176*4</f>
        <v>370548</v>
      </c>
      <c r="C177" t="s">
        <v>624</v>
      </c>
      <c r="D177" t="s">
        <v>625</v>
      </c>
      <c r="G177" s="76"/>
    </row>
    <row r="178" spans="1:7" x14ac:dyDescent="0.3">
      <c r="A178" t="s">
        <v>587</v>
      </c>
      <c r="B178" s="77">
        <f>385882/2</f>
        <v>192941</v>
      </c>
      <c r="C178" t="s">
        <v>588</v>
      </c>
      <c r="D178" t="s">
        <v>589</v>
      </c>
    </row>
    <row r="180" spans="1:7" x14ac:dyDescent="0.3">
      <c r="A180" s="6" t="s">
        <v>592</v>
      </c>
    </row>
    <row r="181" spans="1:7" x14ac:dyDescent="0.3">
      <c r="A181" t="s">
        <v>621</v>
      </c>
    </row>
    <row r="182" spans="1:7" x14ac:dyDescent="0.3">
      <c r="A182" s="6" t="s">
        <v>593</v>
      </c>
      <c r="B182" s="6" t="s">
        <v>181</v>
      </c>
      <c r="C182" s="6" t="s">
        <v>594</v>
      </c>
    </row>
    <row r="183" spans="1:7" x14ac:dyDescent="0.3">
      <c r="A183" s="55">
        <v>8</v>
      </c>
      <c r="B183" s="17" t="s">
        <v>608</v>
      </c>
      <c r="C183" s="55" t="s">
        <v>595</v>
      </c>
    </row>
    <row r="184" spans="1:7" x14ac:dyDescent="0.3">
      <c r="A184" s="55">
        <v>9</v>
      </c>
      <c r="B184" s="17" t="s">
        <v>609</v>
      </c>
      <c r="C184" s="55" t="s">
        <v>595</v>
      </c>
    </row>
    <row r="185" spans="1:7" x14ac:dyDescent="0.3">
      <c r="A185" s="55">
        <v>10</v>
      </c>
      <c r="B185" s="17" t="s">
        <v>610</v>
      </c>
      <c r="C185" s="55" t="s">
        <v>595</v>
      </c>
    </row>
    <row r="186" spans="1:7" x14ac:dyDescent="0.3">
      <c r="A186" s="55">
        <v>12</v>
      </c>
      <c r="B186" s="17" t="s">
        <v>611</v>
      </c>
      <c r="C186" s="55" t="s">
        <v>595</v>
      </c>
    </row>
    <row r="187" spans="1:7" x14ac:dyDescent="0.3">
      <c r="A187" s="55">
        <v>13</v>
      </c>
      <c r="B187" s="17" t="s">
        <v>612</v>
      </c>
      <c r="C187" s="55" t="s">
        <v>595</v>
      </c>
    </row>
    <row r="188" spans="1:7" x14ac:dyDescent="0.3">
      <c r="A188" s="55">
        <v>14</v>
      </c>
      <c r="B188" s="17" t="s">
        <v>613</v>
      </c>
      <c r="C188" s="55" t="s">
        <v>595</v>
      </c>
    </row>
    <row r="189" spans="1:7" x14ac:dyDescent="0.3">
      <c r="A189" s="55">
        <v>20</v>
      </c>
      <c r="B189" s="17" t="s">
        <v>614</v>
      </c>
      <c r="C189" s="55" t="s">
        <v>596</v>
      </c>
    </row>
    <row r="190" spans="1:7" x14ac:dyDescent="0.3">
      <c r="A190" s="55">
        <v>21</v>
      </c>
      <c r="B190" s="17" t="s">
        <v>615</v>
      </c>
      <c r="C190" s="55" t="s">
        <v>596</v>
      </c>
    </row>
    <row r="191" spans="1:7" x14ac:dyDescent="0.3">
      <c r="A191" s="55">
        <v>22</v>
      </c>
      <c r="B191" s="17" t="s">
        <v>616</v>
      </c>
      <c r="C191" s="55" t="s">
        <v>597</v>
      </c>
    </row>
    <row r="192" spans="1:7" x14ac:dyDescent="0.3">
      <c r="A192" s="55">
        <v>23</v>
      </c>
      <c r="B192" s="17" t="s">
        <v>617</v>
      </c>
      <c r="C192" s="55" t="s">
        <v>597</v>
      </c>
    </row>
    <row r="193" spans="1:3" x14ac:dyDescent="0.3">
      <c r="A193" s="55">
        <v>25</v>
      </c>
      <c r="B193" s="17" t="s">
        <v>618</v>
      </c>
      <c r="C193" s="55" t="s">
        <v>598</v>
      </c>
    </row>
    <row r="194" spans="1:3" x14ac:dyDescent="0.3">
      <c r="A194" s="55">
        <v>26</v>
      </c>
      <c r="B194" s="17" t="s">
        <v>619</v>
      </c>
      <c r="C194" s="55" t="s">
        <v>598</v>
      </c>
    </row>
    <row r="195" spans="1:3" x14ac:dyDescent="0.3">
      <c r="A195" s="55">
        <v>3</v>
      </c>
      <c r="B195" s="17" t="s">
        <v>604</v>
      </c>
      <c r="C195" s="55" t="s">
        <v>599</v>
      </c>
    </row>
    <row r="196" spans="1:3" x14ac:dyDescent="0.3">
      <c r="A196" s="55">
        <v>4</v>
      </c>
      <c r="B196" s="17" t="s">
        <v>605</v>
      </c>
      <c r="C196" s="55" t="s">
        <v>600</v>
      </c>
    </row>
    <row r="197" spans="1:3" x14ac:dyDescent="0.3">
      <c r="A197" s="55">
        <v>5</v>
      </c>
      <c r="B197" s="17" t="s">
        <v>606</v>
      </c>
      <c r="C197" s="55" t="s">
        <v>601</v>
      </c>
    </row>
    <row r="198" spans="1:3" x14ac:dyDescent="0.3">
      <c r="A198" s="55">
        <v>7</v>
      </c>
      <c r="B198" s="17" t="s">
        <v>607</v>
      </c>
      <c r="C198" s="55" t="s">
        <v>602</v>
      </c>
    </row>
    <row r="199" spans="1:3" x14ac:dyDescent="0.3">
      <c r="A199" s="55">
        <v>24</v>
      </c>
      <c r="B199" s="17" t="s">
        <v>620</v>
      </c>
      <c r="C199" s="55" t="s">
        <v>603</v>
      </c>
    </row>
    <row r="200" spans="1:3" x14ac:dyDescent="0.3">
      <c r="A200" s="17"/>
      <c r="B200" s="17"/>
      <c r="C200" s="17"/>
    </row>
    <row r="201" spans="1:3" x14ac:dyDescent="0.3">
      <c r="A201" s="70" t="s">
        <v>181</v>
      </c>
      <c r="B201" s="70"/>
      <c r="C201" s="70" t="s">
        <v>350</v>
      </c>
    </row>
    <row r="202" spans="1:3" x14ac:dyDescent="0.3">
      <c r="A202" s="272" t="s">
        <v>352</v>
      </c>
      <c r="B202" s="208" t="s">
        <v>622</v>
      </c>
      <c r="C202" s="209">
        <v>133</v>
      </c>
    </row>
    <row r="203" spans="1:3" x14ac:dyDescent="0.3">
      <c r="A203" s="273"/>
      <c r="B203" s="210" t="s">
        <v>623</v>
      </c>
      <c r="C203" s="211">
        <v>118</v>
      </c>
    </row>
    <row r="204" spans="1:3" x14ac:dyDescent="0.3">
      <c r="A204" s="274" t="s">
        <v>353</v>
      </c>
      <c r="B204" s="212" t="s">
        <v>622</v>
      </c>
      <c r="C204" s="213">
        <v>66</v>
      </c>
    </row>
    <row r="205" spans="1:3" x14ac:dyDescent="0.3">
      <c r="A205" s="273"/>
      <c r="B205" s="210" t="s">
        <v>623</v>
      </c>
      <c r="C205" s="211">
        <v>29</v>
      </c>
    </row>
  </sheetData>
  <mergeCells count="7">
    <mergeCell ref="A202:A203"/>
    <mergeCell ref="A204:A205"/>
    <mergeCell ref="C119:C125"/>
    <mergeCell ref="D119:D125"/>
    <mergeCell ref="B65:D65"/>
    <mergeCell ref="C109:C115"/>
    <mergeCell ref="D109:D115"/>
  </mergeCells>
  <hyperlinks>
    <hyperlink ref="D109" r:id="rId1" xr:uid="{76E781AD-BFAD-4A10-812C-4409A98D1A0A}"/>
    <hyperlink ref="D129" r:id="rId2" xr:uid="{60752EE4-ABBD-4122-A2E9-7D28AB76D8DC}"/>
    <hyperlink ref="D150" r:id="rId3" xr:uid="{3ACFFFDA-3FFD-4705-BB6E-BE6CD3CC561E}"/>
    <hyperlink ref="D165" r:id="rId4" location="/ " xr:uid="{CB444542-73EB-485D-9BF8-DF07703DA0E5}"/>
    <hyperlink ref="D137" r:id="rId5" xr:uid="{09C6C0A9-95C1-4E33-ACC1-17AE135E8228}"/>
  </hyperlinks>
  <pageMargins left="0.7" right="0.7" top="0.75" bottom="0.75" header="0.3" footer="0.3"/>
  <pageSetup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4"/>
  <sheetViews>
    <sheetView zoomScale="85" zoomScaleNormal="85" workbookViewId="0">
      <selection activeCell="C15" sqref="C15:E16"/>
    </sheetView>
  </sheetViews>
  <sheetFormatPr baseColWidth="10" defaultColWidth="11.5546875" defaultRowHeight="14.4" x14ac:dyDescent="0.3"/>
  <cols>
    <col min="1" max="1" width="5.109375" customWidth="1"/>
    <col min="2" max="2" width="41.109375" customWidth="1"/>
    <col min="3" max="5" width="20.109375" customWidth="1"/>
  </cols>
  <sheetData>
    <row r="1" spans="1:5" s="192" customFormat="1" ht="18" x14ac:dyDescent="0.35">
      <c r="A1" s="191" t="s">
        <v>43</v>
      </c>
    </row>
    <row r="2" spans="1:5" x14ac:dyDescent="0.3">
      <c r="A2" s="6" t="s">
        <v>8</v>
      </c>
    </row>
    <row r="4" spans="1:5" ht="27" customHeight="1" x14ac:dyDescent="0.3">
      <c r="A4" s="155" t="s">
        <v>374</v>
      </c>
      <c r="B4" s="154"/>
      <c r="C4" s="153" t="s">
        <v>231</v>
      </c>
      <c r="D4" s="153" t="s">
        <v>232</v>
      </c>
      <c r="E4" s="153" t="s">
        <v>233</v>
      </c>
    </row>
    <row r="5" spans="1:5" ht="35.4" customHeight="1" x14ac:dyDescent="0.3">
      <c r="A5" s="5">
        <v>1</v>
      </c>
      <c r="B5" s="129" t="s">
        <v>369</v>
      </c>
      <c r="C5" s="281" t="s">
        <v>382</v>
      </c>
      <c r="D5" s="281"/>
      <c r="E5" s="281"/>
    </row>
    <row r="6" spans="1:5" ht="35.4" customHeight="1" x14ac:dyDescent="0.3">
      <c r="A6" s="5">
        <v>2</v>
      </c>
      <c r="B6" s="129" t="s">
        <v>370</v>
      </c>
      <c r="C6" s="281" t="s">
        <v>382</v>
      </c>
      <c r="D6" s="281"/>
      <c r="E6" s="281"/>
    </row>
    <row r="7" spans="1:5" ht="35.4" customHeight="1" x14ac:dyDescent="0.3">
      <c r="A7" s="5">
        <v>3</v>
      </c>
      <c r="B7" s="129" t="s">
        <v>371</v>
      </c>
      <c r="C7" s="281" t="s">
        <v>373</v>
      </c>
      <c r="D7" s="281"/>
      <c r="E7" s="281"/>
    </row>
    <row r="8" spans="1:5" ht="35.4" customHeight="1" x14ac:dyDescent="0.3">
      <c r="A8" s="5">
        <v>4</v>
      </c>
      <c r="B8" s="129" t="s">
        <v>372</v>
      </c>
      <c r="C8" s="281" t="s">
        <v>383</v>
      </c>
      <c r="D8" s="281"/>
      <c r="E8" s="281"/>
    </row>
    <row r="9" spans="1:5" ht="35.4" customHeight="1" x14ac:dyDescent="0.3">
      <c r="A9" s="148">
        <v>5</v>
      </c>
      <c r="B9" s="149" t="s">
        <v>380</v>
      </c>
      <c r="C9" s="282" t="s">
        <v>381</v>
      </c>
      <c r="D9" s="282"/>
      <c r="E9" s="282"/>
    </row>
    <row r="10" spans="1:5" x14ac:dyDescent="0.3">
      <c r="A10" s="148"/>
      <c r="B10" s="149"/>
      <c r="C10" s="150"/>
      <c r="D10" s="150"/>
      <c r="E10" s="150"/>
    </row>
    <row r="11" spans="1:5" x14ac:dyDescent="0.3">
      <c r="A11" s="148"/>
      <c r="B11" s="149" t="s">
        <v>375</v>
      </c>
      <c r="C11" s="150">
        <v>14</v>
      </c>
      <c r="D11" s="282" t="s">
        <v>376</v>
      </c>
      <c r="E11" s="282"/>
    </row>
    <row r="12" spans="1:5" x14ac:dyDescent="0.3">
      <c r="A12" s="148"/>
      <c r="B12" s="149"/>
      <c r="C12" s="150"/>
      <c r="D12" s="150"/>
      <c r="E12" s="150"/>
    </row>
    <row r="13" spans="1:5" ht="25.8" customHeight="1" thickBot="1" x14ac:dyDescent="0.35">
      <c r="A13" s="151" t="s">
        <v>286</v>
      </c>
      <c r="B13" s="152"/>
      <c r="C13" s="153" t="s">
        <v>231</v>
      </c>
      <c r="D13" s="153" t="s">
        <v>232</v>
      </c>
      <c r="E13" s="153" t="s">
        <v>233</v>
      </c>
    </row>
    <row r="14" spans="1:5" ht="32.4" customHeight="1" thickBot="1" x14ac:dyDescent="0.35">
      <c r="A14" s="283" t="s">
        <v>377</v>
      </c>
      <c r="B14" s="284"/>
      <c r="C14" s="130">
        <f>(SUM(C15:C16,C19)*$C$11)+C17+C18</f>
        <v>154736652</v>
      </c>
      <c r="D14" s="130">
        <f t="shared" ref="D14:E14" si="0">(SUM(D15:D16,D19)*$C$11)+D17+D18</f>
        <v>243986652</v>
      </c>
      <c r="E14" s="131">
        <f t="shared" si="0"/>
        <v>333236652</v>
      </c>
    </row>
    <row r="15" spans="1:5" ht="38.4" customHeight="1" x14ac:dyDescent="0.3">
      <c r="A15" s="5">
        <v>1</v>
      </c>
      <c r="B15" s="129" t="s">
        <v>378</v>
      </c>
      <c r="C15" s="141">
        <v>400000</v>
      </c>
      <c r="D15" s="141">
        <v>400000</v>
      </c>
      <c r="E15" s="141">
        <v>400000</v>
      </c>
    </row>
    <row r="16" spans="1:5" ht="38.4" customHeight="1" x14ac:dyDescent="0.3">
      <c r="A16" s="5">
        <v>2</v>
      </c>
      <c r="B16" s="129" t="s">
        <v>379</v>
      </c>
      <c r="C16" s="50">
        <v>900000</v>
      </c>
      <c r="D16" s="50">
        <v>900000</v>
      </c>
      <c r="E16" s="50">
        <v>900000</v>
      </c>
    </row>
    <row r="17" spans="1:5" ht="46.8" customHeight="1" x14ac:dyDescent="0.3">
      <c r="A17" s="5">
        <v>3</v>
      </c>
      <c r="B17" s="129" t="s">
        <v>386</v>
      </c>
      <c r="C17" s="50">
        <v>80000000</v>
      </c>
      <c r="D17" s="50">
        <f>AVERAGE(C17,E17)</f>
        <v>165000000</v>
      </c>
      <c r="E17" s="50">
        <v>250000000</v>
      </c>
    </row>
    <row r="18" spans="1:5" ht="46.8" customHeight="1" x14ac:dyDescent="0.3">
      <c r="A18" s="5">
        <v>4</v>
      </c>
      <c r="B18" s="129" t="s">
        <v>387</v>
      </c>
      <c r="C18" s="50">
        <f>C17*5%</f>
        <v>4000000</v>
      </c>
      <c r="D18" s="50">
        <f>D17*5%</f>
        <v>8250000</v>
      </c>
      <c r="E18" s="50">
        <f>E17*5%</f>
        <v>12500000</v>
      </c>
    </row>
    <row r="19" spans="1:5" ht="32.4" customHeight="1" x14ac:dyDescent="0.3">
      <c r="A19" s="5">
        <v>5</v>
      </c>
      <c r="B19" s="129" t="s">
        <v>385</v>
      </c>
      <c r="C19" s="50">
        <f>'2. (Insumos)'!$C$23</f>
        <v>3752618</v>
      </c>
      <c r="D19" s="50">
        <f>'2. (Insumos)'!$C$23</f>
        <v>3752618</v>
      </c>
      <c r="E19" s="50">
        <f>'2. (Insumos)'!$C$23</f>
        <v>3752618</v>
      </c>
    </row>
    <row r="20" spans="1:5" ht="32.4" customHeight="1" x14ac:dyDescent="0.3">
      <c r="A20" s="5"/>
      <c r="B20" s="129"/>
      <c r="C20" s="50"/>
      <c r="D20" s="50"/>
      <c r="E20" s="50"/>
    </row>
    <row r="21" spans="1:5" x14ac:dyDescent="0.3">
      <c r="A21" s="5"/>
      <c r="B21" s="156" t="s">
        <v>512</v>
      </c>
      <c r="C21" s="174">
        <v>0</v>
      </c>
      <c r="D21" s="50"/>
      <c r="E21" s="50"/>
    </row>
    <row r="22" spans="1:5" x14ac:dyDescent="0.3">
      <c r="B22" s="156" t="s">
        <v>509</v>
      </c>
      <c r="C22" s="41">
        <f>C14</f>
        <v>154736652</v>
      </c>
    </row>
    <row r="23" spans="1:5" x14ac:dyDescent="0.3">
      <c r="B23" s="156" t="s">
        <v>510</v>
      </c>
      <c r="C23" s="41">
        <f>D14</f>
        <v>243986652</v>
      </c>
    </row>
    <row r="24" spans="1:5" x14ac:dyDescent="0.3">
      <c r="B24" s="156" t="s">
        <v>511</v>
      </c>
      <c r="C24" s="41">
        <f>E14</f>
        <v>333236652</v>
      </c>
    </row>
  </sheetData>
  <mergeCells count="7">
    <mergeCell ref="C5:E5"/>
    <mergeCell ref="D11:E11"/>
    <mergeCell ref="A14:B14"/>
    <mergeCell ref="C9:E9"/>
    <mergeCell ref="C8:E8"/>
    <mergeCell ref="C7:E7"/>
    <mergeCell ref="C6:E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22"/>
  <sheetViews>
    <sheetView zoomScale="85" zoomScaleNormal="85" workbookViewId="0">
      <selection activeCell="B26" sqref="B26"/>
    </sheetView>
  </sheetViews>
  <sheetFormatPr baseColWidth="10" defaultColWidth="11.5546875" defaultRowHeight="14.4" x14ac:dyDescent="0.3"/>
  <cols>
    <col min="1" max="1" width="3.88671875" style="1" customWidth="1"/>
    <col min="2" max="2" width="73.33203125" bestFit="1" customWidth="1"/>
    <col min="3" max="3" width="46.109375" style="1" customWidth="1"/>
    <col min="4" max="4" width="78.44140625" style="1" customWidth="1"/>
    <col min="5" max="5" width="20.77734375" style="1" bestFit="1" customWidth="1"/>
    <col min="9" max="14" width="5.6640625" customWidth="1"/>
  </cols>
  <sheetData>
    <row r="1" spans="1:20" s="192" customFormat="1" ht="18" x14ac:dyDescent="0.35">
      <c r="A1" s="193" t="s">
        <v>43</v>
      </c>
      <c r="C1" s="194"/>
      <c r="D1" s="194"/>
      <c r="E1" s="194"/>
      <c r="I1" s="286"/>
      <c r="J1" s="286"/>
      <c r="K1" s="286"/>
      <c r="L1" s="286"/>
      <c r="M1" s="286"/>
      <c r="N1" s="286"/>
      <c r="O1" s="314"/>
    </row>
    <row r="2" spans="1:20" x14ac:dyDescent="0.3">
      <c r="A2" s="7" t="s">
        <v>10</v>
      </c>
      <c r="I2" s="286"/>
      <c r="J2" s="286"/>
      <c r="K2" s="286"/>
      <c r="L2" s="286"/>
      <c r="M2" s="286"/>
      <c r="N2" s="286"/>
      <c r="O2" s="314"/>
    </row>
    <row r="3" spans="1:20" x14ac:dyDescent="0.3">
      <c r="A3" s="11" t="s">
        <v>14</v>
      </c>
      <c r="I3" s="286"/>
      <c r="J3" s="286"/>
      <c r="K3" s="286"/>
      <c r="L3" s="286"/>
      <c r="M3" s="286"/>
      <c r="N3" s="286"/>
      <c r="O3" s="314"/>
    </row>
    <row r="4" spans="1:20" x14ac:dyDescent="0.3">
      <c r="A4" s="11"/>
      <c r="I4" s="286"/>
      <c r="J4" s="286"/>
      <c r="K4" s="286"/>
      <c r="L4" s="286"/>
      <c r="M4" s="286"/>
      <c r="N4" s="286"/>
      <c r="O4" s="314"/>
    </row>
    <row r="5" spans="1:20" x14ac:dyDescent="0.3">
      <c r="A5" s="7" t="s">
        <v>69</v>
      </c>
      <c r="I5" s="286"/>
      <c r="J5" s="286"/>
      <c r="K5" s="286"/>
      <c r="L5" s="286"/>
      <c r="M5" s="286"/>
      <c r="N5" s="286"/>
      <c r="O5" s="314"/>
    </row>
    <row r="6" spans="1:20" x14ac:dyDescent="0.3">
      <c r="A6" s="7"/>
      <c r="B6" t="s">
        <v>71</v>
      </c>
      <c r="C6" s="186" t="s">
        <v>74</v>
      </c>
      <c r="I6" s="147"/>
      <c r="J6" s="147"/>
      <c r="K6" s="147"/>
      <c r="L6" s="147"/>
      <c r="M6" s="147"/>
      <c r="N6" s="147"/>
      <c r="P6" s="95" t="s">
        <v>308</v>
      </c>
    </row>
    <row r="7" spans="1:20" x14ac:dyDescent="0.3">
      <c r="A7" s="7"/>
      <c r="B7" t="s">
        <v>72</v>
      </c>
      <c r="C7" s="11" t="s">
        <v>527</v>
      </c>
      <c r="I7" s="53"/>
      <c r="J7" s="53"/>
      <c r="K7" s="53"/>
      <c r="L7" s="53"/>
      <c r="M7" s="53"/>
      <c r="N7" s="53"/>
      <c r="P7" s="95" t="s">
        <v>309</v>
      </c>
    </row>
    <row r="8" spans="1:20" x14ac:dyDescent="0.3">
      <c r="A8" s="7"/>
      <c r="B8" t="s">
        <v>70</v>
      </c>
      <c r="C8" s="11" t="s">
        <v>73</v>
      </c>
      <c r="I8" s="53"/>
      <c r="J8" s="53"/>
      <c r="K8" s="53"/>
      <c r="L8" s="53"/>
      <c r="M8" s="53"/>
      <c r="N8" s="53"/>
      <c r="P8" s="95" t="s">
        <v>310</v>
      </c>
    </row>
    <row r="9" spans="1:20" x14ac:dyDescent="0.3">
      <c r="A9" s="7"/>
      <c r="B9" t="s">
        <v>77</v>
      </c>
      <c r="C9" s="11" t="s">
        <v>97</v>
      </c>
      <c r="I9" s="53"/>
      <c r="J9" s="53"/>
      <c r="K9" s="53"/>
      <c r="L9" s="53"/>
      <c r="M9" s="53"/>
      <c r="N9" s="53"/>
      <c r="P9" s="95" t="s">
        <v>311</v>
      </c>
    </row>
    <row r="10" spans="1:20" x14ac:dyDescent="0.3">
      <c r="A10" s="7"/>
      <c r="I10" s="53"/>
      <c r="J10" s="53"/>
      <c r="K10" s="53"/>
      <c r="L10" s="53"/>
      <c r="M10" s="53"/>
      <c r="N10" s="53"/>
    </row>
    <row r="11" spans="1:20" x14ac:dyDescent="0.3">
      <c r="I11" s="53"/>
      <c r="J11" s="53"/>
      <c r="K11" s="53"/>
      <c r="L11" s="53"/>
      <c r="M11" s="53"/>
      <c r="N11" s="53"/>
    </row>
    <row r="12" spans="1:20" ht="15" thickBot="1" x14ac:dyDescent="0.35">
      <c r="A12" s="31">
        <v>1</v>
      </c>
      <c r="B12" s="48" t="s">
        <v>312</v>
      </c>
      <c r="C12" s="31" t="s">
        <v>313</v>
      </c>
      <c r="D12" s="31" t="s">
        <v>56</v>
      </c>
      <c r="E12" s="31" t="s">
        <v>38</v>
      </c>
      <c r="I12" s="53"/>
      <c r="J12" s="53"/>
      <c r="K12" s="53"/>
      <c r="L12" s="53"/>
      <c r="M12" s="53"/>
      <c r="N12" s="53"/>
    </row>
    <row r="13" spans="1:20" ht="14.4" customHeight="1" x14ac:dyDescent="0.3">
      <c r="A13" s="1" t="s">
        <v>59</v>
      </c>
      <c r="B13" t="s">
        <v>51</v>
      </c>
      <c r="C13" s="285" t="s">
        <v>327</v>
      </c>
      <c r="D13" s="3"/>
      <c r="E13" s="96"/>
      <c r="I13" s="53"/>
      <c r="J13" s="53"/>
      <c r="K13" s="53"/>
      <c r="L13" s="53"/>
      <c r="M13" s="53"/>
      <c r="N13" s="53"/>
      <c r="P13" s="287" t="s">
        <v>314</v>
      </c>
      <c r="Q13" s="288"/>
      <c r="R13" s="288"/>
      <c r="S13" s="288"/>
      <c r="T13" s="289"/>
    </row>
    <row r="14" spans="1:20" ht="14.4" customHeight="1" x14ac:dyDescent="0.3">
      <c r="A14" s="1" t="s">
        <v>60</v>
      </c>
      <c r="B14" t="s">
        <v>52</v>
      </c>
      <c r="C14" s="285"/>
      <c r="D14" s="3"/>
      <c r="E14" s="96"/>
      <c r="I14" s="53"/>
      <c r="J14" s="53"/>
      <c r="K14" s="53"/>
      <c r="L14" s="53"/>
      <c r="M14" s="53"/>
      <c r="N14" s="53"/>
      <c r="P14" s="290"/>
      <c r="Q14" s="291"/>
      <c r="R14" s="291"/>
      <c r="S14" s="291"/>
      <c r="T14" s="292"/>
    </row>
    <row r="15" spans="1:20" ht="15" customHeight="1" thickBot="1" x14ac:dyDescent="0.35">
      <c r="A15" s="1" t="s">
        <v>61</v>
      </c>
      <c r="B15" t="s">
        <v>122</v>
      </c>
      <c r="C15" s="285"/>
      <c r="D15" s="11"/>
      <c r="E15" s="11"/>
      <c r="I15" s="53"/>
      <c r="J15" s="53"/>
      <c r="K15" s="53"/>
      <c r="L15" s="53"/>
      <c r="M15" s="53"/>
      <c r="N15" s="53"/>
      <c r="P15" s="293"/>
      <c r="Q15" s="294"/>
      <c r="R15" s="294"/>
      <c r="S15" s="294"/>
      <c r="T15" s="295"/>
    </row>
    <row r="16" spans="1:20" x14ac:dyDescent="0.3">
      <c r="C16" s="42"/>
      <c r="I16" s="53"/>
      <c r="J16" s="53"/>
      <c r="K16" s="53"/>
      <c r="L16" s="53"/>
      <c r="M16" s="53"/>
      <c r="N16" s="53"/>
    </row>
    <row r="17" spans="1:21" ht="15" thickBot="1" x14ac:dyDescent="0.35">
      <c r="A17" s="31">
        <v>2</v>
      </c>
      <c r="B17" s="48" t="s">
        <v>54</v>
      </c>
      <c r="C17" s="31" t="s">
        <v>313</v>
      </c>
      <c r="D17" s="31" t="s">
        <v>56</v>
      </c>
      <c r="E17" s="31" t="s">
        <v>38</v>
      </c>
      <c r="I17" s="53"/>
      <c r="J17" s="53"/>
      <c r="K17" s="53"/>
      <c r="L17" s="53"/>
      <c r="M17" s="53"/>
      <c r="N17" s="53"/>
    </row>
    <row r="18" spans="1:21" ht="14.4" customHeight="1" x14ac:dyDescent="0.3">
      <c r="A18" s="97" t="s">
        <v>59</v>
      </c>
      <c r="B18" s="15" t="s">
        <v>315</v>
      </c>
      <c r="C18" s="107" t="s">
        <v>473</v>
      </c>
      <c r="D18" s="316" t="s">
        <v>476</v>
      </c>
      <c r="E18" s="11"/>
      <c r="F18" s="17"/>
      <c r="I18" s="53"/>
      <c r="J18" s="53"/>
      <c r="K18" s="53"/>
      <c r="L18" s="53"/>
      <c r="M18" s="53"/>
      <c r="N18" s="53"/>
      <c r="P18" s="296" t="s">
        <v>316</v>
      </c>
      <c r="Q18" s="297"/>
      <c r="R18" s="297"/>
      <c r="S18" s="297"/>
      <c r="T18" s="298"/>
    </row>
    <row r="19" spans="1:21" ht="14.4" customHeight="1" x14ac:dyDescent="0.3">
      <c r="A19" s="98" t="s">
        <v>60</v>
      </c>
      <c r="B19" s="99" t="s">
        <v>317</v>
      </c>
      <c r="C19" s="107" t="s">
        <v>475</v>
      </c>
      <c r="D19" s="316"/>
      <c r="E19" s="100"/>
      <c r="F19" s="17"/>
      <c r="I19" s="53"/>
      <c r="J19" s="53"/>
      <c r="K19" s="53"/>
      <c r="L19" s="53"/>
      <c r="M19" s="53"/>
      <c r="N19" s="53"/>
      <c r="P19" s="299"/>
      <c r="Q19" s="300"/>
      <c r="R19" s="300"/>
      <c r="S19" s="300"/>
      <c r="T19" s="301"/>
    </row>
    <row r="20" spans="1:21" ht="14.4" customHeight="1" x14ac:dyDescent="0.3">
      <c r="A20" s="98" t="s">
        <v>61</v>
      </c>
      <c r="B20" s="101" t="s">
        <v>129</v>
      </c>
      <c r="C20" s="315" t="s">
        <v>474</v>
      </c>
      <c r="D20" s="317" t="s">
        <v>479</v>
      </c>
      <c r="F20" s="17"/>
      <c r="I20" s="53"/>
      <c r="J20" s="53"/>
      <c r="K20" s="53"/>
      <c r="L20" s="53"/>
      <c r="M20" s="53"/>
      <c r="N20" s="53"/>
      <c r="P20" s="299"/>
      <c r="Q20" s="300"/>
      <c r="R20" s="300"/>
      <c r="S20" s="300"/>
      <c r="T20" s="301"/>
    </row>
    <row r="21" spans="1:21" ht="14.4" customHeight="1" x14ac:dyDescent="0.3">
      <c r="A21" s="98" t="s">
        <v>64</v>
      </c>
      <c r="B21" s="101" t="s">
        <v>134</v>
      </c>
      <c r="C21" s="315"/>
      <c r="D21" s="317"/>
      <c r="I21" s="53"/>
      <c r="J21" s="53"/>
      <c r="K21" s="53"/>
      <c r="L21" s="53"/>
      <c r="M21" s="53"/>
      <c r="N21" s="53"/>
      <c r="P21" s="299"/>
      <c r="Q21" s="300"/>
      <c r="R21" s="300"/>
      <c r="S21" s="300"/>
      <c r="T21" s="301"/>
    </row>
    <row r="22" spans="1:21" ht="15" thickBot="1" x14ac:dyDescent="0.35">
      <c r="A22" s="98" t="s">
        <v>65</v>
      </c>
      <c r="B22" s="101" t="s">
        <v>132</v>
      </c>
      <c r="C22" s="315"/>
      <c r="D22" s="317"/>
      <c r="I22" s="53"/>
      <c r="J22" s="53"/>
      <c r="K22" s="53"/>
      <c r="L22" s="53"/>
      <c r="M22" s="53"/>
      <c r="N22" s="53"/>
      <c r="P22" s="299"/>
      <c r="Q22" s="300"/>
      <c r="R22" s="300"/>
      <c r="S22" s="300"/>
      <c r="T22" s="301"/>
    </row>
    <row r="23" spans="1:21" ht="15.6" customHeight="1" thickTop="1" thickBot="1" x14ac:dyDescent="0.35">
      <c r="A23" s="1" t="s">
        <v>66</v>
      </c>
      <c r="B23" s="102" t="s">
        <v>131</v>
      </c>
      <c r="C23" s="143">
        <v>3752618</v>
      </c>
      <c r="D23" s="16" t="s">
        <v>477</v>
      </c>
      <c r="E23" s="144" t="s">
        <v>478</v>
      </c>
      <c r="I23" s="53"/>
      <c r="J23" s="53"/>
      <c r="K23" s="53"/>
      <c r="L23" s="53"/>
      <c r="M23" s="53"/>
      <c r="N23" s="53"/>
      <c r="P23" s="302"/>
      <c r="Q23" s="303"/>
      <c r="R23" s="303"/>
      <c r="S23" s="303"/>
      <c r="T23" s="304"/>
    </row>
    <row r="24" spans="1:21" ht="15" thickTop="1" x14ac:dyDescent="0.3">
      <c r="I24" s="53"/>
      <c r="J24" s="53"/>
      <c r="K24" s="53"/>
      <c r="L24" s="53"/>
      <c r="M24" s="53"/>
      <c r="N24" s="53"/>
    </row>
    <row r="25" spans="1:21" x14ac:dyDescent="0.3">
      <c r="A25" s="31">
        <v>3</v>
      </c>
      <c r="B25" s="48" t="s">
        <v>573</v>
      </c>
      <c r="C25" s="31" t="s">
        <v>313</v>
      </c>
      <c r="D25" s="31" t="s">
        <v>56</v>
      </c>
      <c r="E25" s="31" t="s">
        <v>38</v>
      </c>
      <c r="G25" s="103"/>
      <c r="H25" s="103"/>
      <c r="I25" s="53"/>
      <c r="J25" s="53"/>
      <c r="K25" s="53"/>
      <c r="L25" s="53"/>
      <c r="M25" s="53"/>
      <c r="N25" s="53"/>
    </row>
    <row r="26" spans="1:21" ht="15" thickBot="1" x14ac:dyDescent="0.35">
      <c r="A26" s="1">
        <v>0</v>
      </c>
      <c r="B26" s="101" t="s">
        <v>63</v>
      </c>
      <c r="C26" s="315" t="s">
        <v>472</v>
      </c>
      <c r="D26" s="275" t="s">
        <v>479</v>
      </c>
      <c r="E26" s="30"/>
      <c r="I26" s="1"/>
      <c r="J26" s="1"/>
      <c r="K26" s="1"/>
      <c r="L26" s="1"/>
      <c r="M26" s="1"/>
      <c r="N26" s="1"/>
      <c r="P26" s="104" t="s">
        <v>318</v>
      </c>
      <c r="Q26" s="105"/>
      <c r="R26" s="106" t="s">
        <v>319</v>
      </c>
      <c r="S26" s="106"/>
      <c r="T26" s="106" t="s">
        <v>320</v>
      </c>
      <c r="U26" t="s">
        <v>321</v>
      </c>
    </row>
    <row r="27" spans="1:21" x14ac:dyDescent="0.3">
      <c r="A27" s="1" t="s">
        <v>59</v>
      </c>
      <c r="B27" s="101" t="s">
        <v>58</v>
      </c>
      <c r="C27" s="315"/>
      <c r="D27" s="275"/>
      <c r="I27" s="305" t="s">
        <v>322</v>
      </c>
      <c r="J27" s="306"/>
      <c r="K27" s="306"/>
      <c r="L27" s="306"/>
      <c r="M27" s="306"/>
      <c r="N27" s="306"/>
      <c r="O27" s="307"/>
      <c r="P27" s="95" t="s">
        <v>323</v>
      </c>
    </row>
    <row r="28" spans="1:21" x14ac:dyDescent="0.3">
      <c r="A28" s="1" t="s">
        <v>60</v>
      </c>
      <c r="B28" s="101" t="s">
        <v>62</v>
      </c>
      <c r="C28" s="315"/>
      <c r="D28" s="275"/>
      <c r="I28" s="308"/>
      <c r="J28" s="309"/>
      <c r="K28" s="309"/>
      <c r="L28" s="309"/>
      <c r="M28" s="309"/>
      <c r="N28" s="309"/>
      <c r="O28" s="310"/>
      <c r="P28" s="95" t="s">
        <v>324</v>
      </c>
    </row>
    <row r="29" spans="1:21" x14ac:dyDescent="0.3">
      <c r="A29" s="1" t="s">
        <v>61</v>
      </c>
      <c r="B29" s="101" t="s">
        <v>67</v>
      </c>
      <c r="C29" s="315"/>
      <c r="D29" s="275"/>
      <c r="I29" s="308"/>
      <c r="J29" s="309"/>
      <c r="K29" s="309"/>
      <c r="L29" s="309"/>
      <c r="M29" s="309"/>
      <c r="N29" s="309"/>
      <c r="O29" s="310"/>
      <c r="P29" s="95" t="s">
        <v>325</v>
      </c>
    </row>
    <row r="30" spans="1:21" x14ac:dyDescent="0.3">
      <c r="A30" s="1" t="s">
        <v>64</v>
      </c>
      <c r="B30" s="101" t="s">
        <v>68</v>
      </c>
      <c r="C30" s="315"/>
      <c r="D30" s="275"/>
      <c r="I30" s="308"/>
      <c r="J30" s="309"/>
      <c r="K30" s="309"/>
      <c r="L30" s="309"/>
      <c r="M30" s="309"/>
      <c r="N30" s="309"/>
      <c r="O30" s="310"/>
      <c r="P30" s="95" t="s">
        <v>325</v>
      </c>
    </row>
    <row r="31" spans="1:21" x14ac:dyDescent="0.3">
      <c r="A31" s="1" t="s">
        <v>65</v>
      </c>
      <c r="B31" s="110" t="s">
        <v>75</v>
      </c>
      <c r="C31" s="315"/>
      <c r="D31" s="275"/>
      <c r="I31" s="308"/>
      <c r="J31" s="309"/>
      <c r="K31" s="309"/>
      <c r="L31" s="309"/>
      <c r="M31" s="309"/>
      <c r="N31" s="309"/>
      <c r="O31" s="310"/>
      <c r="P31" s="95" t="s">
        <v>326</v>
      </c>
    </row>
    <row r="32" spans="1:21" x14ac:dyDescent="0.3">
      <c r="A32" s="1" t="s">
        <v>66</v>
      </c>
      <c r="B32" s="101" t="s">
        <v>116</v>
      </c>
      <c r="C32" s="315"/>
      <c r="D32" s="275"/>
      <c r="I32" s="308"/>
      <c r="J32" s="309"/>
      <c r="K32" s="309"/>
      <c r="L32" s="309"/>
      <c r="M32" s="309"/>
      <c r="N32" s="309"/>
      <c r="O32" s="310"/>
      <c r="P32" s="95" t="s">
        <v>324</v>
      </c>
    </row>
    <row r="33" spans="1:16" ht="15" thickBot="1" x14ac:dyDescent="0.35">
      <c r="A33" s="1" t="s">
        <v>120</v>
      </c>
      <c r="B33" s="101" t="s">
        <v>76</v>
      </c>
      <c r="C33" s="315"/>
      <c r="D33" s="275"/>
      <c r="I33" s="311"/>
      <c r="J33" s="312"/>
      <c r="K33" s="312"/>
      <c r="L33" s="312"/>
      <c r="M33" s="312"/>
      <c r="N33" s="312"/>
      <c r="O33" s="313"/>
      <c r="P33" s="95" t="s">
        <v>324</v>
      </c>
    </row>
    <row r="34" spans="1:16" x14ac:dyDescent="0.3">
      <c r="A34"/>
      <c r="C34"/>
      <c r="D34"/>
      <c r="E34"/>
    </row>
    <row r="35" spans="1:16" x14ac:dyDescent="0.3">
      <c r="A35"/>
      <c r="C35"/>
      <c r="D35"/>
      <c r="E35"/>
    </row>
    <row r="36" spans="1:16" x14ac:dyDescent="0.3">
      <c r="A36"/>
      <c r="C36"/>
      <c r="D36"/>
      <c r="E36"/>
    </row>
    <row r="37" spans="1:16" x14ac:dyDescent="0.3">
      <c r="A37"/>
      <c r="C37"/>
      <c r="D37"/>
      <c r="E37"/>
    </row>
    <row r="38" spans="1:16" x14ac:dyDescent="0.3">
      <c r="A38"/>
      <c r="C38"/>
      <c r="D38"/>
      <c r="E38"/>
    </row>
    <row r="39" spans="1:16" x14ac:dyDescent="0.3">
      <c r="A39"/>
      <c r="C39"/>
      <c r="D39"/>
      <c r="E39"/>
    </row>
    <row r="40" spans="1:16" x14ac:dyDescent="0.3">
      <c r="A40"/>
      <c r="C40"/>
      <c r="D40"/>
      <c r="E40"/>
    </row>
    <row r="41" spans="1:16" x14ac:dyDescent="0.3">
      <c r="A41"/>
      <c r="C41"/>
      <c r="D41"/>
      <c r="E41"/>
    </row>
    <row r="42" spans="1:16" x14ac:dyDescent="0.3">
      <c r="A42"/>
      <c r="C42"/>
      <c r="D42"/>
      <c r="E42"/>
    </row>
    <row r="43" spans="1:16" x14ac:dyDescent="0.3">
      <c r="A43"/>
      <c r="C43"/>
      <c r="D43"/>
      <c r="E43"/>
    </row>
    <row r="44" spans="1:16" x14ac:dyDescent="0.3">
      <c r="A44"/>
      <c r="C44"/>
      <c r="D44"/>
      <c r="E44"/>
    </row>
    <row r="45" spans="1:16" x14ac:dyDescent="0.3">
      <c r="A45"/>
      <c r="C45"/>
      <c r="D45"/>
      <c r="E45"/>
    </row>
    <row r="46" spans="1:16" x14ac:dyDescent="0.3">
      <c r="A46"/>
      <c r="C46"/>
      <c r="D46"/>
      <c r="E46"/>
    </row>
    <row r="47" spans="1:16" x14ac:dyDescent="0.3">
      <c r="A47"/>
      <c r="C47"/>
      <c r="D47"/>
      <c r="E47"/>
    </row>
    <row r="48" spans="1:16" x14ac:dyDescent="0.3">
      <c r="A48"/>
      <c r="C48"/>
      <c r="D48"/>
      <c r="E48"/>
    </row>
    <row r="49" customFormat="1" x14ac:dyDescent="0.3"/>
    <row r="50" customFormat="1" x14ac:dyDescent="0.3"/>
    <row r="51" customFormat="1" x14ac:dyDescent="0.3"/>
    <row r="52" customFormat="1" x14ac:dyDescent="0.3"/>
    <row r="53" customFormat="1" x14ac:dyDescent="0.3"/>
    <row r="54" customFormat="1" x14ac:dyDescent="0.3"/>
    <row r="55" customFormat="1" x14ac:dyDescent="0.3"/>
    <row r="56" customFormat="1" x14ac:dyDescent="0.3"/>
    <row r="57" customFormat="1" x14ac:dyDescent="0.3"/>
    <row r="58" customFormat="1" x14ac:dyDescent="0.3"/>
    <row r="59" customFormat="1" x14ac:dyDescent="0.3"/>
    <row r="60" customFormat="1" x14ac:dyDescent="0.3"/>
    <row r="61" customFormat="1" x14ac:dyDescent="0.3"/>
    <row r="62" customFormat="1" x14ac:dyDescent="0.3"/>
    <row r="63" customFormat="1" x14ac:dyDescent="0.3"/>
    <row r="64" customFormat="1" x14ac:dyDescent="0.3"/>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customFormat="1" x14ac:dyDescent="0.3"/>
    <row r="162" customFormat="1" x14ac:dyDescent="0.3"/>
    <row r="163" customFormat="1" x14ac:dyDescent="0.3"/>
    <row r="164" customFormat="1" x14ac:dyDescent="0.3"/>
    <row r="165" customFormat="1" x14ac:dyDescent="0.3"/>
    <row r="166" customFormat="1" x14ac:dyDescent="0.3"/>
    <row r="167" customFormat="1" x14ac:dyDescent="0.3"/>
    <row r="168" customFormat="1" x14ac:dyDescent="0.3"/>
    <row r="169" customFormat="1" x14ac:dyDescent="0.3"/>
    <row r="170" customFormat="1" x14ac:dyDescent="0.3"/>
    <row r="171" customFormat="1" x14ac:dyDescent="0.3"/>
    <row r="172" customFormat="1" x14ac:dyDescent="0.3"/>
    <row r="173" customFormat="1" x14ac:dyDescent="0.3"/>
    <row r="174" customFormat="1" x14ac:dyDescent="0.3"/>
    <row r="175" customFormat="1" x14ac:dyDescent="0.3"/>
    <row r="176" customFormat="1" x14ac:dyDescent="0.3"/>
    <row r="177" customFormat="1" x14ac:dyDescent="0.3"/>
    <row r="178" customFormat="1" x14ac:dyDescent="0.3"/>
    <row r="179" customFormat="1" x14ac:dyDescent="0.3"/>
    <row r="180" customFormat="1" x14ac:dyDescent="0.3"/>
    <row r="181" customFormat="1" x14ac:dyDescent="0.3"/>
    <row r="182" customFormat="1" x14ac:dyDescent="0.3"/>
    <row r="183" customFormat="1" x14ac:dyDescent="0.3"/>
    <row r="184" customFormat="1" x14ac:dyDescent="0.3"/>
    <row r="185" customFormat="1" x14ac:dyDescent="0.3"/>
    <row r="186" customFormat="1" x14ac:dyDescent="0.3"/>
    <row r="187" customFormat="1" x14ac:dyDescent="0.3"/>
    <row r="188" customFormat="1" x14ac:dyDescent="0.3"/>
    <row r="189" customFormat="1" x14ac:dyDescent="0.3"/>
    <row r="190" customFormat="1" x14ac:dyDescent="0.3"/>
    <row r="191" customFormat="1" x14ac:dyDescent="0.3"/>
    <row r="192" customFormat="1" x14ac:dyDescent="0.3"/>
    <row r="193" customFormat="1" x14ac:dyDescent="0.3"/>
    <row r="194" customFormat="1" x14ac:dyDescent="0.3"/>
    <row r="195" customFormat="1" x14ac:dyDescent="0.3"/>
    <row r="196" customFormat="1" x14ac:dyDescent="0.3"/>
    <row r="197" customFormat="1" x14ac:dyDescent="0.3"/>
    <row r="198" customFormat="1" x14ac:dyDescent="0.3"/>
    <row r="199" customFormat="1" x14ac:dyDescent="0.3"/>
    <row r="200" customFormat="1" x14ac:dyDescent="0.3"/>
    <row r="201" customFormat="1" x14ac:dyDescent="0.3"/>
    <row r="202" customFormat="1" x14ac:dyDescent="0.3"/>
    <row r="203" customFormat="1" x14ac:dyDescent="0.3"/>
    <row r="204" customFormat="1" x14ac:dyDescent="0.3"/>
    <row r="205" customFormat="1" x14ac:dyDescent="0.3"/>
    <row r="206" customFormat="1" x14ac:dyDescent="0.3"/>
    <row r="207" customFormat="1" x14ac:dyDescent="0.3"/>
    <row r="208" customFormat="1" x14ac:dyDescent="0.3"/>
    <row r="209" customFormat="1" x14ac:dyDescent="0.3"/>
    <row r="210" customFormat="1" x14ac:dyDescent="0.3"/>
    <row r="211" customFormat="1" x14ac:dyDescent="0.3"/>
    <row r="212" customFormat="1" x14ac:dyDescent="0.3"/>
    <row r="213" customFormat="1" x14ac:dyDescent="0.3"/>
    <row r="214" customFormat="1" x14ac:dyDescent="0.3"/>
    <row r="215" customFormat="1" x14ac:dyDescent="0.3"/>
    <row r="216" customFormat="1" x14ac:dyDescent="0.3"/>
    <row r="217" customFormat="1" x14ac:dyDescent="0.3"/>
    <row r="218" customFormat="1" x14ac:dyDescent="0.3"/>
    <row r="219" customFormat="1" x14ac:dyDescent="0.3"/>
    <row r="220" customFormat="1" x14ac:dyDescent="0.3"/>
    <row r="221" customFormat="1" x14ac:dyDescent="0.3"/>
    <row r="222" customFormat="1" x14ac:dyDescent="0.3"/>
  </sheetData>
  <mergeCells count="16">
    <mergeCell ref="C13:C15"/>
    <mergeCell ref="I1:I5"/>
    <mergeCell ref="P13:T15"/>
    <mergeCell ref="P18:T23"/>
    <mergeCell ref="I27:O33"/>
    <mergeCell ref="N1:N5"/>
    <mergeCell ref="O1:O5"/>
    <mergeCell ref="J1:J5"/>
    <mergeCell ref="K1:K5"/>
    <mergeCell ref="L1:L5"/>
    <mergeCell ref="M1:M5"/>
    <mergeCell ref="C26:C33"/>
    <mergeCell ref="D26:D33"/>
    <mergeCell ref="C20:C22"/>
    <mergeCell ref="D18:D19"/>
    <mergeCell ref="D20:D22"/>
  </mergeCells>
  <hyperlinks>
    <hyperlink ref="E23" r:id="rId1" location="_48_INSTANCE_p5J3Jefh7a0e_%252525253DFuncionarios.do%25252525253Fmethod%25252525253Dbegin%2525253D%25252526_48_INSTANCE_p5J3Jefh7a0e_%2525253DFuncionarios.do%252525253Fmethod%252525253Dbegin%25253D%252526_48_INSTANCE_p5J3Jefh7a0e_%25253DFuncionarios.do%2525253Fmethod%2525253Dbegin%253D%2526_48_INSTANCE_p5J3Jefh7a0e_%253DFuncionarios.do%25253Fmethod%25253Dbegin%3D%26_48_INSTANCE_p5J3Jefh7a0e_%3DFuncionarios.do%253Fmethod%253Ddetalle" display="https://www.contraloria.cl/web/cgr/dotacion-de-personal#_48_INSTANCE_p5J3Jefh7a0e_%252525253DFuncionarios.do%25252525253Fmethod%25252525253Dbegin%2525253D%25252526_48_INSTANCE_p5J3Jefh7a0e_%2525253DFuncionarios.do%252525253Fmethod%252525253Dbegin%25253D%252526_48_INSTANCE_p5J3Jefh7a0e_%25253DFuncionarios.do%2525253Fmethod%2525253Dbegin%253D%2526_48_INSTANCE_p5J3Jefh7a0e_%253DFuncionarios.do%25253Fmethod%25253Dbegin%3D%26_48_INSTANCE_p5J3Jefh7a0e_%3DFuncionarios.do%253Fmethod%253Ddetalle" xr:uid="{B3C198B8-6EA4-4E45-BB79-24D80EEE4A7B}"/>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4"/>
  <sheetViews>
    <sheetView zoomScale="85" zoomScaleNormal="85" workbookViewId="0"/>
  </sheetViews>
  <sheetFormatPr baseColWidth="10" defaultColWidth="11.5546875" defaultRowHeight="14.4" x14ac:dyDescent="0.3"/>
  <cols>
    <col min="1" max="1" width="7.77734375" customWidth="1"/>
    <col min="2" max="2" width="54.5546875" customWidth="1"/>
    <col min="3" max="3" width="18.88671875" bestFit="1" customWidth="1"/>
    <col min="4" max="5" width="17" customWidth="1"/>
  </cols>
  <sheetData>
    <row r="1" spans="1:4" s="192" customFormat="1" ht="18" x14ac:dyDescent="0.35">
      <c r="A1" s="191" t="s">
        <v>44</v>
      </c>
    </row>
    <row r="2" spans="1:4" x14ac:dyDescent="0.3">
      <c r="A2" s="6" t="s">
        <v>8</v>
      </c>
    </row>
    <row r="3" spans="1:4" x14ac:dyDescent="0.3">
      <c r="A3" s="6"/>
    </row>
    <row r="4" spans="1:4" x14ac:dyDescent="0.3">
      <c r="A4" s="6"/>
      <c r="B4" s="6" t="s">
        <v>486</v>
      </c>
      <c r="C4" s="49">
        <v>14</v>
      </c>
      <c r="D4" s="49" t="s">
        <v>376</v>
      </c>
    </row>
    <row r="5" spans="1:4" x14ac:dyDescent="0.3">
      <c r="A5" s="6"/>
      <c r="B5" s="6"/>
      <c r="C5" s="49"/>
      <c r="D5" s="49"/>
    </row>
    <row r="6" spans="1:4" ht="15" thickBot="1" x14ac:dyDescent="0.35">
      <c r="C6" s="40" t="s">
        <v>485</v>
      </c>
    </row>
    <row r="7" spans="1:4" ht="15" thickBot="1" x14ac:dyDescent="0.35">
      <c r="A7" s="184" t="s">
        <v>286</v>
      </c>
      <c r="B7" s="185"/>
      <c r="C7" s="93">
        <f>SUM(C8:C11)</f>
        <v>204319000</v>
      </c>
    </row>
    <row r="8" spans="1:4" x14ac:dyDescent="0.3">
      <c r="A8" s="49">
        <v>1</v>
      </c>
      <c r="B8" t="s">
        <v>487</v>
      </c>
      <c r="C8" s="41">
        <f>'3. App Participación'!$C$4*900000</f>
        <v>12600000</v>
      </c>
    </row>
    <row r="9" spans="1:4" x14ac:dyDescent="0.3">
      <c r="A9" s="49">
        <v>2</v>
      </c>
      <c r="B9" t="s">
        <v>488</v>
      </c>
      <c r="C9" s="41">
        <f>'3. App Participación'!$C$4*400000</f>
        <v>5600000</v>
      </c>
    </row>
    <row r="10" spans="1:4" x14ac:dyDescent="0.3">
      <c r="A10" s="49">
        <v>3</v>
      </c>
      <c r="B10" t="s">
        <v>489</v>
      </c>
      <c r="C10" s="76">
        <f>'3. (Insumos)'!C25</f>
        <v>93239000</v>
      </c>
    </row>
    <row r="11" spans="1:4" x14ac:dyDescent="0.3">
      <c r="A11" s="49">
        <v>4</v>
      </c>
      <c r="B11" t="s">
        <v>490</v>
      </c>
      <c r="C11" s="76">
        <f>'3. (Insumos)'!C24</f>
        <v>92880000</v>
      </c>
    </row>
    <row r="12" spans="1:4" x14ac:dyDescent="0.3">
      <c r="A12" s="49"/>
    </row>
    <row r="13" spans="1:4" x14ac:dyDescent="0.3">
      <c r="B13" t="s">
        <v>513</v>
      </c>
      <c r="C13" s="41">
        <v>0</v>
      </c>
    </row>
    <row r="14" spans="1:4" x14ac:dyDescent="0.3">
      <c r="B14" t="s">
        <v>485</v>
      </c>
      <c r="C14" s="41">
        <f>C7</f>
        <v>204319000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2"/>
  <sheetViews>
    <sheetView zoomScale="85" zoomScaleNormal="85" workbookViewId="0"/>
  </sheetViews>
  <sheetFormatPr baseColWidth="10" defaultColWidth="11.5546875" defaultRowHeight="14.4" x14ac:dyDescent="0.3"/>
  <cols>
    <col min="1" max="1" width="6.5546875" customWidth="1"/>
    <col min="2" max="2" width="41.5546875" customWidth="1"/>
    <col min="3" max="3" width="19.5546875" customWidth="1"/>
    <col min="4" max="4" width="111.21875" customWidth="1"/>
    <col min="5" max="5" width="20.77734375" bestFit="1" customWidth="1"/>
  </cols>
  <sheetData>
    <row r="1" spans="1:5" s="192" customFormat="1" ht="18" x14ac:dyDescent="0.35">
      <c r="A1" s="191" t="s">
        <v>44</v>
      </c>
    </row>
    <row r="2" spans="1:5" x14ac:dyDescent="0.3">
      <c r="A2" s="6" t="s">
        <v>10</v>
      </c>
    </row>
    <row r="3" spans="1:5" x14ac:dyDescent="0.3">
      <c r="A3" t="s">
        <v>14</v>
      </c>
    </row>
    <row r="5" spans="1:5" x14ac:dyDescent="0.3">
      <c r="A5" s="7" t="s">
        <v>69</v>
      </c>
      <c r="C5" s="1"/>
    </row>
    <row r="6" spans="1:5" x14ac:dyDescent="0.3">
      <c r="A6" s="7"/>
      <c r="B6" t="s">
        <v>71</v>
      </c>
      <c r="C6" s="11" t="s">
        <v>74</v>
      </c>
    </row>
    <row r="7" spans="1:5" x14ac:dyDescent="0.3">
      <c r="A7" s="7"/>
      <c r="B7" t="s">
        <v>72</v>
      </c>
      <c r="C7" s="16" t="s">
        <v>527</v>
      </c>
      <c r="D7" s="17"/>
      <c r="E7" s="17"/>
    </row>
    <row r="8" spans="1:5" x14ac:dyDescent="0.3">
      <c r="A8" s="7"/>
      <c r="B8" t="s">
        <v>70</v>
      </c>
      <c r="C8" s="11" t="s">
        <v>79</v>
      </c>
    </row>
    <row r="9" spans="1:5" x14ac:dyDescent="0.3">
      <c r="A9" s="7"/>
      <c r="B9" t="s">
        <v>77</v>
      </c>
      <c r="C9" s="11" t="s">
        <v>97</v>
      </c>
    </row>
    <row r="11" spans="1:5" x14ac:dyDescent="0.3">
      <c r="A11" s="9">
        <v>1</v>
      </c>
      <c r="B11" s="6" t="s">
        <v>50</v>
      </c>
      <c r="C11" s="9" t="s">
        <v>53</v>
      </c>
      <c r="D11" s="9" t="s">
        <v>56</v>
      </c>
      <c r="E11" s="9" t="s">
        <v>38</v>
      </c>
    </row>
    <row r="12" spans="1:5" x14ac:dyDescent="0.3">
      <c r="A12" s="1" t="s">
        <v>59</v>
      </c>
      <c r="B12" t="s">
        <v>51</v>
      </c>
      <c r="C12" s="322" t="s">
        <v>484</v>
      </c>
      <c r="D12" s="1"/>
      <c r="E12" s="1"/>
    </row>
    <row r="13" spans="1:5" x14ac:dyDescent="0.3">
      <c r="A13" s="1" t="s">
        <v>60</v>
      </c>
      <c r="B13" t="s">
        <v>52</v>
      </c>
      <c r="C13" s="322"/>
      <c r="D13" s="1"/>
      <c r="E13" s="1"/>
    </row>
    <row r="14" spans="1:5" x14ac:dyDescent="0.3">
      <c r="A14" s="1"/>
      <c r="C14" s="1"/>
      <c r="D14" s="1"/>
      <c r="E14" s="1"/>
    </row>
    <row r="15" spans="1:5" x14ac:dyDescent="0.3">
      <c r="A15" s="9">
        <v>2</v>
      </c>
      <c r="B15" s="6" t="s">
        <v>54</v>
      </c>
      <c r="C15" s="9" t="s">
        <v>53</v>
      </c>
      <c r="D15" s="9" t="s">
        <v>56</v>
      </c>
      <c r="E15" s="9" t="s">
        <v>38</v>
      </c>
    </row>
    <row r="16" spans="1:5" x14ac:dyDescent="0.3">
      <c r="A16" s="1" t="s">
        <v>59</v>
      </c>
      <c r="B16" t="s">
        <v>130</v>
      </c>
      <c r="C16" s="107" t="s">
        <v>473</v>
      </c>
      <c r="D16" s="323" t="s">
        <v>476</v>
      </c>
      <c r="E16" s="1"/>
    </row>
    <row r="17" spans="1:6" ht="14.4" customHeight="1" x14ac:dyDescent="0.3">
      <c r="A17" s="1" t="s">
        <v>60</v>
      </c>
      <c r="B17" t="s">
        <v>133</v>
      </c>
      <c r="C17" s="107" t="s">
        <v>475</v>
      </c>
      <c r="D17" s="323"/>
      <c r="E17" s="1"/>
    </row>
    <row r="18" spans="1:6" x14ac:dyDescent="0.3">
      <c r="A18" s="1" t="s">
        <v>61</v>
      </c>
      <c r="B18" t="s">
        <v>129</v>
      </c>
      <c r="C18" s="316" t="s">
        <v>484</v>
      </c>
      <c r="D18" s="1"/>
      <c r="E18" s="1"/>
    </row>
    <row r="19" spans="1:6" x14ac:dyDescent="0.3">
      <c r="A19" s="1" t="s">
        <v>64</v>
      </c>
      <c r="B19" t="s">
        <v>55</v>
      </c>
      <c r="C19" s="316"/>
      <c r="D19" s="1"/>
      <c r="E19" s="1"/>
    </row>
    <row r="20" spans="1:6" x14ac:dyDescent="0.3">
      <c r="A20" s="1" t="s">
        <v>65</v>
      </c>
      <c r="B20" t="s">
        <v>132</v>
      </c>
      <c r="C20" s="316"/>
      <c r="D20" s="1"/>
      <c r="E20" s="1"/>
    </row>
    <row r="21" spans="1:6" x14ac:dyDescent="0.3">
      <c r="A21" s="1"/>
      <c r="C21" s="1"/>
      <c r="D21" s="1"/>
      <c r="E21" s="1"/>
    </row>
    <row r="22" spans="1:6" x14ac:dyDescent="0.3">
      <c r="B22" s="6" t="s">
        <v>78</v>
      </c>
    </row>
    <row r="23" spans="1:6" x14ac:dyDescent="0.3">
      <c r="B23" s="6" t="s">
        <v>57</v>
      </c>
      <c r="C23" s="9" t="s">
        <v>53</v>
      </c>
      <c r="D23" s="9" t="s">
        <v>56</v>
      </c>
      <c r="E23" s="9" t="s">
        <v>38</v>
      </c>
    </row>
    <row r="24" spans="1:6" x14ac:dyDescent="0.3">
      <c r="A24" s="1" t="s">
        <v>59</v>
      </c>
      <c r="B24" t="s">
        <v>81</v>
      </c>
      <c r="C24" s="146">
        <f>3096*30000</f>
        <v>92880000</v>
      </c>
      <c r="D24" s="17" t="s">
        <v>480</v>
      </c>
      <c r="E24" s="108" t="s">
        <v>483</v>
      </c>
    </row>
    <row r="25" spans="1:6" x14ac:dyDescent="0.3">
      <c r="A25" s="1" t="s">
        <v>60</v>
      </c>
      <c r="B25" t="s">
        <v>82</v>
      </c>
      <c r="C25" s="318">
        <v>93239000</v>
      </c>
      <c r="D25" s="320" t="s">
        <v>481</v>
      </c>
      <c r="E25" s="321" t="s">
        <v>482</v>
      </c>
    </row>
    <row r="26" spans="1:6" x14ac:dyDescent="0.3">
      <c r="A26" s="1" t="s">
        <v>61</v>
      </c>
      <c r="B26" t="s">
        <v>83</v>
      </c>
      <c r="C26" s="319"/>
      <c r="D26" s="320"/>
      <c r="E26" s="321"/>
    </row>
    <row r="27" spans="1:6" x14ac:dyDescent="0.3">
      <c r="A27" s="1" t="s">
        <v>64</v>
      </c>
      <c r="B27" t="s">
        <v>80</v>
      </c>
      <c r="C27" s="319"/>
      <c r="D27" s="320"/>
      <c r="E27" s="321"/>
      <c r="F27" t="s">
        <v>84</v>
      </c>
    </row>
    <row r="28" spans="1:6" x14ac:dyDescent="0.3">
      <c r="A28" s="1"/>
      <c r="C28" s="17"/>
      <c r="D28" s="17"/>
      <c r="E28" s="17"/>
    </row>
    <row r="29" spans="1:6" x14ac:dyDescent="0.3">
      <c r="B29" s="69"/>
      <c r="C29" s="17"/>
      <c r="D29" s="17"/>
      <c r="E29" s="17"/>
      <c r="F29" s="17"/>
    </row>
    <row r="30" spans="1:6" x14ac:dyDescent="0.3">
      <c r="B30" s="17"/>
      <c r="C30" s="17"/>
      <c r="D30" s="145"/>
      <c r="E30" s="17"/>
      <c r="F30" s="17"/>
    </row>
    <row r="31" spans="1:6" x14ac:dyDescent="0.3">
      <c r="B31" s="17"/>
      <c r="C31" s="17"/>
      <c r="D31" s="145"/>
      <c r="E31" s="145"/>
      <c r="F31" s="17"/>
    </row>
    <row r="32" spans="1:6" x14ac:dyDescent="0.3">
      <c r="B32" s="17"/>
      <c r="C32" s="17"/>
      <c r="D32" s="17"/>
      <c r="E32" s="17"/>
      <c r="F32" s="17"/>
    </row>
  </sheetData>
  <mergeCells count="6">
    <mergeCell ref="C25:C27"/>
    <mergeCell ref="D25:D27"/>
    <mergeCell ref="E25:E27"/>
    <mergeCell ref="C12:C13"/>
    <mergeCell ref="D16:D17"/>
    <mergeCell ref="C18:C20"/>
  </mergeCells>
  <hyperlinks>
    <hyperlink ref="E25" r:id="rId1" xr:uid="{13DC0B9F-0BF4-41B4-A5B4-473BE370595F}"/>
    <hyperlink ref="E24" r:id="rId2" xr:uid="{FFEE4A45-2B50-4465-92F7-2F0609452E7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6"/>
  <sheetViews>
    <sheetView zoomScale="85" zoomScaleNormal="85" workbookViewId="0"/>
  </sheetViews>
  <sheetFormatPr baseColWidth="10" defaultColWidth="11.5546875" defaultRowHeight="14.4" x14ac:dyDescent="0.3"/>
  <cols>
    <col min="1" max="1" width="47.21875" customWidth="1"/>
    <col min="2" max="4" width="24.88671875" customWidth="1"/>
    <col min="5" max="5" width="14.33203125" customWidth="1"/>
  </cols>
  <sheetData>
    <row r="1" spans="1:11" s="192" customFormat="1" ht="18" x14ac:dyDescent="0.35">
      <c r="A1" s="191" t="s">
        <v>85</v>
      </c>
    </row>
    <row r="2" spans="1:11" x14ac:dyDescent="0.3">
      <c r="A2" s="6" t="s">
        <v>8</v>
      </c>
    </row>
    <row r="3" spans="1:11" x14ac:dyDescent="0.3">
      <c r="A3" s="6"/>
    </row>
    <row r="4" spans="1:11" x14ac:dyDescent="0.3">
      <c r="A4" s="182" t="s">
        <v>534</v>
      </c>
      <c r="B4" s="183"/>
      <c r="C4" s="183"/>
      <c r="D4" s="183"/>
    </row>
    <row r="5" spans="1:11" ht="28.8" x14ac:dyDescent="0.3">
      <c r="B5" s="132" t="s">
        <v>210</v>
      </c>
      <c r="C5" s="132" t="s">
        <v>211</v>
      </c>
      <c r="D5" s="132" t="s">
        <v>362</v>
      </c>
    </row>
    <row r="6" spans="1:11" x14ac:dyDescent="0.3">
      <c r="A6" s="51" t="s">
        <v>528</v>
      </c>
      <c r="B6" s="40" t="s">
        <v>209</v>
      </c>
      <c r="C6" s="40" t="s">
        <v>207</v>
      </c>
      <c r="D6" s="40" t="s">
        <v>208</v>
      </c>
      <c r="F6" s="124"/>
      <c r="H6" s="124"/>
      <c r="J6" s="124"/>
    </row>
    <row r="7" spans="1:11" x14ac:dyDescent="0.3">
      <c r="A7" s="51" t="s">
        <v>529</v>
      </c>
      <c r="B7" s="1">
        <v>1</v>
      </c>
      <c r="C7" s="1">
        <v>1</v>
      </c>
      <c r="D7" s="1">
        <v>1</v>
      </c>
      <c r="F7" s="124"/>
      <c r="G7" s="125"/>
      <c r="H7" s="124"/>
      <c r="I7" s="125"/>
      <c r="J7" s="124"/>
      <c r="K7" s="125"/>
    </row>
    <row r="8" spans="1:11" x14ac:dyDescent="0.3">
      <c r="A8" s="51" t="s">
        <v>530</v>
      </c>
      <c r="B8" s="1">
        <v>1</v>
      </c>
      <c r="C8" s="1">
        <v>2</v>
      </c>
      <c r="D8" s="1">
        <v>5</v>
      </c>
      <c r="F8" s="124"/>
      <c r="G8" s="125"/>
      <c r="H8" s="124"/>
      <c r="I8" s="125"/>
      <c r="J8" s="124"/>
      <c r="K8" s="125"/>
    </row>
    <row r="9" spans="1:11" x14ac:dyDescent="0.3">
      <c r="A9" s="51" t="s">
        <v>531</v>
      </c>
      <c r="B9" s="1">
        <v>5</v>
      </c>
      <c r="C9" s="1">
        <v>7</v>
      </c>
      <c r="D9" s="1">
        <v>15</v>
      </c>
      <c r="F9" s="124"/>
      <c r="G9" s="125"/>
      <c r="H9" s="124"/>
      <c r="I9" s="125"/>
      <c r="J9" s="124"/>
      <c r="K9" s="125"/>
    </row>
    <row r="10" spans="1:11" x14ac:dyDescent="0.3">
      <c r="A10" s="51" t="s">
        <v>635</v>
      </c>
      <c r="B10" s="205">
        <v>1</v>
      </c>
      <c r="C10" s="205">
        <v>1</v>
      </c>
      <c r="D10" s="205">
        <v>1</v>
      </c>
      <c r="F10" s="124"/>
      <c r="G10" s="125"/>
      <c r="H10" s="124"/>
      <c r="I10" s="125"/>
      <c r="J10" s="124"/>
      <c r="K10" s="125"/>
    </row>
    <row r="11" spans="1:11" x14ac:dyDescent="0.3">
      <c r="D11" s="55"/>
    </row>
    <row r="12" spans="1:11" x14ac:dyDescent="0.3">
      <c r="A12" s="51" t="s">
        <v>358</v>
      </c>
      <c r="B12" s="324" t="s">
        <v>212</v>
      </c>
      <c r="C12" s="324"/>
      <c r="D12" s="324"/>
      <c r="F12" s="41"/>
    </row>
    <row r="13" spans="1:11" x14ac:dyDescent="0.3">
      <c r="A13" s="51" t="s">
        <v>532</v>
      </c>
      <c r="B13" s="324" t="s">
        <v>363</v>
      </c>
      <c r="C13" s="324"/>
      <c r="D13" s="324"/>
      <c r="F13" s="41"/>
      <c r="G13" s="126"/>
    </row>
    <row r="14" spans="1:11" x14ac:dyDescent="0.3">
      <c r="A14" s="51" t="s">
        <v>533</v>
      </c>
      <c r="B14" s="324" t="s">
        <v>365</v>
      </c>
      <c r="C14" s="324"/>
      <c r="D14" s="324"/>
    </row>
    <row r="16" spans="1:11" x14ac:dyDescent="0.3">
      <c r="A16" s="182" t="s">
        <v>286</v>
      </c>
      <c r="B16" s="183"/>
      <c r="C16" s="183"/>
      <c r="D16" s="183"/>
    </row>
    <row r="17" spans="1:4" ht="15" thickBot="1" x14ac:dyDescent="0.35">
      <c r="B17" s="40" t="s">
        <v>231</v>
      </c>
      <c r="C17" s="40" t="s">
        <v>232</v>
      </c>
      <c r="D17" s="40" t="s">
        <v>233</v>
      </c>
    </row>
    <row r="18" spans="1:4" ht="15" thickBot="1" x14ac:dyDescent="0.35">
      <c r="A18" s="184" t="s">
        <v>329</v>
      </c>
      <c r="B18" s="187">
        <f>SUM(B19:B20)*12+B21</f>
        <v>340721428.75199997</v>
      </c>
      <c r="C18" s="187">
        <f>SUM(C19:C20)*12+C21</f>
        <v>470096269.48800004</v>
      </c>
      <c r="D18" s="188">
        <f>SUM(D19:D20)*12+D21</f>
        <v>914182622.42400002</v>
      </c>
    </row>
    <row r="19" spans="1:4" x14ac:dyDescent="0.3">
      <c r="A19" s="69" t="s">
        <v>360</v>
      </c>
      <c r="B19" s="109">
        <f>B7*'4. (Insumos)'!$C$10+'4. Sistematización y Análisis'!B8*'4. (Insumos)'!$C$11+'4. Sistematización y Análisis'!B9*'4. (Insumos)'!C12+'4. Sistematización y Análisis'!B10*'4. (Insumos)'!C13</f>
        <v>23140548</v>
      </c>
      <c r="C19" s="109">
        <f>C7*'4. (Insumos)'!$C$10+'4. Sistematización y Análisis'!C8*'4. (Insumos)'!$C$11+'4. Sistematización y Análisis'!C9*'4. (Insumos)'!$C$12+C10*'4. (Insumos)'!C13</f>
        <v>31927212</v>
      </c>
      <c r="D19" s="109">
        <f>D7*'4. (Insumos)'!$C$10+'4. Sistematización y Análisis'!D8*'4. (Insumos)'!$C$11+'4. Sistematización y Análisis'!D9*'4. (Insumos)'!$C$12+D10*'4. (Insumos)'!C13</f>
        <v>62087926</v>
      </c>
    </row>
    <row r="20" spans="1:4" x14ac:dyDescent="0.3">
      <c r="A20" s="69" t="s">
        <v>361</v>
      </c>
      <c r="B20" s="109">
        <f>B19*0.22</f>
        <v>5090920.5599999996</v>
      </c>
      <c r="C20" s="109">
        <f>C19*0.22</f>
        <v>7023986.6399999997</v>
      </c>
      <c r="D20" s="109">
        <f>D19*0.22</f>
        <v>13659343.720000001</v>
      </c>
    </row>
    <row r="21" spans="1:4" x14ac:dyDescent="0.3">
      <c r="A21" s="127" t="s">
        <v>364</v>
      </c>
      <c r="B21" s="41">
        <f>B19*12*0.7%</f>
        <v>1943806.0319999999</v>
      </c>
      <c r="C21" s="41">
        <f>C19*12*0.7%</f>
        <v>2681885.8079999997</v>
      </c>
      <c r="D21" s="41">
        <f>D19*12*0.7%</f>
        <v>5215385.7839999991</v>
      </c>
    </row>
    <row r="23" spans="1:4" x14ac:dyDescent="0.3">
      <c r="A23" s="175" t="s">
        <v>514</v>
      </c>
      <c r="B23" s="176">
        <v>0</v>
      </c>
    </row>
    <row r="24" spans="1:4" x14ac:dyDescent="0.3">
      <c r="A24" s="175" t="s">
        <v>509</v>
      </c>
      <c r="B24" s="176">
        <f>B18</f>
        <v>340721428.75199997</v>
      </c>
    </row>
    <row r="25" spans="1:4" x14ac:dyDescent="0.3">
      <c r="A25" s="175" t="s">
        <v>510</v>
      </c>
      <c r="B25" s="176">
        <f>C18</f>
        <v>470096269.48800004</v>
      </c>
    </row>
    <row r="26" spans="1:4" x14ac:dyDescent="0.3">
      <c r="A26" s="175" t="s">
        <v>511</v>
      </c>
      <c r="B26" s="176">
        <f>D18</f>
        <v>914182622.42400002</v>
      </c>
    </row>
  </sheetData>
  <mergeCells count="3">
    <mergeCell ref="B12:D12"/>
    <mergeCell ref="B13:D13"/>
    <mergeCell ref="B14:D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INDICE</vt:lpstr>
      <vt:lpstr>TOTAL COSTEO</vt:lpstr>
      <vt:lpstr>1. Participación Territorial</vt:lpstr>
      <vt:lpstr>1. (Insumos)</vt:lpstr>
      <vt:lpstr>2. Plataforma Web</vt:lpstr>
      <vt:lpstr>2. (Insumos)</vt:lpstr>
      <vt:lpstr>3. App Participación</vt:lpstr>
      <vt:lpstr>3. (Insumos)</vt:lpstr>
      <vt:lpstr>4. Sistematización y Análisis</vt:lpstr>
      <vt:lpstr>4. (Insumos)</vt:lpstr>
      <vt:lpstr>5. Campaña Comunicacional</vt:lpstr>
      <vt:lpstr>5. (Insumos)</vt:lpstr>
      <vt:lpstr>6. Sesiones CC regiones</vt:lpstr>
      <vt:lpstr>6. (Insumos)</vt:lpstr>
      <vt:lpstr>ALT</vt:lpstr>
      <vt:lpstr>PRESENCIA</vt:lpstr>
      <vt:lpstr>TERRITORIAL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Maximiliano Acevedo</dc:creator>
  <cp:lastModifiedBy>Paola Vilca</cp:lastModifiedBy>
  <dcterms:created xsi:type="dcterms:W3CDTF">2021-06-15T03:12:12Z</dcterms:created>
  <dcterms:modified xsi:type="dcterms:W3CDTF">2021-08-17T17:45:29Z</dcterms:modified>
</cp:coreProperties>
</file>