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4.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omments4.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6.xml" ContentType="application/vnd.openxmlformats-officedocument.drawing+xml"/>
  <Override PartName="/xl/tables/table7.xml" ContentType="application/vnd.openxmlformats-officedocument.spreadsheetml.table+xml"/>
  <Override PartName="/xl/comments5.xml" ContentType="application/vnd.openxmlformats-officedocument.spreadsheetml.comments+xml"/>
  <Override PartName="/xl/drawings/drawing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6.xml" ContentType="application/vnd.openxmlformats-officedocument.spreadsheetml.comments+xml"/>
  <Override PartName="/xl/drawings/drawing8.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omments7.xml" ContentType="application/vnd.openxmlformats-officedocument.spreadsheetml.comments+xml"/>
  <Override PartName="/xl/drawings/drawing9.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omments8.xml" ContentType="application/vnd.openxmlformats-officedocument.spreadsheetml.comments+xml"/>
  <Override PartName="/xl/threadedComments/threadedComment2.xml" ContentType="application/vnd.ms-excel.threadedcomments+xml"/>
  <Override PartName="/xl/drawings/drawing10.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drawings/drawing11.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omments9.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mc:AlternateContent xmlns:mc="http://schemas.openxmlformats.org/markup-compatibility/2006">
    <mc:Choice Requires="x15">
      <x15ac:absPath xmlns:x15ac="http://schemas.microsoft.com/office/spreadsheetml/2010/11/ac" url="/Users/lu/LU/00 PNUD/REIF/Taller emisiones financiadas/"/>
    </mc:Choice>
  </mc:AlternateContent>
  <xr:revisionPtr revIDLastSave="0" documentId="13_ncr:1_{6BFDBDE0-CE06-1143-A276-ACCF72BE77A2}" xr6:coauthVersionLast="47" xr6:coauthVersionMax="47" xr10:uidLastSave="{00000000-0000-0000-0000-000000000000}"/>
  <bookViews>
    <workbookView xWindow="0" yWindow="760" windowWidth="29020" windowHeight="17120" tabRatio="593" xr2:uid="{00000000-000D-0000-FFFF-FFFF00000000}"/>
  </bookViews>
  <sheets>
    <sheet name="Índice" sheetId="21" r:id="rId1"/>
    <sheet name="Fuentes Complementarias " sheetId="5" r:id="rId2"/>
    <sheet name="Sector Económico 2016" sheetId="22" r:id="rId3"/>
    <sheet name="Sector Económico 2017" sheetId="23" r:id="rId4"/>
    <sheet name="Sector Económico 2022" sheetId="4" r:id="rId5"/>
    <sheet name="Consumos_ Hotel" sheetId="15" r:id="rId6"/>
    <sheet name="Consumos_Hogares" sheetId="10" r:id="rId7"/>
    <sheet name="Consumos_Edificios" sheetId="19" r:id="rId8"/>
    <sheet name="Consumos_Retail" sheetId="16" r:id="rId9"/>
    <sheet name="Vehículos " sheetId="18" r:id="rId10"/>
    <sheet name="Deuda Soberana " sheetId="20" r:id="rId11"/>
    <sheet name="Proyectos_Proxy" sheetId="7" r:id="rId12"/>
    <sheet name="Datos Inmuebles" sheetId="11" r:id="rId13"/>
    <sheet name="Datos Energía" sheetId="9" r:id="rId14"/>
  </sheets>
  <externalReferences>
    <externalReference r:id="rId15"/>
    <externalReference r:id="rId16"/>
  </externalReferences>
  <definedNames>
    <definedName name="AC_ESTACIONARIO">"DESREF('C1 y C2-Valores por defecto'!$R$54; 0; 0; CONTAR.SI('C1 y C2-Valores por defecto'!$R$54:$R$73; ""&lt;&gt;""); 1)"</definedName>
    <definedName name="DensidadMadera">[1]UTCUTS!$F$21:$H$26</definedName>
    <definedName name="fCg" localSheetId="13">'[2]UTCUTS-Valores por defecto'!$D$171</definedName>
    <definedName name="fCg">#REF!</definedName>
    <definedName name="IncrementoBiomasa">[1]UTCUTS!$F$13:$H$18</definedName>
    <definedName name="RelacionBs_Ba">[1]UTCUTS!$F$27:$H$32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3" l="1"/>
  <c r="G4" i="23"/>
  <c r="I8" i="22" l="1"/>
  <c r="J8" i="22" s="1"/>
  <c r="K8" i="22"/>
  <c r="L8" i="22"/>
  <c r="K9" i="22"/>
  <c r="I9" i="22"/>
  <c r="J9" i="22" s="1"/>
  <c r="G5" i="22"/>
  <c r="L5" i="22" s="1"/>
  <c r="G4" i="22"/>
  <c r="L4" i="22" s="1"/>
  <c r="I9" i="23"/>
  <c r="J9" i="23" s="1"/>
  <c r="G9" i="23"/>
  <c r="I8" i="23"/>
  <c r="J8" i="23" s="1"/>
  <c r="G8" i="23"/>
  <c r="I7" i="23"/>
  <c r="J7" i="23" s="1"/>
  <c r="G7" i="23"/>
  <c r="I6" i="23"/>
  <c r="J6" i="23" s="1"/>
  <c r="G6" i="23"/>
  <c r="L5" i="23"/>
  <c r="K5" i="23"/>
  <c r="I5" i="23"/>
  <c r="J5" i="23" s="1"/>
  <c r="L4" i="23"/>
  <c r="K4" i="23"/>
  <c r="I4" i="23"/>
  <c r="J4" i="23" s="1"/>
  <c r="I7" i="22"/>
  <c r="J7" i="22" s="1"/>
  <c r="G7" i="22"/>
  <c r="I6" i="22"/>
  <c r="J6" i="22" s="1"/>
  <c r="G6" i="22"/>
  <c r="I5" i="22"/>
  <c r="J5" i="22" s="1"/>
  <c r="I4" i="22"/>
  <c r="J4" i="22" s="1"/>
  <c r="U25" i="9"/>
  <c r="U27" i="9"/>
  <c r="U28" i="9"/>
  <c r="U29" i="9"/>
  <c r="U30" i="9"/>
  <c r="U24" i="9"/>
  <c r="O25" i="9"/>
  <c r="O27" i="9"/>
  <c r="O28" i="9"/>
  <c r="O29" i="9"/>
  <c r="O30" i="9"/>
  <c r="O24" i="9"/>
  <c r="I28" i="9"/>
  <c r="I29" i="9"/>
  <c r="I30" i="9"/>
  <c r="I27" i="9"/>
  <c r="I25" i="9"/>
  <c r="I24" i="9"/>
  <c r="C11" i="11"/>
  <c r="C13" i="11" s="1"/>
  <c r="N26" i="16"/>
  <c r="N25" i="16"/>
  <c r="J25" i="16"/>
  <c r="H39" i="16"/>
  <c r="J26" i="16" s="1"/>
  <c r="D37" i="19"/>
  <c r="C37" i="19"/>
  <c r="G4" i="10"/>
  <c r="F5" i="10"/>
  <c r="J5" i="10" s="1"/>
  <c r="F4" i="10"/>
  <c r="J4" i="10" s="1"/>
  <c r="H5" i="10"/>
  <c r="H4" i="10"/>
  <c r="G5" i="10"/>
  <c r="L24" i="15"/>
  <c r="H24" i="15"/>
  <c r="L8" i="4"/>
  <c r="I6" i="4"/>
  <c r="I4" i="4"/>
  <c r="I5" i="4"/>
  <c r="I8" i="4"/>
  <c r="J8" i="4" s="1"/>
  <c r="I9" i="4"/>
  <c r="I7" i="4"/>
  <c r="J9" i="7"/>
  <c r="F3" i="7"/>
  <c r="J3" i="7" s="1"/>
  <c r="J4" i="7"/>
  <c r="F5" i="7"/>
  <c r="J5" i="7" s="1"/>
  <c r="J6" i="7"/>
  <c r="J7" i="7"/>
  <c r="J8" i="7"/>
  <c r="K8" i="4"/>
  <c r="K7" i="4"/>
  <c r="F8" i="18"/>
  <c r="F9" i="18"/>
  <c r="F10" i="18"/>
  <c r="F11" i="18"/>
  <c r="E7" i="18"/>
  <c r="F7" i="18" s="1"/>
  <c r="E6" i="18"/>
  <c r="F6" i="18" s="1"/>
  <c r="E5" i="18"/>
  <c r="F5" i="18" s="1"/>
  <c r="E4" i="18"/>
  <c r="F4" i="18" s="1"/>
  <c r="I43" i="18"/>
  <c r="G9" i="18" s="1"/>
  <c r="M46" i="18"/>
  <c r="I46" i="18"/>
  <c r="M45" i="18"/>
  <c r="I45" i="18"/>
  <c r="S44" i="18"/>
  <c r="M44" i="18"/>
  <c r="I44" i="18"/>
  <c r="G11" i="18" s="1"/>
  <c r="S43" i="18"/>
  <c r="M43" i="18"/>
  <c r="L9" i="22" l="1"/>
  <c r="K5" i="22"/>
  <c r="K4" i="22"/>
  <c r="L6" i="23"/>
  <c r="K6" i="23"/>
  <c r="L7" i="23"/>
  <c r="K7" i="23"/>
  <c r="L8" i="23"/>
  <c r="K8" i="23"/>
  <c r="L9" i="23"/>
  <c r="K9" i="23"/>
  <c r="L6" i="22"/>
  <c r="K6" i="22"/>
  <c r="L7" i="22"/>
  <c r="K7" i="22"/>
  <c r="H9" i="18"/>
  <c r="I9" i="18" s="1"/>
  <c r="G4" i="18"/>
  <c r="H4" i="18" s="1"/>
  <c r="I4" i="18" s="1"/>
  <c r="G5" i="18"/>
  <c r="H5" i="18" s="1"/>
  <c r="I5" i="18" s="1"/>
  <c r="G6" i="18"/>
  <c r="H6" i="18" s="1"/>
  <c r="I6" i="18" s="1"/>
  <c r="H11" i="18"/>
  <c r="I11" i="18" s="1"/>
  <c r="G7" i="18"/>
  <c r="H7" i="18" s="1"/>
  <c r="I7" i="18" s="1"/>
  <c r="G8" i="18"/>
  <c r="H8" i="18" s="1"/>
  <c r="I8" i="18" s="1"/>
  <c r="G10" i="18"/>
  <c r="H10" i="18" s="1"/>
  <c r="I10" i="18" s="1"/>
  <c r="G25" i="18" l="1"/>
  <c r="G26" i="18"/>
  <c r="G27" i="18"/>
  <c r="G24" i="18"/>
  <c r="C5" i="19"/>
  <c r="E5" i="19" s="1"/>
  <c r="C6" i="19"/>
  <c r="F6" i="19" s="1"/>
  <c r="D24" i="19"/>
  <c r="C4" i="19" s="1"/>
  <c r="G39" i="16"/>
  <c r="G40" i="16"/>
  <c r="G41" i="16"/>
  <c r="I25" i="16"/>
  <c r="I26" i="16"/>
  <c r="I27" i="16"/>
  <c r="J27" i="16"/>
  <c r="I28" i="16"/>
  <c r="F29" i="16"/>
  <c r="G29" i="16"/>
  <c r="H29" i="16"/>
  <c r="K29" i="16"/>
  <c r="D4" i="16" s="1"/>
  <c r="L29" i="16"/>
  <c r="M29" i="16"/>
  <c r="D4" i="15"/>
  <c r="C4" i="15"/>
  <c r="J28" i="16" l="1"/>
  <c r="J29" i="16" s="1"/>
  <c r="E4" i="16" s="1"/>
  <c r="I29" i="16"/>
  <c r="C4" i="16" s="1"/>
  <c r="D5" i="19"/>
  <c r="H5" i="19" s="1"/>
  <c r="F5" i="19"/>
  <c r="N29" i="16"/>
  <c r="F4" i="16" s="1"/>
  <c r="D6" i="19"/>
  <c r="H6" i="19" s="1"/>
  <c r="D4" i="19"/>
  <c r="H4" i="19" s="1"/>
  <c r="F4" i="19"/>
  <c r="E4" i="19"/>
  <c r="E6" i="19"/>
  <c r="M8" i="11"/>
  <c r="N8" i="11" s="1"/>
  <c r="M7" i="11"/>
  <c r="N7" i="11" s="1"/>
  <c r="M6" i="11"/>
  <c r="J19" i="11"/>
  <c r="I19" i="11"/>
  <c r="H19" i="11"/>
  <c r="J18" i="11"/>
  <c r="I18" i="11"/>
  <c r="H18" i="11"/>
  <c r="C18" i="11"/>
  <c r="D5" i="10"/>
  <c r="D4" i="10"/>
  <c r="N6" i="11" l="1"/>
  <c r="N9" i="11" s="1"/>
  <c r="M9" i="11"/>
  <c r="K19" i="11"/>
  <c r="L19" i="11" s="1"/>
  <c r="K18" i="11"/>
  <c r="L18" i="11" s="1"/>
  <c r="K4" i="10" s="1"/>
  <c r="L4" i="10" s="1"/>
  <c r="J5" i="4"/>
  <c r="J4" i="4"/>
  <c r="J6" i="4"/>
  <c r="J9" i="4"/>
  <c r="J7" i="4"/>
  <c r="K4" i="4"/>
  <c r="K5" i="4"/>
  <c r="K6" i="4"/>
  <c r="K9" i="4"/>
  <c r="L4" i="4"/>
  <c r="L5" i="4"/>
  <c r="L6" i="4"/>
  <c r="L9" i="4"/>
  <c r="L7" i="4"/>
  <c r="K4" i="19" l="1"/>
  <c r="L4" i="19" s="1"/>
  <c r="M5" i="10"/>
  <c r="N5" i="10" s="1"/>
  <c r="M4" i="10"/>
  <c r="N4" i="10" s="1"/>
  <c r="O4" i="10" s="1"/>
  <c r="P4" i="10" s="1"/>
  <c r="K5" i="19"/>
  <c r="L5" i="19" s="1"/>
  <c r="K6" i="19"/>
  <c r="L6" i="19" s="1"/>
  <c r="I5" i="19"/>
  <c r="J5" i="19" s="1"/>
  <c r="I6" i="19"/>
  <c r="J6" i="19" s="1"/>
  <c r="I4" i="19"/>
  <c r="J4" i="19" s="1"/>
  <c r="K5" i="10"/>
  <c r="M4" i="19" l="1"/>
  <c r="M6" i="19"/>
  <c r="M5" i="19"/>
  <c r="L5" i="10"/>
  <c r="O5" i="10" s="1"/>
  <c r="P5" i="10" s="1"/>
  <c r="E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Deuman</author>
  </authors>
  <commentList>
    <comment ref="L3" authorId="0" shapeId="0" xr:uid="{A7E6D9ED-3F21-43B3-8A92-6F8367A7F928}">
      <text>
        <r>
          <rPr>
            <b/>
            <sz val="9"/>
            <color indexed="81"/>
            <rFont val="Tahoma"/>
            <family val="2"/>
          </rPr>
          <t>Deuman:</t>
        </r>
        <r>
          <rPr>
            <sz val="9"/>
            <color indexed="81"/>
            <rFont val="Tahoma"/>
            <family val="2"/>
          </rPr>
          <t xml:space="preserve"> Toneladas de CO₂ equivalente por cada mil dólares de valor económico (tCO₂/1,000 USD).
</t>
        </r>
      </text>
    </comment>
    <comment ref="H4" authorId="0" shapeId="0" xr:uid="{009EEFFB-20F8-40AD-8F09-186B1BD3BB83}">
      <text>
        <r>
          <rPr>
            <b/>
            <sz val="9"/>
            <color indexed="81"/>
            <rFont val="Tahoma"/>
            <family val="2"/>
          </rPr>
          <t>Deuman:</t>
        </r>
        <r>
          <rPr>
            <sz val="9"/>
            <color indexed="81"/>
            <rFont val="Tahoma"/>
            <family val="2"/>
          </rPr>
          <t xml:space="preserve">
BCU – Valor Agregado Bruto (VAB) del sector. Para el sector “ Agropecuario", se utilizó el VAB agregado de los sectores A8 y A9. Los valores fueron convertidos a USD constantes aplicando el tipo de cambio promedio anual de 2016 (28,84 UYU/USD)</t>
        </r>
      </text>
    </comment>
    <comment ref="D5" authorId="0" shapeId="0" xr:uid="{839D1236-7EAC-4507-ADA0-952AE27D7C50}">
      <text>
        <r>
          <rPr>
            <b/>
            <sz val="9"/>
            <color indexed="81"/>
            <rFont val="Tahoma"/>
            <family val="2"/>
          </rPr>
          <t>Deuman:</t>
        </r>
        <r>
          <rPr>
            <sz val="9"/>
            <color indexed="81"/>
            <rFont val="Tahoma"/>
            <family val="2"/>
          </rPr>
          <t xml:space="preserve">
Incluye Cultivo de arroz </t>
        </r>
      </text>
    </comment>
    <comment ref="H5" authorId="0" shapeId="0" xr:uid="{21A55B63-6D79-4832-AA9A-2F32407C5DB9}">
      <text>
        <r>
          <rPr>
            <b/>
            <sz val="9"/>
            <color indexed="81"/>
            <rFont val="Tahoma"/>
            <family val="2"/>
          </rPr>
          <t>Deuman:</t>
        </r>
        <r>
          <rPr>
            <sz val="9"/>
            <color indexed="81"/>
            <rFont val="Tahoma"/>
            <family val="2"/>
          </rPr>
          <t xml:space="preserve">
</t>
        </r>
      </text>
    </comment>
    <comment ref="C6" authorId="0" shapeId="0" xr:uid="{EA85D513-8CEE-4058-A764-B5432D43E1C7}">
      <text>
        <r>
          <rPr>
            <b/>
            <sz val="9"/>
            <color indexed="81"/>
            <rFont val="Tahoma"/>
            <family val="2"/>
          </rPr>
          <t>Deuman:</t>
        </r>
        <r>
          <rPr>
            <sz val="9"/>
            <color indexed="81"/>
            <rFont val="Tahoma"/>
            <family val="2"/>
          </rPr>
          <t xml:space="preserve">
: El sector “Producción de electricidad y calor” corresponde a la subcategoría 1.A.1.a del INGEI, que incluye emisiones asociadas a la generación eléctrica y al suministro de calor/vapor. Por ello, se vincula directamente con las actividades económicas de electricidad y gas del sistema productivo nacional.</t>
        </r>
      </text>
    </comment>
    <comment ref="H6" authorId="0" shapeId="0" xr:uid="{0438AB96-C0CD-4407-ABB1-A6D012A80E03}">
      <text>
        <r>
          <rPr>
            <b/>
            <sz val="9"/>
            <color indexed="81"/>
            <rFont val="Tahoma"/>
            <family val="2"/>
          </rPr>
          <t>Deuman:</t>
        </r>
        <r>
          <rPr>
            <sz val="9"/>
            <color indexed="81"/>
            <rFont val="Tahoma"/>
            <family val="2"/>
          </rPr>
          <t xml:space="preserve">
BCU – Valor Agregado Bruto (VAB) del sector. Para el sector “Producción de electricidad y calor” 1A1a, se utilizó el VAB agregado de los sectores D1 y D2. Los valores fueron convertidos a USD constantes aplicando el tipo de cambio promedio anual de 2016 (28,84 UYU/USD).</t>
        </r>
      </text>
    </comment>
    <comment ref="H7" authorId="0" shapeId="0" xr:uid="{1DEA81B8-F531-480C-8D1E-214E47A80DE4}">
      <text>
        <r>
          <rPr>
            <b/>
            <sz val="9"/>
            <color indexed="81"/>
            <rFont val="Tahoma"/>
            <family val="2"/>
          </rPr>
          <t>Deuman:</t>
        </r>
        <r>
          <rPr>
            <sz val="9"/>
            <color indexed="81"/>
            <rFont val="Tahoma"/>
            <family val="2"/>
          </rPr>
          <t xml:space="preserve">
BCU – Valor Agregado Bruto (VAB) del sector Transporte y almacenamiento (H.1–H.6), Cuenta de Producción por Industrias (a precios constantes de 2016).
Convertido a USD constantes aplicando el tipo de cambio promedio anual de 2016 (28,84 UYU/USD).</t>
        </r>
      </text>
    </comment>
    <comment ref="C8" authorId="0" shapeId="0" xr:uid="{5BE95A0D-49C4-4306-B89F-83DBF6B4499E}">
      <text>
        <r>
          <rPr>
            <b/>
            <sz val="9"/>
            <color indexed="81"/>
            <rFont val="Tahoma"/>
            <family val="2"/>
          </rPr>
          <t>Deuman:</t>
        </r>
        <r>
          <rPr>
            <sz val="9"/>
            <color indexed="81"/>
            <rFont val="Tahoma"/>
            <family val="2"/>
          </rPr>
          <t xml:space="preserve">
Dato no desagregaado en el INGEI </t>
        </r>
      </text>
    </comment>
    <comment ref="H8" authorId="0" shapeId="0" xr:uid="{AD8BDF87-ACBE-4794-A3AE-6B9624CD72C4}">
      <text>
        <r>
          <rPr>
            <b/>
            <sz val="9"/>
            <color indexed="81"/>
            <rFont val="Tahoma"/>
            <family val="2"/>
          </rPr>
          <t>Deuman</t>
        </r>
        <r>
          <rPr>
            <sz val="9"/>
            <color indexed="81"/>
            <rFont val="Tahoma"/>
            <family val="2"/>
          </rPr>
          <t>: Valor Agregado Bruto (VAB) del sector Construcción, obtenido de la Cuenta de Producción por Industrias bajo los subsectores F.1 (“Construcción de edificios y otras actividades especializadas de construcción”) y F.2 (“Otras construcciones”), expresado en pesos constantes base 2016. Los valores fueron convertidos a dólares constantes aplicando el tipo de cambio promedio anual de 2016 (28,84 UYU/USD).</t>
        </r>
      </text>
    </comment>
    <comment ref="C9" authorId="0" shapeId="0" xr:uid="{459F77E1-1E9C-4F51-BC2C-23E83672985C}">
      <text>
        <r>
          <rPr>
            <b/>
            <sz val="9"/>
            <color indexed="81"/>
            <rFont val="Tahoma"/>
            <family val="2"/>
          </rPr>
          <t>Deuman:</t>
        </r>
        <r>
          <rPr>
            <sz val="9"/>
            <color indexed="81"/>
            <rFont val="Tahoma"/>
            <family val="2"/>
          </rPr>
          <t xml:space="preserve">
Dato no desagregado en INGEI
</t>
        </r>
      </text>
    </comment>
    <comment ref="H9" authorId="0" shapeId="0" xr:uid="{FD2BF056-49BD-4047-B7C2-3BEE1E6CBC74}">
      <text>
        <r>
          <rPr>
            <b/>
            <sz val="9"/>
            <color indexed="81"/>
            <rFont val="Tahoma"/>
            <family val="2"/>
          </rPr>
          <t>Deuman</t>
        </r>
        <r>
          <rPr>
            <sz val="9"/>
            <color indexed="81"/>
            <rFont val="Tahoma"/>
            <family val="2"/>
          </rPr>
          <t>: BCU – Valor Agregado Bruto (VAB) del sector Textil y cueros, obtenido de la Cuenta de Producción por Industrias bajo los subsectores C16 (“Productos textiles”), C17 (“Prendas de vestir”) y C18 (“Productos de cuero y conexos”), expresado en pesos constantes base 2016. Convertido a USD constantes aplicando el tipo de cambio promedio anual de 2016 (28,84 UYU/USD).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Deuman</author>
  </authors>
  <commentList>
    <comment ref="L3" authorId="0" shapeId="0" xr:uid="{939EDB3C-85C7-4705-A0F1-5351E02B31AC}">
      <text>
        <r>
          <rPr>
            <b/>
            <sz val="9"/>
            <color indexed="81"/>
            <rFont val="Tahoma"/>
            <family val="2"/>
          </rPr>
          <t>Deuman:</t>
        </r>
        <r>
          <rPr>
            <sz val="9"/>
            <color indexed="81"/>
            <rFont val="Tahoma"/>
            <family val="2"/>
          </rPr>
          <t xml:space="preserve"> Toneladas de CO₂ equivalente por cada mil dólares de valor económico (tCO₂/1,000 USD).
</t>
        </r>
      </text>
    </comment>
    <comment ref="H4" authorId="0" shapeId="0" xr:uid="{268BFC7F-DF53-49E0-9D76-B0ED1F61F9C0}">
      <text>
        <r>
          <rPr>
            <b/>
            <sz val="9"/>
            <color indexed="81"/>
            <rFont val="Tahoma"/>
            <family val="2"/>
          </rPr>
          <t>Deuman:</t>
        </r>
        <r>
          <rPr>
            <sz val="9"/>
            <color indexed="81"/>
            <rFont val="Tahoma"/>
            <family val="2"/>
          </rPr>
          <t xml:space="preserve">
BCU – Valor Agregado Bruto (VAB) del sector. Para el sector “ Agropecuario", se utilizó el VAB agregado de los sectores A8 y A9. Los valores fueron convertidos a USD constantes aplicando el tipo de cambio promedio anual de 2016 (28,84 UYU/USD)</t>
        </r>
      </text>
    </comment>
    <comment ref="D5" authorId="0" shapeId="0" xr:uid="{1CDFCAFF-EAC4-4FE3-8D7C-F636E1664523}">
      <text>
        <r>
          <rPr>
            <b/>
            <sz val="9"/>
            <color indexed="81"/>
            <rFont val="Tahoma"/>
            <family val="2"/>
          </rPr>
          <t>Deuman:</t>
        </r>
        <r>
          <rPr>
            <sz val="9"/>
            <color indexed="81"/>
            <rFont val="Tahoma"/>
            <family val="2"/>
          </rPr>
          <t xml:space="preserve">
Incluye Cultivo de arroz </t>
        </r>
      </text>
    </comment>
    <comment ref="H5" authorId="0" shapeId="0" xr:uid="{D7CF1E33-F177-4B61-ACB2-7725A931EC4A}">
      <text>
        <r>
          <rPr>
            <b/>
            <sz val="9"/>
            <color indexed="81"/>
            <rFont val="Tahoma"/>
            <family val="2"/>
          </rPr>
          <t>Deuman:</t>
        </r>
        <r>
          <rPr>
            <sz val="9"/>
            <color indexed="81"/>
            <rFont val="Tahoma"/>
            <family val="2"/>
          </rPr>
          <t xml:space="preserve">
</t>
        </r>
      </text>
    </comment>
    <comment ref="C6" authorId="0" shapeId="0" xr:uid="{3EF3AAC1-FAB9-4132-A59E-F9FB4349007E}">
      <text>
        <r>
          <rPr>
            <b/>
            <sz val="9"/>
            <color indexed="81"/>
            <rFont val="Tahoma"/>
            <family val="2"/>
          </rPr>
          <t>Deuman:</t>
        </r>
        <r>
          <rPr>
            <sz val="9"/>
            <color indexed="81"/>
            <rFont val="Tahoma"/>
            <family val="2"/>
          </rPr>
          <t xml:space="preserve">
: El sector “Producción de electricidad y calor” corresponde a la subcategoría 1.A.1.a del INGEI, que incluye emisiones asociadas a la generación eléctrica y al suministro de calor/vapor. Por ello, se vincula directamente con las actividades económicas de electricidad y gas del sistema productivo nacional.</t>
        </r>
      </text>
    </comment>
    <comment ref="H6" authorId="0" shapeId="0" xr:uid="{7DD80A0F-5FF0-4474-94DF-97C192197DD5}">
      <text>
        <r>
          <rPr>
            <b/>
            <sz val="9"/>
            <color indexed="81"/>
            <rFont val="Tahoma"/>
            <family val="2"/>
          </rPr>
          <t>Deuman:</t>
        </r>
        <r>
          <rPr>
            <sz val="9"/>
            <color indexed="81"/>
            <rFont val="Tahoma"/>
            <family val="2"/>
          </rPr>
          <t xml:space="preserve">
BCU – Valor Agregado Bruto (VAB) del sector. Para el sector “Producción de electricidad y calor” 1A1a, se utilizó el VAB agregado de los sectores D1 y D2. Los valores fueron convertidos a USD constantes aplicando el tipo de cambio promedio anual de 2016 (28,84 UYU/USD).</t>
        </r>
      </text>
    </comment>
    <comment ref="H7" authorId="0" shapeId="0" xr:uid="{D7C4226B-A874-42B0-8627-AC41C0D034B5}">
      <text>
        <r>
          <rPr>
            <b/>
            <sz val="9"/>
            <color indexed="81"/>
            <rFont val="Tahoma"/>
            <family val="2"/>
          </rPr>
          <t>Deuman:</t>
        </r>
        <r>
          <rPr>
            <sz val="9"/>
            <color indexed="81"/>
            <rFont val="Tahoma"/>
            <family val="2"/>
          </rPr>
          <t xml:space="preserve">
BCU – Valor Agregado Bruto (VAB) del sector Transporte y almacenamiento (H.1–H.6), Cuenta de Producción por Industrias (a precios constantes de 2016).
Convertido a USD constantes aplicando el tipo de cambio promedio anual de 2016 (28,84 UYU/USD).</t>
        </r>
      </text>
    </comment>
    <comment ref="C8" authorId="0" shapeId="0" xr:uid="{DD1C222D-DE58-4177-BD30-91AC04A28309}">
      <text>
        <r>
          <rPr>
            <b/>
            <sz val="9"/>
            <color indexed="81"/>
            <rFont val="Tahoma"/>
            <family val="2"/>
          </rPr>
          <t>Deuman:</t>
        </r>
        <r>
          <rPr>
            <sz val="9"/>
            <color indexed="81"/>
            <rFont val="Tahoma"/>
            <family val="2"/>
          </rPr>
          <t xml:space="preserve">
Dato no desagregado en INGEI 
</t>
        </r>
      </text>
    </comment>
    <comment ref="H8" authorId="0" shapeId="0" xr:uid="{89AD1B36-4DF4-441D-969E-48D3F3FA9FAB}">
      <text>
        <r>
          <rPr>
            <b/>
            <sz val="9"/>
            <color indexed="81"/>
            <rFont val="Tahoma"/>
            <family val="2"/>
          </rPr>
          <t>Deuman</t>
        </r>
        <r>
          <rPr>
            <sz val="9"/>
            <color indexed="81"/>
            <rFont val="Tahoma"/>
            <family val="2"/>
          </rPr>
          <t>: Valor Agregado Bruto (VAB) del sector Construcción, obtenido de la Cuenta de Producción por Industrias bajo los subsectores F.1 (“Construcción de edificios y otras actividades especializadas de construcción”) y F.2 (“Otras construcciones”), expresado en pesos constantes base 2016. Los valores fueron convertidos a dólares constantes aplicando el tipo de cambio promedio anual de 2016 (28,84 UYU/USD).</t>
        </r>
      </text>
    </comment>
    <comment ref="C9" authorId="0" shapeId="0" xr:uid="{D0B94843-622D-4BA3-94BA-31D102DC2AD4}">
      <text>
        <r>
          <rPr>
            <b/>
            <sz val="9"/>
            <color indexed="81"/>
            <rFont val="Tahoma"/>
            <family val="2"/>
          </rPr>
          <t>Deuman:</t>
        </r>
        <r>
          <rPr>
            <sz val="9"/>
            <color indexed="81"/>
            <rFont val="Tahoma"/>
            <family val="2"/>
          </rPr>
          <t xml:space="preserve">
Dato no desagregado en INGEI</t>
        </r>
      </text>
    </comment>
    <comment ref="H9" authorId="0" shapeId="0" xr:uid="{7AC82363-2751-4BC4-A3FA-C7A670A584CA}">
      <text>
        <r>
          <rPr>
            <b/>
            <sz val="9"/>
            <color indexed="81"/>
            <rFont val="Tahoma"/>
            <family val="2"/>
          </rPr>
          <t>Deuman</t>
        </r>
        <r>
          <rPr>
            <sz val="9"/>
            <color indexed="81"/>
            <rFont val="Tahoma"/>
            <family val="2"/>
          </rPr>
          <t>: BCU – Valor Agregado Bruto (VAB) del sector Textil y cueros, obtenido de la Cuenta de Producción por Industrias bajo los subsectores C16 (“Productos textiles”), C17 (“Prendas de vestir”) y C18 (“Productos de cuero y conexos”), expresado en pesos constantes base 2016. Convertido a USD constantes aplicando el tipo de cambio promedio anual de 2016 (28,84 UYU/USD).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Deuman</author>
  </authors>
  <commentList>
    <comment ref="L3" authorId="0" shapeId="0" xr:uid="{5145A884-3998-49F2-AAF0-72801B1309D9}">
      <text>
        <r>
          <rPr>
            <b/>
            <sz val="9"/>
            <color indexed="81"/>
            <rFont val="Tahoma"/>
            <family val="2"/>
          </rPr>
          <t>Deuman:</t>
        </r>
        <r>
          <rPr>
            <sz val="9"/>
            <color indexed="81"/>
            <rFont val="Tahoma"/>
            <family val="2"/>
          </rPr>
          <t xml:space="preserve"> Toneladas de CO₂ equivalente por cada mil dólares de valor económico (tCO₂/1,000 USD).
</t>
        </r>
      </text>
    </comment>
    <comment ref="H4" authorId="0" shapeId="0" xr:uid="{6F642972-989C-4809-BB2B-D8AC98D5FB76}">
      <text>
        <r>
          <rPr>
            <b/>
            <sz val="9"/>
            <color indexed="81"/>
            <rFont val="Tahoma"/>
            <family val="2"/>
          </rPr>
          <t>Deuman:</t>
        </r>
        <r>
          <rPr>
            <sz val="9"/>
            <color indexed="81"/>
            <rFont val="Tahoma"/>
            <family val="2"/>
          </rPr>
          <t xml:space="preserve">
BCU – Valor Agregado Bruto (VAB) del sector Transporte y almacenamiento (H.1–H.6), Cuenta de Producción por Industrias (a precios constantes de 2016).
Convertido a USD constantes aplicando el tipo de cambio promedio anual de 2016 (28,84 UYU/USD).</t>
        </r>
      </text>
    </comment>
    <comment ref="D5" authorId="0" shapeId="0" xr:uid="{01D2C330-63A3-45FE-AC40-02656889FFC7}">
      <text>
        <r>
          <rPr>
            <b/>
            <sz val="9"/>
            <color indexed="81"/>
            <rFont val="Tahoma"/>
            <family val="2"/>
          </rPr>
          <t>Deuman:</t>
        </r>
        <r>
          <rPr>
            <sz val="9"/>
            <color indexed="81"/>
            <rFont val="Tahoma"/>
            <family val="2"/>
          </rPr>
          <t xml:space="preserve">
Incluye Cultivo de arroz </t>
        </r>
      </text>
    </comment>
    <comment ref="H5" authorId="0" shapeId="0" xr:uid="{4BC1A2CC-C7A0-405C-A6BE-BB19E093AFD7}">
      <text>
        <r>
          <rPr>
            <b/>
            <sz val="9"/>
            <color indexed="81"/>
            <rFont val="Tahoma"/>
            <family val="2"/>
          </rPr>
          <t>Deuman:</t>
        </r>
        <r>
          <rPr>
            <sz val="9"/>
            <color indexed="81"/>
            <rFont val="Tahoma"/>
            <family val="2"/>
          </rPr>
          <t xml:space="preserve">
BCU – Valor Agregado Bruto (VAB) del sector Transporte y almacenamiento (H.1–H.6), Cuenta de Producción por Industrias (a precios constantes de 2016).
Convertido a USD constantes aplicando el tipo de cambio promedio anual de 2016 (28,84 UYU/USD).</t>
        </r>
      </text>
    </comment>
    <comment ref="C6" authorId="0" shapeId="0" xr:uid="{AA4D5A45-FC65-458B-BDB3-430994C86EA3}">
      <text>
        <r>
          <rPr>
            <b/>
            <sz val="9"/>
            <color indexed="81"/>
            <rFont val="Tahoma"/>
            <family val="2"/>
          </rPr>
          <t>Deuman:</t>
        </r>
        <r>
          <rPr>
            <sz val="9"/>
            <color indexed="81"/>
            <rFont val="Tahoma"/>
            <family val="2"/>
          </rPr>
          <t xml:space="preserve">
: El sector “Producción de electricidad y calor” corresponde a la subcategoría 1.A.1.a del INGEI, que incluye emisiones asociadas a la generación eléctrica y al suministro de calor/vapor. Por ello, se vincula directamente con las actividades económicas de electricidad y gas del sistema productivo nacional.</t>
        </r>
      </text>
    </comment>
    <comment ref="H6" authorId="0" shapeId="0" xr:uid="{878D7370-E616-45AB-AD9B-8965CDEA90A3}">
      <text>
        <r>
          <rPr>
            <b/>
            <sz val="9"/>
            <color indexed="81"/>
            <rFont val="Tahoma"/>
            <family val="2"/>
          </rPr>
          <t>Deuman:</t>
        </r>
        <r>
          <rPr>
            <sz val="9"/>
            <color indexed="81"/>
            <rFont val="Tahoma"/>
            <family val="2"/>
          </rPr>
          <t xml:space="preserve">
BCU – Valor Agregado Bruto (VAB) del sector Transporte y almacenamiento (H.1–H.6), Cuenta de Producción por Industrias (a precios constantes de 2016).
Convertido a USD constantes aplicando el tipo de cambio promedio anual de 2016 (28,84 UYU/USD).</t>
        </r>
      </text>
    </comment>
    <comment ref="H7" authorId="0" shapeId="0" xr:uid="{95B6D8B6-FDF0-4438-93B1-476F85539B1A}">
      <text>
        <r>
          <rPr>
            <b/>
            <sz val="9"/>
            <color indexed="81"/>
            <rFont val="Tahoma"/>
            <family val="2"/>
          </rPr>
          <t>Deuman:</t>
        </r>
        <r>
          <rPr>
            <sz val="9"/>
            <color indexed="81"/>
            <rFont val="Tahoma"/>
            <family val="2"/>
          </rPr>
          <t xml:space="preserve">
BCU – Valor Agregado Bruto (VAB) del sector Transporte y almacenamiento (H.1–H.6), Cuenta de Producción por Industrias (a precios constantes de 2016).
Convertido a USD constantes aplicando el tipo de cambio promedio anual de 2016 (28,84 UYU/USD).</t>
        </r>
      </text>
    </comment>
    <comment ref="H8" authorId="0" shapeId="0" xr:uid="{86F08F89-74C5-4A0B-9322-7E65A8051947}">
      <text>
        <r>
          <rPr>
            <b/>
            <sz val="9"/>
            <color indexed="81"/>
            <rFont val="Tahoma"/>
            <family val="2"/>
          </rPr>
          <t>Deuman</t>
        </r>
        <r>
          <rPr>
            <sz val="9"/>
            <color indexed="81"/>
            <rFont val="Tahoma"/>
            <family val="2"/>
          </rPr>
          <t>: Valor Agregado Bruto (VAB) del sector Construcción, obtenido de la Cuenta de Producción por Industrias bajo los subsectores F.1 (“Construcción de edificios y otras actividades especializadas de construcción”) y F.2 (“Otras construcciones”), expresado en pesos constantes base 2016. Los valores fueron convertidos a dólares constantes aplicando el tipo de cambio promedio anual de 2016 (28,84 UYU/USD).</t>
        </r>
      </text>
    </comment>
    <comment ref="H9" authorId="0" shapeId="0" xr:uid="{4DB2B130-F96F-445A-88A5-90B334669747}">
      <text>
        <r>
          <rPr>
            <b/>
            <sz val="9"/>
            <color indexed="81"/>
            <rFont val="Tahoma"/>
            <family val="2"/>
          </rPr>
          <t>Deuman</t>
        </r>
        <r>
          <rPr>
            <sz val="9"/>
            <color indexed="81"/>
            <rFont val="Tahoma"/>
            <family val="2"/>
          </rPr>
          <t>: BCU – Valor Agregado Bruto (VAB) del sector Textil y cueros, obtenido de la Cuenta de Producción por Industrias bajo los subsectores C16 (“Productos textiles”), C17 (“Prendas de vestir”) y C18 (“Productos de cuero y conexos”), expresado en pesos constantes base 2016. Convertido a USD constantes aplicando el tipo de cambio promedio anual de 2016 (28,84 UYU/USD).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tc={9F32ECED-1386-48F0-AA84-961BC01989A2}</author>
  </authors>
  <commentList>
    <comment ref="L20" authorId="0" shapeId="0" xr:uid="{9F32ECED-1386-48F0-AA84-961BC01989A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no consideré esto para el promedio porque hace muy muy grande considerando que ahi se repetiría la doble contabilización pero queria dejar igual puesto @Sol Leguizamon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Victoria Rosarito Blasco Domínguez</author>
  </authors>
  <commentList>
    <comment ref="E3" authorId="0" shapeId="0" xr:uid="{19B443A7-853A-456F-ADD8-0782C5EFF0BD}">
      <text>
        <r>
          <rPr>
            <sz val="11"/>
            <color theme="1"/>
            <rFont val="Aptos Narrow"/>
            <family val="2"/>
            <scheme val="minor"/>
          </rPr>
          <t>Deuman: Requerimientos térmicos anuales relativos al área ocupada, según tipo de vivienda (kWh/m²·año) Universidad de la República 2021.</t>
        </r>
      </text>
    </comment>
    <comment ref="I3" authorId="0" shapeId="0" xr:uid="{0BE28CEA-820E-4B88-BF66-2F49A12A27DE}">
      <text>
        <r>
          <rPr>
            <sz val="11"/>
            <color theme="1"/>
            <rFont val="Aptos Narrow"/>
            <family val="2"/>
            <scheme val="minor"/>
          </rPr>
          <t xml:space="preserve">Deuman: FE del SIN (2024) 55,999 tCO2/GWh 
0,05999 tCO2/MWh 
</t>
        </r>
      </text>
    </comment>
    <comment ref="C4" authorId="0" shapeId="0" xr:uid="{AD30BAF3-50F4-4812-9EAD-32BACF813BA7}">
      <text>
        <r>
          <rPr>
            <sz val="11"/>
            <color theme="1"/>
            <rFont val="Aptos Narrow"/>
            <family val="2"/>
            <scheme val="minor"/>
          </rPr>
          <t xml:space="preserve">Deuman: Promedio entre los promedios 102,5 (ANV) y 171 web 
</t>
        </r>
      </text>
    </comment>
    <comment ref="C5" authorId="0" shapeId="0" xr:uid="{C4164B10-BDBB-4C0A-84FD-C1D897DD9CE2}">
      <text>
        <r>
          <rPr>
            <sz val="11"/>
            <color theme="1"/>
            <rFont val="Aptos Narrow"/>
            <family val="2"/>
            <scheme val="minor"/>
          </rPr>
          <t xml:space="preserve">Deuman: Promedio de promedios 62 m2 ANV-Mercado Inmobiliario 58 m2 Web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Victoria Rosarito Blasco Domínguez</author>
  </authors>
  <commentList>
    <comment ref="G3" authorId="0" shapeId="0" xr:uid="{A2D78FAE-19FC-4637-80E4-878E9AF2A29E}">
      <text>
        <r>
          <rPr>
            <sz val="11"/>
            <color theme="1"/>
            <rFont val="Aptos Narrow"/>
            <family val="2"/>
            <scheme val="minor"/>
          </rPr>
          <t xml:space="preserve">Deuman: FE del SIN (2024) 55,999 tCO2/GWh 
0,05999 tCO2/MWh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Deuman</author>
  </authors>
  <commentList>
    <comment ref="H25" authorId="0" shapeId="0" xr:uid="{4D41DB98-8F5F-4D73-AF33-2D251AB51745}">
      <text>
        <r>
          <rPr>
            <b/>
            <sz val="9"/>
            <color indexed="81"/>
            <rFont val="Tahoma"/>
            <family val="2"/>
          </rPr>
          <t>Deuman:</t>
        </r>
        <r>
          <rPr>
            <sz val="9"/>
            <color indexed="81"/>
            <rFont val="Tahoma"/>
            <family val="2"/>
          </rPr>
          <t xml:space="preserve">
Residuos y agua</t>
        </r>
      </text>
    </comment>
    <comment ref="J26" authorId="0" shapeId="0" xr:uid="{78D53AA1-EE9C-4C3D-B9B9-AD3694801356}">
      <text>
        <r>
          <rPr>
            <b/>
            <sz val="9"/>
            <color indexed="81"/>
            <rFont val="Tahoma"/>
            <family val="2"/>
          </rPr>
          <t>Deuman:</t>
        </r>
        <r>
          <rPr>
            <sz val="9"/>
            <color indexed="81"/>
            <rFont val="Tahoma"/>
            <family val="2"/>
          </rPr>
          <t xml:space="preserve">
Solo considerando Alcance 1 y 2</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Deuman</author>
    <author/>
    <author>tc={7A925967-7EF9-44E9-AF39-B3D9388EF582}</author>
    <author>tc={A29BE76B-98FD-4EBB-8288-17806D36A136}</author>
  </authors>
  <commentList>
    <comment ref="G30" authorId="0" shapeId="0" xr:uid="{F09F1C22-C86F-4FF5-91B3-BE935E83A837}">
      <text>
        <r>
          <rPr>
            <b/>
            <sz val="9"/>
            <color indexed="81"/>
            <rFont val="Tahoma"/>
            <family val="2"/>
          </rPr>
          <t>Deuman:</t>
        </r>
        <r>
          <rPr>
            <sz val="9"/>
            <color indexed="81"/>
            <rFont val="Tahoma"/>
            <family val="2"/>
          </rPr>
          <t xml:space="preserve">
Gasolina/Nafta
</t>
        </r>
      </text>
    </comment>
    <comment ref="G31" authorId="0" shapeId="0" xr:uid="{D518E5F5-CEDC-4859-8A8A-D44C4E0E1137}">
      <text>
        <r>
          <rPr>
            <b/>
            <sz val="9"/>
            <color indexed="81"/>
            <rFont val="Tahoma"/>
            <family val="2"/>
          </rPr>
          <t>Deuman:</t>
        </r>
        <r>
          <rPr>
            <sz val="9"/>
            <color indexed="81"/>
            <rFont val="Tahoma"/>
            <family val="2"/>
          </rPr>
          <t xml:space="preserve">
Gasolina/nafta</t>
        </r>
      </text>
    </comment>
    <comment ref="F42" authorId="1" shapeId="0" xr:uid="{0B31BAC0-9CC5-425A-B72C-C23F3CB41778}">
      <text>
        <r>
          <rPr>
            <sz val="11"/>
            <color theme="1"/>
            <rFont val="Aptos Narrow"/>
            <family val="2"/>
            <scheme val="minor"/>
          </rPr>
          <t>======
ID#AAABTpZ3ljA
Valeria Denisse Figueroa Bravo    (2022-04-28 13:44:15)
REVISAR</t>
        </r>
      </text>
    </comment>
    <comment ref="M42" authorId="1" shapeId="0" xr:uid="{ACC49F34-07C9-4CB9-BD14-296F7B95C97F}">
      <text>
        <r>
          <rPr>
            <sz val="11"/>
            <color theme="1"/>
            <rFont val="Aptos Narrow"/>
            <family val="2"/>
            <scheme val="minor"/>
          </rPr>
          <t>F.E * VCN 
======</t>
        </r>
      </text>
    </comment>
    <comment ref="S42" authorId="1" shapeId="0" xr:uid="{771785B3-974D-4C50-B1F3-D1E31EE70CB3}">
      <text>
        <r>
          <rPr>
            <sz val="11"/>
            <color theme="1"/>
            <rFont val="Aptos Narrow"/>
            <family val="2"/>
            <scheme val="minor"/>
          </rPr>
          <t>F.E. * VCN
======</t>
        </r>
      </text>
    </comment>
    <comment ref="B43" authorId="2" shapeId="0" xr:uid="{7A925967-7EF9-44E9-AF39-B3D9388EF582}">
      <text>
        <t>[Comentario encadenado]
Su versión de Excel le permite leer este comentario encadenado; sin embargo, las ediciones que se apliquen se quitarán si el archivo se abre en una versión más reciente de Excel. Más información: https://go.microsoft.com/fwlink/?linkid=870924
Comentario:
    5,4% biocombustible</t>
      </text>
    </comment>
    <comment ref="B44" authorId="3" shapeId="0" xr:uid="{A29BE76B-98FD-4EBB-8288-17806D36A136}">
      <text>
        <t>[Comentario encadenado]
Su versión de Excel le permite leer este comentario encadenado; sin embargo, las ediciones que se apliquen se quitarán si el archivo se abre en una versión más reciente de Excel. Más información: https://go.microsoft.com/fwlink/?linkid=870924
Comentario:
    9,1% biocombustible</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tc={09A52E61-1F91-4A0A-AFCD-101C536C71C3}</author>
    <author>tc={4E8D38B0-01A7-4CDE-B703-DD9EE0F00E38}</author>
  </authors>
  <commentList>
    <comment ref="F21" authorId="0" shapeId="0" xr:uid="{5A0724A4-82F4-4A9A-976F-2352B400701A}">
      <text>
        <r>
          <rPr>
            <sz val="11"/>
            <color theme="1"/>
            <rFont val="Aptos Narrow"/>
            <family val="2"/>
            <scheme val="minor"/>
          </rPr>
          <t>======
ID#AAABTpZ3ljA
Valeria Denisse Figueroa Bravo    (2022-04-28 13:44:15)
REVISAR</t>
        </r>
      </text>
    </comment>
    <comment ref="O22" authorId="0" shapeId="0" xr:uid="{57C79082-DAF2-4DD8-B513-F0F16642A59F}">
      <text>
        <r>
          <rPr>
            <sz val="11"/>
            <color theme="1"/>
            <rFont val="Aptos Narrow"/>
            <family val="2"/>
            <scheme val="minor"/>
          </rPr>
          <t>F.E * VCN 
======</t>
        </r>
      </text>
    </comment>
    <comment ref="U22" authorId="0" shapeId="0" xr:uid="{C66EAEED-F070-4C89-B15A-0EB9C488E7D0}">
      <text>
        <r>
          <rPr>
            <sz val="11"/>
            <color theme="1"/>
            <rFont val="Aptos Narrow"/>
            <family val="2"/>
            <scheme val="minor"/>
          </rPr>
          <t>F.E. * VCN
======</t>
        </r>
      </text>
    </comment>
    <comment ref="B27" authorId="1" shapeId="0" xr:uid="{09A52E61-1F91-4A0A-AFCD-101C536C71C3}">
      <text>
        <t>[Comentario encadenado]
Su versión de Excel le permite leer este comentario encadenado; sin embargo, las ediciones que se apliquen se quitarán si el archivo se abre en una versión más reciente de Excel. Más información: https://go.microsoft.com/fwlink/?linkid=870924
Comentario:
    5,4% biocombustible</t>
      </text>
    </comment>
    <comment ref="B28" authorId="2" shapeId="0" xr:uid="{4E8D38B0-01A7-4CDE-B703-DD9EE0F00E38}">
      <text>
        <t>[Comentario encadenado]
Su versión de Excel le permite leer este comentario encadenado; sin embargo, las ediciones que se apliquen se quitarán si el archivo se abre en una versión más reciente de Excel. Más información: https://go.microsoft.com/fwlink/?linkid=870924
Comentario:
    9,1% biocombustible</t>
      </text>
    </comment>
  </commentList>
</comments>
</file>

<file path=xl/sharedStrings.xml><?xml version="1.0" encoding="utf-8"?>
<sst xmlns="http://schemas.openxmlformats.org/spreadsheetml/2006/main" count="1518" uniqueCount="826">
  <si>
    <t>Medición de Huella de Carbono en sectores estratégicos de Uruguay
"Base de datos de factores de emisión para el cálculo de emisiones financiadas para el sector financiero de Uruguay"</t>
  </si>
  <si>
    <t>En este excel se presentan los factores de emisión recopilados para el cálculo de emisiones financiadas para el sector financiero de Uruguay:</t>
  </si>
  <si>
    <t>ítem</t>
  </si>
  <si>
    <t>Factores de emisión</t>
  </si>
  <si>
    <t xml:space="preserve">Enlace </t>
  </si>
  <si>
    <t>Fuentes Complementarias</t>
  </si>
  <si>
    <t>Fuentes Complementarias '!A1</t>
  </si>
  <si>
    <t>Por sector económico (2016)</t>
  </si>
  <si>
    <t>Sector Económico 2016'!A1</t>
  </si>
  <si>
    <t>Por sector económico (2017)</t>
  </si>
  <si>
    <t>Sector Económico 2017'!A1</t>
  </si>
  <si>
    <t>Por sector económico (2022)</t>
  </si>
  <si>
    <t xml:space="preserve"> Sector Económico'!A1</t>
  </si>
  <si>
    <t>Por consumo de Hoteles</t>
  </si>
  <si>
    <t>Consumos_ Hotel'!A1</t>
  </si>
  <si>
    <t>Por consumo de Hogares</t>
  </si>
  <si>
    <t>Consumos_Retail!A1</t>
  </si>
  <si>
    <t xml:space="preserve">Por consumo de Edificios </t>
  </si>
  <si>
    <t>Consumos_Edificios!A1</t>
  </si>
  <si>
    <t>Por vehículos</t>
  </si>
  <si>
    <t>Vehículos '!A1</t>
  </si>
  <si>
    <t>Por deuda soberana</t>
  </si>
  <si>
    <t>Deuda Soberana '!A1</t>
  </si>
  <si>
    <t>Proyectos proxy</t>
  </si>
  <si>
    <t>Proyectos_Proxy!A1</t>
  </si>
  <si>
    <t xml:space="preserve">Datos Generales Inmuebles </t>
  </si>
  <si>
    <t>Datos Inmuebles'!A1</t>
  </si>
  <si>
    <t>Datos Generales Energía</t>
  </si>
  <si>
    <t>Datos_Comple Energía'!A1</t>
  </si>
  <si>
    <t>Fuentes de factores de emisión complementarias</t>
  </si>
  <si>
    <t>Fuente</t>
  </si>
  <si>
    <t xml:space="preserve">Tipo de información disponible </t>
  </si>
  <si>
    <t xml:space="preserve">Ejemplo de uso </t>
  </si>
  <si>
    <t>Enlace de referencia</t>
  </si>
  <si>
    <t>CDP (Carbon Disclosure Project)</t>
  </si>
  <si>
    <t xml:space="preserve">Declaraciones voluntarias de empresas globales sobre GEI, agua y bosque </t>
  </si>
  <si>
    <t xml:space="preserve">Buscar empresas internacionales del portafolio </t>
  </si>
  <si>
    <t>https://data.cdp.net/</t>
  </si>
  <si>
    <t>UN Global Compact – Communication on Progress (CoP)</t>
  </si>
  <si>
    <t>Empresas adheridas al Pacto Global de la ONU, con reportes anuales de sostenibilidad.</t>
  </si>
  <si>
    <t xml:space="preserve">Empresas uruguayas adheridas </t>
  </si>
  <si>
    <t>https://unglobalcompact.org/what-is-gc/participants/search?search%5Bkeywords%5D=&amp;search%5Bcountries%5D%5B%5D=210&amp;search%5Bsort_field%5D=&amp;search%5Bsort_direction%5D=asc&amp;search%5Bper_page%5D=10</t>
  </si>
  <si>
    <t xml:space="preserve">Plataforma Consumo Vehicular-  Chile  </t>
  </si>
  <si>
    <t xml:space="preserve">Información sobre rendimiento de combustible por modelo especifico de vehículos.
Emisiones de CO2 por modelo (g/km) 
Registro de eficiencia validado por el Ministerio de Energía de Chile </t>
  </si>
  <si>
    <t xml:space="preserve">Referencia complementaria para verificar la eficiencia energética de modelos específicos de vehículos en Chile. </t>
  </si>
  <si>
    <t xml:space="preserve">https://www.consumovehicular.cl/comparador </t>
  </si>
  <si>
    <t>US Energy Use Intensity by Property Type- Energy Star- EPA</t>
  </si>
  <si>
    <t xml:space="preserve">Información sobre consumo energético por dimensión y tipo de propiedad de los Estados Unidos. </t>
  </si>
  <si>
    <t>Referencia para buscar consumos energéticos de un tipo de establecimiento específico.</t>
  </si>
  <si>
    <t>US Energy Use Intensity by Property Type</t>
  </si>
  <si>
    <t>Supply Chain Greenhouse Gas Emission Factors v1.2 (USEEIO – EPA, NAICS-6)</t>
  </si>
  <si>
    <t>Factores de emisión económicos por sector (kg CO₂e por USD 2021).
Más de 400 sectores detallados según clasificación NAICS a 6 dígitos.
Incluye emisiones directas + indirectas (Scope 1, 2 y parte de 3 de cadena de suministro).
Factores con y sin márgenes de la cadena (transporte, comercialización).
Basado en el modelo EEIO oficial de Estados Unidos (USEEIO v1.2).</t>
  </si>
  <si>
    <t>Construcción de proxies sectoriales cuando el país no cuenta con intensidades económicas
Asignar emisiones estimadas a empresas cuya información de emisiones o actividad física no está disponible, pero sí se conoce su sector económico.</t>
  </si>
  <si>
    <t xml:space="preserve">https://catalog.data.gov/dataset/supply-chain-greenhouse-gas-emission-factors-v1-2-by-naics-6 </t>
  </si>
  <si>
    <t>Herramienta de Cálculo de Huella de Carbono del Sector Industrial – Ministerio de Ambiente (Uruguay)</t>
  </si>
  <si>
    <t>Calculadora oficial para estimar la huella de carbono del sector industrial; incluye guías metodológicas, factores de emisión</t>
  </si>
  <si>
    <t>Una empresa puede utilizar la herramienta para estimar sus emisiones, identificar sus principales fuentes y preparar información inicial antes de implementar un plan de mitigación o solicitar financiamiento verde.</t>
  </si>
  <si>
    <t xml:space="preserve">Herramienta de Cálculo de Huella de Carbono del Sector Industrial | MA
</t>
  </si>
  <si>
    <t>Programa Impulsa Industria – Medición de Huella de Carbono</t>
  </si>
  <si>
    <t>Servicio de acompañamiento técnico para que empresas industriales desarrollen su inventario de GEI siguiendo estándares reconocidos; incluye capacitación, diagnósticos y asistencia personalizada.</t>
  </si>
  <si>
    <t>Las instituciones financieras pueden recomendar a sus clientes participar para obtener un inventario de GEI robusto, mejorar su desempeño ambiental y prepararse para requisitos de financiamiento sostenible</t>
  </si>
  <si>
    <t>https://impulsaindustria.com.uy/medicion-de-huella-de-carbono/</t>
  </si>
  <si>
    <t>Fuentes de factores de emisión por sector económico</t>
  </si>
  <si>
    <t>Código CIIU</t>
  </si>
  <si>
    <t xml:space="preserve">Sector </t>
  </si>
  <si>
    <t>Emisiones (tCO₂e)</t>
  </si>
  <si>
    <t>Fuente  y año</t>
  </si>
  <si>
    <t>Valor económico (UYU)</t>
  </si>
  <si>
    <t>Valor económico ( USD)</t>
  </si>
  <si>
    <t xml:space="preserve">Fuente y año </t>
  </si>
  <si>
    <t>Proxy (tCO2/UYU)</t>
  </si>
  <si>
    <t>Proxy (tCO2/1000 UYU)</t>
  </si>
  <si>
    <t>Proxy (tCO2/USD)</t>
  </si>
  <si>
    <t>Proxy (tCO2/1000 USD)</t>
  </si>
  <si>
    <t xml:space="preserve">Comentario </t>
  </si>
  <si>
    <t xml:space="preserve">Data quality score </t>
  </si>
  <si>
    <t>A 014</t>
  </si>
  <si>
    <t xml:space="preserve">Ganadería </t>
  </si>
  <si>
    <t>Inventario GEI (2016)</t>
  </si>
  <si>
    <t>BCU – VAB por Industria (2016).</t>
  </si>
  <si>
    <t>Emisiones totales del sector Ganado (cat. 3.A) del Inventario Nacional de GEI (2016), incluyendo emisiones originalmente reportadas bajo AFOLU (3.C.4, 3.C.5 y 3.C.6) atribuibles a la actividad ganadera. Esta reclasificación se realiza con el fin de representar de manera más completa las emisiones asociadas al sector. Las emisiones fueron convertidas a toneladas de CO₂e
El valor económico del sector Ganadería corresponde al Valor Agregado Bruto (VAB) agregado de las actividades A.8 (Producción de leche y productos lácteos elaborados en predio) y A.9 (Cría de ganado vacuno, ovino, caprino y caballar, excepto producción de leche), reportado por la Cuenta de Producción por Industrias del Banco Central del Uruguay (BCU), expresado en millones de pesos constantes base 2016.</t>
  </si>
  <si>
    <t>4 – Las emisiones se estiman a partir de la actividad económica sectorial nacional combinando las emisiones reportadas por el Inventario Nacional de GEI con el valor económico sectorial reportado por el BCU. Este enfoque corresponde al uso de factores de emisión por unidad de ingreso sectorial según la jerarquía metodológica de PCAF.</t>
  </si>
  <si>
    <t>A 011-013</t>
  </si>
  <si>
    <t xml:space="preserve">Agricultura </t>
  </si>
  <si>
    <t>Emisiones totales del sector Agricultura del Inventario Nacional de GEI (2016), correspondientes a las subcategorías 3.C del sector AFOLU asociadas a actividades agrícolas, excluyendo aquellas emisiones atribuibles a la actividad ganadera, con el fin de evitar doble contabilización con el sector Ganadería. Las emisiones fueron convertidas a toneladas de CO₂e. 
El valor económico del sector Agricultura corresponde al Valor Agregado Bruto (VAB) agregado de las actividades agrícolas A.1 a A.7, según la clasificación de la Cuenta de Producción por Industrias del Banco Central del Uruguay (BCU), reportado en millones de pesos constantes base 2016.</t>
  </si>
  <si>
    <t>D 35</t>
  </si>
  <si>
    <t xml:space="preserve">Producción de electricidad y calor </t>
  </si>
  <si>
    <t>Emisiones totales de la subcategoría 1.A.1.a (“Producción de electricidad y calor”) del Inventario Nacional de GEI (2016), desagregada específicamente dentro del grupo 1.A.1 “Industrias de la energía” para aislar las emisiones de generación eléctrica y suministro de calor/vapor, convertidas a toneladas de CO₂e. 
El valor económico del sector corresponde al Valor Agregado Bruto (VAB) agregado de los sectores D1 (Generación, transmisión y distribución eléctrica) y D2 (Fabricación de gas, vapor y aire acondicionado), reportado por la Cuenta de Producción por Industrias del Banco Central del Uruguay (BCU), expresado en millones de pesos constantes base 2016.</t>
  </si>
  <si>
    <t>H 49-53</t>
  </si>
  <si>
    <t xml:space="preserve">Transporte </t>
  </si>
  <si>
    <t>Emisiones totales 1.A.3 (Transporte) del Inventario Nacional de GEI (2016) Valor económico del sector obtenido del Valor Agregado Bruto (VAB) del sector Transporte y almacenamiento (subsectores H.1–H.6), reportado por la Cuenta de Producción por Industrias del Banco Central del Uruguay (BCU), expresado en millones de pesos constantes base 2016.</t>
  </si>
  <si>
    <t>F 41-43</t>
  </si>
  <si>
    <t xml:space="preserve">Construcción </t>
  </si>
  <si>
    <t>Emisiones totales de la subcategoría 1.A.2.k (Construcción) del Inventario Nacional de GEI (2022), convertidas a toneladas de CO₂e. Esta subcategoría corresponde a las emisiones por uso de combustibles en actividades de construcción incluidas dentro del grupo 1.A.2 “Industrias manufactureras y de la construcción”. El valor económico del sector se obtuvo del Valor Agregado Bruto (VAB) de los subsectores F.1 (Construcción de edificios y otras actividades especializadas de construcción) y F.2 (Otras construcciones), reportados por la Cuenta de Producción por Industrias del Banco Central del Uruguay (BCU), expresados en millones de pesos constantes base 2016.</t>
  </si>
  <si>
    <t>C 13-15</t>
  </si>
  <si>
    <t xml:space="preserve">Textil y Cuero </t>
  </si>
  <si>
    <t>Emisiones de la subcategoría 1.A.2.l del INGEI 2022; VAB obtenido de los sectores C16, C17 y C18 del BCU en pesos constantes 2016.</t>
  </si>
  <si>
    <t>Inventario GEI (2017)</t>
  </si>
  <si>
    <t>BCU – VAB por Industria (2017).</t>
  </si>
  <si>
    <t>Emisiones totales del sector Ganado (cat. 3.A) del Inventario Nacional de GEI (2017), incluyendo emisiones originalmente reportadas bajo AFOLU (3.C.4, 3.C.5 y 3.C.6) atribuibles a la actividad ganadera. Esta reclasificación se realiza con el fin de representar de manera más completa las emisiones asociadas al sector. Las emisiones fueron convertidas a toneladas de CO₂e
El valor económico del sector Ganadería corresponde al Valor Agregado Bruto (VAB) agregado de las actividades A.8 (Producción de leche y productos lácteos elaborados en predio) y A.9 (Cría de ganado vacuno, ovino, caprino y caballar, excepto producción de leche), reportado por la Cuenta de Producción por Industrias del Banco Central del Uruguay (BCU), expresado en millones de pesos constantes base 2017.</t>
  </si>
  <si>
    <t>4- Emisiones se estiamn a partir de la actividad economica sectorial nacional combinando con el valor de producción reportado por FAOSTAT. Este enfoque corresponde al uso de FE por unidad de ingreso sectorial.</t>
  </si>
  <si>
    <r>
      <t xml:space="preserve">Emisiones totales del sector Agricultura del Inventario Nacional de GEI (2017), correspondientes a las subcategorías 3.C del sector AFOLU asociadas a actividades agrícolas, </t>
    </r>
    <r>
      <rPr>
        <i/>
        <sz val="10"/>
        <color theme="1"/>
        <rFont val="Nunito"/>
      </rPr>
      <t>excluyendo aquellas emisiones atribuibles a la actividad ganadera</t>
    </r>
    <r>
      <rPr>
        <sz val="10"/>
        <color theme="1"/>
        <rFont val="Nunito"/>
      </rPr>
      <t>, con el fin de evitar doble contabilización con el sector Ganadería. Las emisiones fueron convertidas a toneladas de CO₂e. 
El valor económico del sector Agricultura corresponde al Valor Agregado Bruto (VAB) agregado de las actividades agrícolas A.1 a A.7, según la clasificación de la Cuenta de Producción por Industrias del Banco Central del Uruguay (BCU), reportado en millones de pesos constantes base 2017.</t>
    </r>
  </si>
  <si>
    <t>4- Emisiones se estiman a partir de la actividad economica sectorial nacional combinando con el valor de producción reportado por FAOSTAT. Este enfoque corresponde al uso de FE por unidad de ingreso sectorial.</t>
  </si>
  <si>
    <t>Emisiones totales de la subcategoría 1.A.1.a (“Producción de electricidad y calor”) del Inventario Nacional de GEI (2017), desagregada específicamente dentro del grupo 1.A.1 “Industrias de la energía” para aislar las emisiones de generación eléctrica y suministro de calor/vapor, convertidas a toneladas de CO₂e. 
El valor económico del sector corresponde al Valor Agregado Bruto (VAB) agregado de los sectores D1 (Generación, transmisión y distribución eléctrica) y D2 (Fabricación de gas, vapor y aire acondicionado), reportado por la Cuenta de Producción por Industrias del Banco Central del Uruguay (BCU), expresado en millones de pesos constantes base 2017.</t>
  </si>
  <si>
    <t>Emisiones totales 1.A.3 (Transporte) del Inventario Nacional de GEI (2017).
Valor económico del sector obtenido del Valor Agregado Bruto (VAB) del sector Transporte y almacenamiento (subsectores H.1–H.6), reportado por la Cuenta de Producción por Industrias del Banco Central del Uruguay (BCU), expresado en millones de pesos constantes base 2017.</t>
  </si>
  <si>
    <t>Emisiones totales de la subcategoría 1.A.2.k (Construcción) del Inventario Nacional de GEI (2017), convertidas a toneladas de CO₂e. Esta subcategoría corresponde a las emisiones por uso de combustibles en actividades de construcción incluidas dentro del grupo 1.A.2 “Industrias manufactureras y de la construcción”. 
El valor económico del sector se obtuvo del Valor Agregado Bruto (VAB) de los subsectores F.1 (Construcción de edificios y otras actividades especializadas de construcción) y F.2 (Otras construcciones), reportados por la Cuenta de Producción por Industrias del Banco Central del Uruguay (BCU), expresados en millones de pesos constantes base 2017.</t>
  </si>
  <si>
    <t>Emisiones de la subcategoría 1.A.2.l del INGEI 2017; VAB obtenido de los sectores C16, C17 y C18 del BCU en pesos constantes 2017.</t>
  </si>
  <si>
    <t>Inventario GEI (2022)</t>
  </si>
  <si>
    <t>BCU – VAB por Industria (20).</t>
  </si>
  <si>
    <r>
      <t xml:space="preserve">Emisiones totales del sector Ganadería (cat. 3.A) del Inventario Nacional de GEI (2022), incluyendo emisiones reportadas bajo AFOLU 3.C.6 – Emisiones indirectas de N₂O provenientes de la gestión del estiércol, atribuibles a la actividad ganadera. Esta reclasificación se realiza con el fin de representar de manera más completa las emisiones asociadas al sector. Las emisiones fueron convertidas a toneladas de CO₂e.
El valor económico del sector Ganadería corresponde al Valor Agregado Bruto (VAB) agregado de las actividades A.8 (Producción de leche y productos lácteos elaborados en predio) y A.9 (Cría de ganado vacuno, ovino, caprino y caballar, excepto producción de leche), reportado por la Cuenta de Producción por Industrias del Banco Central del Uruguay (BCU), expresado en millones de pesos constantes base </t>
    </r>
    <r>
      <rPr>
        <b/>
        <sz val="9.5"/>
        <color rgb="FFFF0000"/>
        <rFont val="Nunito"/>
      </rPr>
      <t>AÑO</t>
    </r>
  </si>
  <si>
    <r>
      <t xml:space="preserve">Emisiones totales del sector Agricultura del Inventario Nacional de GEI (2022), correspondientes a subcategorías 3.C del sector AFOLU asociadas a actividades agrícolas((3.C.1, 3.C.3, 3.C.7, 3.C.4 y 3.C.5), excluyendo aquellas emisiones atribuibles explícitamente a la actividad ganadera, con el fin de evitar doble contabilización con el sector Ganadería. Las emisiones fueron convertidas a toneladas de CO₂e.
</t>
    </r>
    <r>
      <rPr>
        <b/>
        <sz val="9.5"/>
        <color rgb="FFFF0000"/>
        <rFont val="Nunito"/>
      </rPr>
      <t xml:space="preserve"> </t>
    </r>
    <r>
      <rPr>
        <sz val="9.5"/>
        <color theme="1"/>
        <rFont val="Nunito"/>
      </rPr>
      <t xml:space="preserve">El valor económico del sector Agricultura corresponde al Valor Agregado Bruto (VAB) agregado de las actividades agrícolas A.1 a A.7, según la clasificación de la Cuenta de Producción por Industrias del Banco Central del Uruguay (BCU), reportado en millones de pesos constantes base </t>
    </r>
    <r>
      <rPr>
        <b/>
        <sz val="9.5"/>
        <color rgb="FFFF0000"/>
        <rFont val="Nunito"/>
      </rPr>
      <t xml:space="preserve">AÑO </t>
    </r>
  </si>
  <si>
    <r>
      <t xml:space="preserve">Emisiones totales de la subcategoría 1.A.1.a (“Producción de electricidad y calor”) del Inventario Nacional de GEI (2022), desagregada específicamente dentro del grupo 1.A.1 “Industrias de la energía” para aislar las emisiones de generación eléctrica y suministro de calor/vapor, convertidas a toneladas de CO₂e.
El valor económico del sector corresponde al Valor Agregado Bruto (VAB) agregado de los sectores D1 (Generación, transmisión y distribución eléctrica) y D2 (Fabricación de gas, vapor y aire acondicionado), reportado por la Cuenta de Producción por Industrias del Banco Central del Uruguay (BCU), expresado en millones de pesos constantes base </t>
    </r>
    <r>
      <rPr>
        <b/>
        <sz val="10"/>
        <color rgb="FFFF0000"/>
        <rFont val="Nunito"/>
      </rPr>
      <t>AÑO.</t>
    </r>
  </si>
  <si>
    <r>
      <t xml:space="preserve">Emisiones totales 1.A.3 (Transporte) del Inventario Nacional de GEI (2022) .
Valor económico del sector obtenido del Valor Agregado Bruto (VAB) del sector Transporte y almacenamiento (subsectores H.1–H.6), reportado por la Cuenta de Producción por Industrias del Banco Central del Uruguay (BCU), expresado en millones de pesos constantes base </t>
    </r>
    <r>
      <rPr>
        <b/>
        <sz val="10"/>
        <color rgb="FFFF0000"/>
        <rFont val="Nunito"/>
      </rPr>
      <t>AÑO</t>
    </r>
  </si>
  <si>
    <r>
      <t xml:space="preserve">Emisiones totales de la subcategoría 1.A.2.k (Construcción) del Inventario Nacional de GEI (2022), convertidas a toneladas de CO₂e. Esta subcategoría corresponde a las emisiones por uso de combustibles en actividades de construcción incluidas dentro del grupo 1.A.2 “Industrias manufactureras y de la construcción”. 
El valor económico del sector se obtuvo del Valor Agregado Bruto (VAB) de los subsectores F.1 (Construcción de edificios y otras actividades especializadas de construcción) y F.2 (Otras construcciones), reportados por la Cuenta de Producción por Industrias del Banco Central del Uruguay (BCU), expresados en millones de pesos constantes base </t>
    </r>
    <r>
      <rPr>
        <b/>
        <sz val="10"/>
        <color rgb="FFFF0000"/>
        <rFont val="Nunito"/>
      </rPr>
      <t>AÑO.</t>
    </r>
  </si>
  <si>
    <r>
      <t xml:space="preserve">Emisiones de la subcategoría 1.A.2.l del INGEI 2022; VAB obtenido de los sectores C16, C17 y C18 del BCU en pesos constantes </t>
    </r>
    <r>
      <rPr>
        <b/>
        <sz val="10"/>
        <color rgb="FFFF0000"/>
        <rFont val="Nunito"/>
      </rPr>
      <t>AÑO</t>
    </r>
    <r>
      <rPr>
        <sz val="10"/>
        <color theme="1"/>
        <rFont val="Nunito"/>
      </rPr>
      <t>.</t>
    </r>
  </si>
  <si>
    <t xml:space="preserve">Fuentes de factores de emisión de consumo - Promedio Regional Hotel </t>
  </si>
  <si>
    <t>Tipo de edificio</t>
  </si>
  <si>
    <t>Intensidad de emisiones (tCO₂e/m²)</t>
  </si>
  <si>
    <t>Intensidad energética (kWh/m²)</t>
  </si>
  <si>
    <t>Nivel de calidad (DQS)</t>
  </si>
  <si>
    <t>Hotel (LatAm/Global)</t>
  </si>
  <si>
    <t>Hilton Sustainability Report 2023
Hyatt ESG Report 2024
Marriott ESG Report  2023</t>
  </si>
  <si>
    <t>Información adicional</t>
  </si>
  <si>
    <t>Hotel</t>
  </si>
  <si>
    <t>Tipo de actividad</t>
  </si>
  <si>
    <t xml:space="preserve">País </t>
  </si>
  <si>
    <t xml:space="preserve">Año Reporte </t>
  </si>
  <si>
    <t xml:space="preserve">Intensidad de emisiones </t>
  </si>
  <si>
    <t xml:space="preserve">Unidad de medida </t>
  </si>
  <si>
    <t>Intensidad de emisiones (tCO2e/m2)</t>
  </si>
  <si>
    <t xml:space="preserve">Consumo total </t>
  </si>
  <si>
    <t>Unidad de medida 2</t>
  </si>
  <si>
    <t>Intensidad energética (MWh/m²)</t>
  </si>
  <si>
    <t xml:space="preserve">Harriot Internacional </t>
  </si>
  <si>
    <t xml:space="preserve">Hotel </t>
  </si>
  <si>
    <t xml:space="preserve">General </t>
  </si>
  <si>
    <t>tCO₂e/m²</t>
  </si>
  <si>
    <t> </t>
  </si>
  <si>
    <t xml:space="preserve">Caribe y Latam </t>
  </si>
  <si>
    <t>kgCO₂e/m²</t>
  </si>
  <si>
    <t xml:space="preserve">Hyatt Franchise </t>
  </si>
  <si>
    <t xml:space="preserve">General y Franquicias </t>
  </si>
  <si>
    <t>MWh</t>
  </si>
  <si>
    <t xml:space="preserve">Hilton </t>
  </si>
  <si>
    <t>Promedio Regional</t>
  </si>
  <si>
    <t>Fuentes de factores de emisión de consumo: Hogares</t>
  </si>
  <si>
    <t xml:space="preserve">Tipo de vivienda </t>
  </si>
  <si>
    <t>Tamaño Promedio (m2)</t>
  </si>
  <si>
    <t>Consumo promedio (kWh/año/vivienda)</t>
  </si>
  <si>
    <t>Intensidad total(kWh/m2*año)</t>
  </si>
  <si>
    <t>Intensidad eléctrica (kWh/m2*año)</t>
  </si>
  <si>
    <t>Intesidad GLP (kWh/m2*año)</t>
  </si>
  <si>
    <t>Intesidad Gas Natural (kWh/m2*año)</t>
  </si>
  <si>
    <t>Factor de emisión Electricidad (tCO2e/kWh)</t>
  </si>
  <si>
    <t>Emisiones estimadas (Electricidad) (tCO2e/m2*año)</t>
  </si>
  <si>
    <t>Factor de emisión Supergas (tCO2e/kWh)</t>
  </si>
  <si>
    <t>Emisiones estimadas (Supergas) (tCO2e/m2*año)</t>
  </si>
  <si>
    <t>Factor de emisión Gas Natural (tCO2e/kWh)</t>
  </si>
  <si>
    <t>Emisiones estimadas (Gas Natural) (tCO2e/m2*año)</t>
  </si>
  <si>
    <t>Emisiones totales (tCO2e/m2*año)</t>
  </si>
  <si>
    <t>Emisiontes totales por vivienda promedio</t>
  </si>
  <si>
    <t>Nivel de calidad (Score)</t>
  </si>
  <si>
    <t xml:space="preserve">Casa promedio </t>
  </si>
  <si>
    <t xml:space="preserve">Universidad de la República (UdelaR). 2021.
Miniesterio de Ambiente. BEN 2023.
ANV 
Inmobiliaria PROP </t>
  </si>
  <si>
    <t xml:space="preserve">Apartamento promedio </t>
  </si>
  <si>
    <t xml:space="preserve">Universidad de la República (UdelaR). 2021.
Miniesterio de Ambiente 
BEN 2023 
ANV 
Inmobiliaria PROP </t>
  </si>
  <si>
    <t>Fuentes de factores de emisión de consumo: Edificios</t>
  </si>
  <si>
    <t xml:space="preserve">Tipo de edificio </t>
  </si>
  <si>
    <t>Intensidad energética total (kWh/m²·año)</t>
  </si>
  <si>
    <t>Intensidad eléctrica (kWh/m²·año)</t>
  </si>
  <si>
    <t>Intensidad GLP (kWh/m²·año)</t>
  </si>
  <si>
    <t>Intensidad GN (kWh/m²·año)</t>
  </si>
  <si>
    <t xml:space="preserve">Oficina </t>
  </si>
  <si>
    <t xml:space="preserve">ENERGY STAR (EPA, 2024). Energy Use Intensity – National Median Values.
CEPAL (2024). Estudio sobre eficiencia energética en América Latina. División de Recursos Naturales. Basado en datos de OLADE (2023).
Miniesterio de Ambiente 
BEN 2023 </t>
  </si>
  <si>
    <t>Edificio comercial general (Servicios/tienda ligera)</t>
  </si>
  <si>
    <t>Restaurante (Restaurant – servicio completo)</t>
  </si>
  <si>
    <t>Información Adicional: Tabla de conversión de intensidades de consumo</t>
  </si>
  <si>
    <t>Valores de Energy Start (Site EUI, consumo medido en facturas)</t>
  </si>
  <si>
    <t>Tipo de edificio (proxy)</t>
  </si>
  <si>
    <t>Site EUI (kBtu/ft²·año)</t>
  </si>
  <si>
    <t>Site EUI (kWh/m²·año)</t>
  </si>
  <si>
    <t>Edificio comercial general (servicios/tienda ligera)</t>
  </si>
  <si>
    <t>Restaurante (servicio completo)</t>
  </si>
  <si>
    <t>Conversión: 1 kBtu/ft²·año = 3,1546 kWh/m²·año</t>
  </si>
  <si>
    <t>Fuente: ENERGY STAR®. ENERGY USE INTENSITY (EUI) – National Median Values. (EPA, 2024)</t>
  </si>
  <si>
    <t xml:space="preserve">Sector Comercial y Servicios (Edificios corporativos , Hotel, resutaruantes, etc) Regional </t>
  </si>
  <si>
    <t xml:space="preserve">Fuente energética  </t>
  </si>
  <si>
    <t xml:space="preserve">Proporcion </t>
  </si>
  <si>
    <t xml:space="preserve">Porcentaje </t>
  </si>
  <si>
    <t xml:space="preserve">Electricidad </t>
  </si>
  <si>
    <t xml:space="preserve">GLP </t>
  </si>
  <si>
    <t xml:space="preserve">Gas natural </t>
  </si>
  <si>
    <t xml:space="preserve">Energía total </t>
  </si>
  <si>
    <t>CEPAL (2024) – Eficiencia energética en la transición sostenible e inclusiva de ALC, análisis regional del sector comercial/servicios (intensidad y matriz por fuente)</t>
  </si>
  <si>
    <t xml:space="preserve">Fuentes de factores de emisión de consumo: Promedio regional Retail </t>
  </si>
  <si>
    <t>Emisiones totales promedio (tCO₂e/año)</t>
  </si>
  <si>
    <t>Consumo energético total promedio (kWh/año)</t>
  </si>
  <si>
    <t>Intensidad de emisiones (tCO₂e/m²·año)</t>
  </si>
  <si>
    <t>Intensidad energética (kWh/m²·año)</t>
  </si>
  <si>
    <t>Nivel de calidad de datos (DQS)</t>
  </si>
  <si>
    <t>Retail (tiendas, supermercados, centros comerciales)</t>
  </si>
  <si>
    <t>Cencosud (Reporte Integrado 2024) 
Falabella Retail (Reporte de Sostenibilidad 2023)</t>
  </si>
  <si>
    <t xml:space="preserve">Información Adicional </t>
  </si>
  <si>
    <t xml:space="preserve">Promedio regional Retail </t>
  </si>
  <si>
    <t>Empresa</t>
  </si>
  <si>
    <t>País</t>
  </si>
  <si>
    <t>Año</t>
  </si>
  <si>
    <t>Alcance 1 (tCO₂e)</t>
  </si>
  <si>
    <t>Alcance 2 LB (tCO₂e)</t>
  </si>
  <si>
    <t>Alcance 2 MB (tCO₂e)</t>
  </si>
  <si>
    <t>Alcance 3 (tCO₂e)</t>
  </si>
  <si>
    <t>Total S1+S2 MB (tCO₂e)</t>
  </si>
  <si>
    <t>Consumo total (kWh)</t>
  </si>
  <si>
    <t>Energía renovable (kWh)</t>
  </si>
  <si>
    <t>Energía no renovable (kWh)</t>
  </si>
  <si>
    <t>% energía renovable</t>
  </si>
  <si>
    <t>Cencosud</t>
  </si>
  <si>
    <t>Argentina, Brasil, Chile, Colombia, Estados Unidos, Perú, Uruguay (Hub Tecnológico)</t>
  </si>
  <si>
    <t>Falabella Retail</t>
  </si>
  <si>
    <t>Chile</t>
  </si>
  <si>
    <t>88 000 000</t>
  </si>
  <si>
    <t>69 000 000</t>
  </si>
  <si>
    <t>19 000 000</t>
  </si>
  <si>
    <t>Perú</t>
  </si>
  <si>
    <t>50 000 000</t>
  </si>
  <si>
    <t>75 700 000</t>
  </si>
  <si>
    <t>26 000 000</t>
  </si>
  <si>
    <t>Colombia</t>
  </si>
  <si>
    <t>39 200 000</t>
  </si>
  <si>
    <t xml:space="preserve">Promedio región  </t>
  </si>
  <si>
    <t>Datos 2024 — Cencosud, consolidado regional</t>
  </si>
  <si>
    <t xml:space="preserve">Paises </t>
  </si>
  <si>
    <t>Alcance 1 (ktCO₂e)</t>
  </si>
  <si>
    <t>Alcance 2 LB (ktCO₂e)</t>
  </si>
  <si>
    <t>Alcance 2 MB (ktCO₂e)</t>
  </si>
  <si>
    <r>
      <t>Alcance 3 (</t>
    </r>
    <r>
      <rPr>
        <b/>
        <i/>
        <sz val="10"/>
        <color theme="0"/>
        <rFont val="Nunito"/>
      </rPr>
      <t>residuos+agua</t>
    </r>
    <r>
      <rPr>
        <b/>
        <sz val="10"/>
        <color theme="0"/>
        <rFont val="Nunito"/>
      </rPr>
      <t>) (ktCO₂e)</t>
    </r>
  </si>
  <si>
    <t>Total S1+S2 LB (ktCO₂e)</t>
  </si>
  <si>
    <t>Intensidad emisiones (tCO₂e/m²)</t>
  </si>
  <si>
    <t>Consumo total (MWh)</t>
  </si>
  <si>
    <t>Energía renovable (MWh)</t>
  </si>
  <si>
    <t>Energía no renovable (MWh)</t>
  </si>
  <si>
    <t xml:space="preserve">Argentina, Brasil, Chile, Colombia, Estados Unidos, Perú, Uruguay (Hub Tecnologico) </t>
  </si>
  <si>
    <t>1 385 602</t>
  </si>
  <si>
    <t>497 595</t>
  </si>
  <si>
    <t>888 006</t>
  </si>
  <si>
    <t>Falabella 2023</t>
  </si>
  <si>
    <t xml:space="preserve">Año </t>
  </si>
  <si>
    <t xml:space="preserve">Alcance 1 tCO2 eq </t>
  </si>
  <si>
    <t xml:space="preserve">Alcance 2 tCO2 eq MB </t>
  </si>
  <si>
    <t>Alcance 3 tCO2 eq</t>
  </si>
  <si>
    <t>Total S1+s2 MB</t>
  </si>
  <si>
    <t>Intensidad de emisiones (ton CO2eq/m2)</t>
  </si>
  <si>
    <t>Consumo total (GWH)</t>
  </si>
  <si>
    <t xml:space="preserve">Energía Renovable </t>
  </si>
  <si>
    <t>Energía no Renovable (GWh)</t>
  </si>
  <si>
    <t>Intensidad energética (GWh/m²)</t>
  </si>
  <si>
    <t xml:space="preserve">Chile </t>
  </si>
  <si>
    <t xml:space="preserve">Peru </t>
  </si>
  <si>
    <t xml:space="preserve">Colomnia </t>
  </si>
  <si>
    <t>Fuente 1:</t>
  </si>
  <si>
    <t xml:space="preserve">https://falabellaretail.falabella.com/wp-content/uploads/2024/05/2024_04_27_REPORTE_FALABELLA.pdf </t>
  </si>
  <si>
    <t>Fuente 2:</t>
  </si>
  <si>
    <t>https://www.cencosud.com/cencosud/site/docs/20250410/20250410124319/2024_reporte_sostenibilidad_cencosud.pdf</t>
  </si>
  <si>
    <t>Fuentes de factores de emisión para vehículos</t>
  </si>
  <si>
    <t xml:space="preserve">Tipo de vehículo </t>
  </si>
  <si>
    <t xml:space="preserve">Combustible </t>
  </si>
  <si>
    <t>Promedio distancia anual (km/año/veh)</t>
  </si>
  <si>
    <t>Eficiencia (L/km)</t>
  </si>
  <si>
    <t>Consumo anual (L/año(veh)</t>
  </si>
  <si>
    <t>FE CO2e (kgCO₂e/L)</t>
  </si>
  <si>
    <t>Emisiones (kgCO₂e/año/veh)</t>
  </si>
  <si>
    <t>Emisiones (tCO₂e/año/veh)</t>
  </si>
  <si>
    <t xml:space="preserve">Nivel de Calidad </t>
  </si>
  <si>
    <t xml:space="preserve">Fuente </t>
  </si>
  <si>
    <t xml:space="preserve">Auto nafta </t>
  </si>
  <si>
    <t>Nafta</t>
  </si>
  <si>
    <t>Observatorio de Movilidad de Montevideo (Uruguay)
Plan Maestro de Movilidad Eléctrica (Paraguay)</t>
  </si>
  <si>
    <t xml:space="preserve">Auto diesel </t>
  </si>
  <si>
    <t>Diesel</t>
  </si>
  <si>
    <t xml:space="preserve">Moto </t>
  </si>
  <si>
    <t xml:space="preserve">Nafta/Diesel </t>
  </si>
  <si>
    <t xml:space="preserve">Omnibus estándar </t>
  </si>
  <si>
    <t xml:space="preserve">Diesel </t>
  </si>
  <si>
    <t xml:space="preserve">Taxi Gasolina </t>
  </si>
  <si>
    <t xml:space="preserve">Taxi diesel </t>
  </si>
  <si>
    <t xml:space="preserve">Furgón Nafta </t>
  </si>
  <si>
    <t xml:space="preserve">Nafta </t>
  </si>
  <si>
    <t xml:space="preserve">Furgoneta Nafta </t>
  </si>
  <si>
    <t>Plan Maestro de Movilidad Eléctrica (Paraguay)</t>
  </si>
  <si>
    <t>Observatorio de Movilidad de Montevideo (Uruguay)</t>
  </si>
  <si>
    <t xml:space="preserve">Tipo de Vehículos </t>
  </si>
  <si>
    <t xml:space="preserve">Rendimiento combusible  </t>
  </si>
  <si>
    <t>km recorridos (km/año/vehículo)</t>
  </si>
  <si>
    <t>Eficiencia (l/km)</t>
  </si>
  <si>
    <t>km/l</t>
  </si>
  <si>
    <t xml:space="preserve">Uruguay </t>
  </si>
  <si>
    <t>Observatorio de Movilidad de Montevideo (UPM, estimaciones basadas en COPERT y OMU-CAF)</t>
  </si>
  <si>
    <t xml:space="preserve">Uruguay -Paraguay </t>
  </si>
  <si>
    <t xml:space="preserve">Observatorio de Movilidad de Montevideo (UPM, estimaciones basadas en COPERT y OMU-CAF)
Plan Maestro de Movilidad Eléctrica para el Transporte Público Urbano y Logístico de Paraguay
</t>
  </si>
  <si>
    <t>-</t>
  </si>
  <si>
    <t xml:space="preserve">Paraguay </t>
  </si>
  <si>
    <t>Plan Maestro de Movilidad Eléctrica para el Transporte Público Urbano y Logístico de Paraguay</t>
  </si>
  <si>
    <t xml:space="preserve">Taxi Diesel </t>
  </si>
  <si>
    <t xml:space="preserve">Furgón </t>
  </si>
  <si>
    <t>Paraguay</t>
  </si>
  <si>
    <t xml:space="preserve">Furgoneta </t>
  </si>
  <si>
    <t>Fuentes Móviles</t>
  </si>
  <si>
    <t>CO₂ biogenico</t>
  </si>
  <si>
    <t>Tipo de Combustible</t>
  </si>
  <si>
    <t>Unidad de consumo</t>
  </si>
  <si>
    <t>F.E. CO₂-eq</t>
  </si>
  <si>
    <t>Unidad FE</t>
  </si>
  <si>
    <t>Densidad (kg/lt))</t>
  </si>
  <si>
    <t>VCN (TJ/Gg)</t>
  </si>
  <si>
    <t>Unidad de consumo2</t>
  </si>
  <si>
    <t>F.E. CO₂-eq3</t>
  </si>
  <si>
    <t>Unidad FE4</t>
  </si>
  <si>
    <t>F.E. CH4</t>
  </si>
  <si>
    <t>Unidad FE5</t>
  </si>
  <si>
    <t>F.E. CH46</t>
  </si>
  <si>
    <t>Unidad FE7</t>
  </si>
  <si>
    <t>Incertidumbre (+/- %)8</t>
  </si>
  <si>
    <t>Incertidumbre (+/- %)9</t>
  </si>
  <si>
    <t>F.E. N2O</t>
  </si>
  <si>
    <t>Unidad FE10</t>
  </si>
  <si>
    <t>F.E. N2O11</t>
  </si>
  <si>
    <t>Unidad FE12</t>
  </si>
  <si>
    <t>Incertidumbre (+/- %)13</t>
  </si>
  <si>
    <t>Incertidumbre (+/- %)14</t>
  </si>
  <si>
    <t>% biocombustible</t>
  </si>
  <si>
    <t>F.E. CO₂</t>
  </si>
  <si>
    <t>Unidad FE15</t>
  </si>
  <si>
    <t>%combustible</t>
  </si>
  <si>
    <t>Gasoil / Diésel oil</t>
  </si>
  <si>
    <t>TJ</t>
  </si>
  <si>
    <t>kg CO₂ / TJ</t>
  </si>
  <si>
    <t>lt</t>
  </si>
  <si>
    <t>kgCO₂/lt</t>
  </si>
  <si>
    <t>kgCH4/TJ</t>
  </si>
  <si>
    <t>kgCH4/lt</t>
  </si>
  <si>
    <t>kg N2O/TJ</t>
  </si>
  <si>
    <t>kg N2O/lt</t>
  </si>
  <si>
    <t>BEN</t>
  </si>
  <si>
    <t>Bioetanol</t>
  </si>
  <si>
    <t>Biodiésel</t>
  </si>
  <si>
    <t>Categoría de dato</t>
  </si>
  <si>
    <t>Descripción</t>
  </si>
  <si>
    <t>Alcance</t>
  </si>
  <si>
    <t>Emisiones nacionales — Scope 1 (incluye UTCUTS LULUCF)</t>
  </si>
  <si>
    <t>Emisiones territoriales del país, incluyendo uso del suelo y silvicultura.</t>
  </si>
  <si>
    <t>https://unfccc.int/sites/default/files/resource/2023-12-28%20Uruguay%20NID%201990-2020%20ESP.pdf</t>
  </si>
  <si>
    <t>GEI y CO₂e, cobertura completa del país</t>
  </si>
  <si>
    <t>Emisiones nacionales — Scope 1 (excluye UTCUTS  LULUCF)</t>
  </si>
  <si>
    <t>Emisiones territoriales del país sin considerar cambios en uso del suelo.</t>
  </si>
  <si>
    <t>PIB ajustado por PPA (GDP PPP)</t>
  </si>
  <si>
    <t>Valor del PIB ajustado por paridad de poder adquisitivo. Proporciona el proxy económico requerido por PCAF.</t>
  </si>
  <si>
    <t>https://data.worldbank.org/indicator/NY.GDP.MKTP.PP.CD?end=2024&amp;locations=UY&amp;most_recent_year_desc=true&amp;start=2000&amp;view=chart</t>
  </si>
  <si>
    <t>Cobertura global, dólares internacionales</t>
  </si>
  <si>
    <t>PIB nominal (opcional)</t>
  </si>
  <si>
    <t>PIB nominal anual de Uruguay para referencia macroeconómica.</t>
  </si>
  <si>
    <t>World Bank – WDIhttps://data.worldbank.org</t>
  </si>
  <si>
    <t>Cobertura global, USD</t>
  </si>
  <si>
    <t xml:space="preserve">Alcance 1 – Emisiones territoriales (incluyeAFOLU) Gg de CO2 eq </t>
  </si>
  <si>
    <t xml:space="preserve">Alcance 1 – Emisiones territoriales (excluye AFOLU) Gg de CO2 eq </t>
  </si>
  <si>
    <t>Fuente Alcance 1</t>
  </si>
  <si>
    <t>GDP PPP (current international $)</t>
  </si>
  <si>
    <t>Fuente GDP PPP</t>
  </si>
  <si>
    <t>Comentarios / Limitaciones</t>
  </si>
  <si>
    <t>UNFCCC – Inventario Nacional de GEI de Uruguay (Anexo 5: Totales GWP100 AR5, 2020)</t>
  </si>
  <si>
    <t>World Bank – GDP, PPP (current international $). Indicador: NY.GDP.MKTP.PP.CD.</t>
  </si>
  <si>
    <t>Inventario más reciente: 2020. GDP PPP corresponde al año más reciente disponible (2024). Alineado con metodología PCAF.</t>
  </si>
  <si>
    <t xml:space="preserve">Tipo de proyecto </t>
  </si>
  <si>
    <t xml:space="preserve">Proyecto fuente real </t>
  </si>
  <si>
    <t xml:space="preserve">Año/fase </t>
  </si>
  <si>
    <t>Emisiones anuales (tCO₂e/año)</t>
  </si>
  <si>
    <t xml:space="preserve">Alcances incluidos </t>
  </si>
  <si>
    <t xml:space="preserve">Actividad utilizada </t>
  </si>
  <si>
    <t xml:space="preserve">Unidad de Actividad </t>
  </si>
  <si>
    <t xml:space="preserve">Intesidad de emisiones por actividad </t>
  </si>
  <si>
    <t>Nivel de calidad</t>
  </si>
  <si>
    <t>Cómo aplicarlo según PCAF</t>
  </si>
  <si>
    <t xml:space="preserve">Infraestructura portuaria </t>
  </si>
  <si>
    <t xml:space="preserve">Terminal Portuaria Puerto Bolivar </t>
  </si>
  <si>
    <t>Ecuador</t>
  </si>
  <si>
    <t xml:space="preserve">2020-Operación </t>
  </si>
  <si>
    <t>Alcance 1 y 2</t>
  </si>
  <si>
    <t>TEU (2020)</t>
  </si>
  <si>
    <t>tCO₂e / TEU</t>
  </si>
  <si>
    <t>Emisiones proyecto año T = Proxy × TEU(T) × Attribution Factor</t>
  </si>
  <si>
    <t>Informe de Huella de Carbono Terminal Portuaria Puerto Bolívar, 2020.</t>
  </si>
  <si>
    <t xml:space="preserve">Alcance 3 </t>
  </si>
  <si>
    <t>Planta Industrial (celulosa)</t>
  </si>
  <si>
    <t>UPM Fray Bentos – Informe “Medio Ambiente y Responsabilidad Social”</t>
  </si>
  <si>
    <t xml:space="preserve">2023-Operación </t>
  </si>
  <si>
    <t xml:space="preserve">Tn Celulosa producidas </t>
  </si>
  <si>
    <t xml:space="preserve">tCO₂e / tnCelulosa </t>
  </si>
  <si>
    <t xml:space="preserve"> Se debe recabar la producción anual (en ton ADt) del proyecto financiado. </t>
  </si>
  <si>
    <t xml:space="preserve">UPM Fray Bentos, “Medio Ambiente y Responsabilidad Social”, 2023 </t>
  </si>
  <si>
    <t>Planta Hidroeléctrica (Energía Renovable)</t>
  </si>
  <si>
    <t xml:space="preserve">CELEPSA Renovables- Central Hidroeléctrica Marañón </t>
  </si>
  <si>
    <t xml:space="preserve">Perú </t>
  </si>
  <si>
    <t xml:space="preserve">MWh producida </t>
  </si>
  <si>
    <t>tCO₂e / MWh</t>
  </si>
  <si>
    <t xml:space="preserve">Se debe recabar información de MWH producidas del proyecto financiado </t>
  </si>
  <si>
    <t>Reporte CELEPSA Renovables 2023 – Gestión de Emisiones</t>
  </si>
  <si>
    <t xml:space="preserve">CELEPSA Renovables- Central Hidroeléctrica El Platanal </t>
  </si>
  <si>
    <t xml:space="preserve">ENERGÍA </t>
  </si>
  <si>
    <t>Mix energético residencial – Uruguay (Composición energética del sector residencial</t>
  </si>
  <si>
    <t xml:space="preserve">Datos complementarios de base </t>
  </si>
  <si>
    <t>Desglose de energía relevante (alcance 1 + 2)</t>
  </si>
  <si>
    <t>Fuente energética</t>
  </si>
  <si>
    <t>Participación (%)</t>
  </si>
  <si>
    <t>Descripción / uso principal</t>
  </si>
  <si>
    <t>Tipo de alcance PCAF</t>
  </si>
  <si>
    <t>Observaciones</t>
  </si>
  <si>
    <t>Indicador</t>
  </si>
  <si>
    <t>Valor</t>
  </si>
  <si>
    <t>Fuente / Comentario</t>
  </si>
  <si>
    <t xml:space="preserve">% del 60% relevante </t>
  </si>
  <si>
    <t>kWh/vivienda·año</t>
  </si>
  <si>
    <t>Electricidad</t>
  </si>
  <si>
    <t>Iluminación, electrodomésticos, calefones eléctricos, refrigeración, aire acondicionado (bombas de calor)</t>
  </si>
  <si>
    <t>Alcance 2 (indirectas)</t>
  </si>
  <si>
    <t>Crece desde 24 % en 1988 a 43 % en 2023; domina en usos de confort y agua caliente.</t>
  </si>
  <si>
    <t>Consumo energético residencial total (2023)</t>
  </si>
  <si>
    <t>855 ktep = 9,94 TWh ≈ 9,94×10⁹ kWh</t>
  </si>
  <si>
    <t>Balance Nacional en Energía Útil  citado por SEG Ingenieria 2025(BNEU 2023 – MIEM / SEG Ingeniería).</t>
  </si>
  <si>
    <t>Scope 2</t>
  </si>
  <si>
    <t>Leña</t>
  </si>
  <si>
    <t>Calefacción y cocción (combustión directa)</t>
  </si>
  <si>
    <t>Alcance 1 (directas)</t>
  </si>
  <si>
    <t>Aún es la principal fuente para calefacción (80 % del consumo térmico).</t>
  </si>
  <si>
    <t>Cantidad de viviendas (Censo 2023)</t>
  </si>
  <si>
    <t>1.659.048 viviendas</t>
  </si>
  <si>
    <t>Instituto Nacional de Estadística (INE, Censo 2023).</t>
  </si>
  <si>
    <t>Supergás</t>
  </si>
  <si>
    <t>Scope 1</t>
  </si>
  <si>
    <t>Supergás (GLP)</t>
  </si>
  <si>
    <t>Cocción y agua caliente sanitaria</t>
  </si>
  <si>
    <t>Participación estable en los hogares; uso complementario de calefacción.</t>
  </si>
  <si>
    <t>Consumo promedio por vivienda</t>
  </si>
  <si>
    <t>≈ 5.992 kWh/vivienda·año</t>
  </si>
  <si>
    <t>Cálculo: 9,94×10⁹ kWh ÷ 1.659.048 viviendas.</t>
  </si>
  <si>
    <t>Otros (gas natural, queroseno, etc.)</t>
  </si>
  <si>
    <t>Calefacción y cocción</t>
  </si>
  <si>
    <t>Uso marginal, principalmente en áreas urbanas específicas.</t>
  </si>
  <si>
    <t>Nota:</t>
  </si>
  <si>
    <t>El BNEU 2023 identifica una canasta energética dominada por electricidad y leña, con fuerte peso de calefacción y agua caliente (65 % del uso total).
Los valores totales de consumo (855 ktep) fueron convertidos a unidades eléctricas equivalentes (1 ktep = 11.630 MWh) para calcular el consumo medio por vivienda.</t>
  </si>
  <si>
    <t>TOTAL</t>
  </si>
  <si>
    <t>—</t>
  </si>
  <si>
    <t>Electricidad+Gas (Emisiones relevantes)</t>
  </si>
  <si>
    <t xml:space="preserve">Energía fósil + electrica </t>
  </si>
  <si>
    <t>Base para proxies PCAF</t>
  </si>
  <si>
    <t xml:space="preserve">Consumo promedio por vivienda </t>
  </si>
  <si>
    <t xml:space="preserve">Consumo promedio por vivienda ponderado </t>
  </si>
  <si>
    <t>https://www.segingenieria.com/wp-content/uploads/2025/10/Indicadores-Energ%C3%A9ticos_2509-1.pdf</t>
  </si>
  <si>
    <t xml:space="preserve">Datos constantes </t>
  </si>
  <si>
    <t xml:space="preserve">Factores de emision convertidos a kWh </t>
  </si>
  <si>
    <t>Constante</t>
  </si>
  <si>
    <t>Unidad</t>
  </si>
  <si>
    <t>Fuente/Nota</t>
  </si>
  <si>
    <t>Combustible</t>
  </si>
  <si>
    <t>CO2 (kg/kWh)</t>
  </si>
  <si>
    <t>CH4 (kg/kWh)</t>
  </si>
  <si>
    <t>N2O (kg/kWh)</t>
  </si>
  <si>
    <t>kgCO2ekWh</t>
  </si>
  <si>
    <t>tCO2ekWh</t>
  </si>
  <si>
    <t xml:space="preserve">Consumo promedio anual kWh en hogares </t>
  </si>
  <si>
    <t>kWh/vivienda*año</t>
  </si>
  <si>
    <t>Balance Nacional en Energía Útil citado por SEG Ingenieria 2025(BNEU 2023 – MIEM / SEG Ingeniería).</t>
  </si>
  <si>
    <t>GLP (supergás)</t>
  </si>
  <si>
    <t>kcal a kWh</t>
  </si>
  <si>
    <t>kWh/kcal</t>
  </si>
  <si>
    <t>Conversión física estándar</t>
  </si>
  <si>
    <t xml:space="preserve">Gas Natural </t>
  </si>
  <si>
    <t>TJ a kWh</t>
  </si>
  <si>
    <t>kWh/TJ</t>
  </si>
  <si>
    <t>1 TJ = 10^12 J; 1 kWh = 3,6×10^6 J</t>
  </si>
  <si>
    <t>GWP CH4 (AR6, 100 años)</t>
  </si>
  <si>
    <t>kg CO2e/kg CH4</t>
  </si>
  <si>
    <t>IPCC AR6</t>
  </si>
  <si>
    <t>GWP N2O (AR6, 100 años)</t>
  </si>
  <si>
    <t>kg CO2e/kg N2O</t>
  </si>
  <si>
    <t>FE CO2 GLP (base)</t>
  </si>
  <si>
    <t>kg/TJ</t>
  </si>
  <si>
    <t>MA- IPCC 2006 (T1) – GLP</t>
  </si>
  <si>
    <t>FE CH4 GLP (base)</t>
  </si>
  <si>
    <t>MA- IPCC 2006 (T2/3) – Hornos GLP</t>
  </si>
  <si>
    <t>FE N2O GLP (base)</t>
  </si>
  <si>
    <t>MA-IPCC 2006 (T1) – GLP</t>
  </si>
  <si>
    <t>FE CO2 Gas Natural (base)</t>
  </si>
  <si>
    <t>MA- IPCC 2006 (T1) – GN</t>
  </si>
  <si>
    <t>FE CH4 Gas Natural (base)</t>
  </si>
  <si>
    <t>MA- IPCC 2006 (T1/T2) – GN residencial</t>
  </si>
  <si>
    <t>FE N2O Gas Natural (base)</t>
  </si>
  <si>
    <t>PCI GLP 2023</t>
  </si>
  <si>
    <t>kcal/kg</t>
  </si>
  <si>
    <t>BEN Uruguay 2023 (PCI)</t>
  </si>
  <si>
    <t>PCI Gas Natural (constante)</t>
  </si>
  <si>
    <t>kcal/m³</t>
  </si>
  <si>
    <t>BEN Uruguay (PCI)</t>
  </si>
  <si>
    <t>VIVIENDA</t>
  </si>
  <si>
    <t>Requerimientos térmicos anuales relativos al área ocupada, según tipo de vivienda (kWh/m²·añ</t>
  </si>
  <si>
    <t>Requerimientos térmicos anuales relativos a la cantidad de ocupantes, según tipo de vivienda (kWh/persona·año)</t>
  </si>
  <si>
    <t>Tipo de vivienda</t>
  </si>
  <si>
    <t>Refrigeración (kWh/m²·año)</t>
  </si>
  <si>
    <t>Calefacción (kWh/m²·año)</t>
  </si>
  <si>
    <t>Total (kWh/m²·año)</t>
  </si>
  <si>
    <t>Área ocupada / total (%)</t>
  </si>
  <si>
    <t>Refrigeración (kWh/persona·año)</t>
  </si>
  <si>
    <t>Calefacción (kWh/persona·año)</t>
  </si>
  <si>
    <t>Total (kWh/persona·año)</t>
  </si>
  <si>
    <t>Promedio de ocupantes</t>
  </si>
  <si>
    <t>Casa</t>
  </si>
  <si>
    <t>Apartamento</t>
  </si>
  <si>
    <t>Promedio total</t>
  </si>
  <si>
    <t>Fuente:</t>
  </si>
  <si>
    <r>
      <t xml:space="preserve">Universidad de la República, </t>
    </r>
    <r>
      <rPr>
        <i/>
        <sz val="10"/>
        <color rgb="FF000000"/>
        <rFont val="Nunito"/>
      </rPr>
      <t>Eficiencia Energética en el Sector Residencial. Situación actual y evaluación de estrategias de mejoramiento para distintas condiciones climáticas en el Uruguay</t>
    </r>
    <r>
      <rPr>
        <sz val="10"/>
        <color rgb="FF000000"/>
        <rFont val="Nunito"/>
      </rPr>
      <t>, 2021.</t>
    </r>
  </si>
  <si>
    <t>http://les.edu.uy/report/2021_Reporte_Eficiencia_Energetica.pdf</t>
  </si>
  <si>
    <t xml:space="preserve">Nota </t>
  </si>
  <si>
    <t>El estudio desarrollado por la Universidad de la República (2021) caracteriza la intensidad energética del parque habitacional uruguayo. Los requerimientos térmicos anuales, expresados en kWh/m²·año y kWh/persona·año, evidencian una mayor demanda en viviendas unifamiliares respecto a los apartamentos, principalmente por las diferencias en superficie expuesta y eficiencia de construcción.</t>
  </si>
  <si>
    <t>m2</t>
  </si>
  <si>
    <t xml:space="preserve">Fuentes </t>
  </si>
  <si>
    <t>Comentarios</t>
  </si>
  <si>
    <t xml:space="preserve">Promedio de apartamentos </t>
  </si>
  <si>
    <t>Informe de Mercado Inmobiliario 2023</t>
  </si>
  <si>
    <t>https://www.anv.gub.uy/sites/default/files/2023-03/InformeMercadoInmobiliario_20230123.pdf</t>
  </si>
  <si>
    <t>Apartamento urbano en Montevideo</t>
  </si>
  <si>
    <t xml:space="preserve">Apartamentos promedio </t>
  </si>
  <si>
    <t xml:space="preserve">Imobiliaria PROB </t>
  </si>
  <si>
    <t>https://prop.com.uy/barrios/pocitos#:~:text=Gu%C3%ADa%20sobre%20Pocitos%20,casas%20es%20de%20171%20m2</t>
  </si>
  <si>
    <t xml:space="preserve">Apartamentos en un Barrio de Montevideo </t>
  </si>
  <si>
    <t>Vivienda promovida (Vivienda Social)</t>
  </si>
  <si>
    <t>Viviendas de interés social o promovidas según normativa de la Agencia Nacional de Vivienda (ANV).</t>
  </si>
  <si>
    <t xml:space="preserve">El valor real de la vivienda promovida sube por primera vez en casi 3 años
https://www.anv.gub.uy/sites/default/files/2020-07/AREAS_VIGENTES_SEGUN_DORM.pdf </t>
  </si>
  <si>
    <t xml:space="preserve">Promedio mencionado en la noticia </t>
  </si>
  <si>
    <t>Vivienda promovida años anteriores (Vivienda Social)</t>
  </si>
  <si>
    <t xml:space="preserve">Promedio casa </t>
  </si>
  <si>
    <t xml:space="preserve">  Imobiliaria PROB </t>
  </si>
  <si>
    <t>Promedio de casa en un barrio de Montevideo</t>
  </si>
  <si>
    <t>Promedio casa (Vivienda Social)</t>
  </si>
  <si>
    <t xml:space="preserve">
https://www.anv.gub.uy/sites/default/files/2020-07/AREAS_VIGENTES_SEGUN_DORM.pdf </t>
  </si>
  <si>
    <t>Los promedios de superficie se calcularon directamente a partir de los rangos definidos por la ANV en los Decretos 249/2018 y 129/2020, representando áreas habitacionales normativas por tipología, sin ajustes empíricos.</t>
  </si>
  <si>
    <t>Viviendas zona costera promedio</t>
  </si>
  <si>
    <t xml:space="preserve"> Informe de Mercado Inmobiliario 2023</t>
  </si>
  <si>
    <t>Referencias de tamaño de dormitorios</t>
  </si>
  <si>
    <t>Fuente / Norma</t>
  </si>
  <si>
    <t>Nivel</t>
  </si>
  <si>
    <t>Qué regula</t>
  </si>
  <si>
    <t>1 Dorm. (m²)</t>
  </si>
  <si>
    <t>2 Dorm. (m²)</t>
  </si>
  <si>
    <t>3 Dorm. (m²)</t>
  </si>
  <si>
    <t>4 Dorm. (m²)</t>
  </si>
  <si>
    <t>Observaciones / Comentarios</t>
  </si>
  <si>
    <t>Fuentes</t>
  </si>
  <si>
    <t>Ley N° 13.728 (1968)</t>
  </si>
  <si>
    <t>Nacional (Ley)</t>
  </si>
  <si>
    <r>
      <t xml:space="preserve">Crea el </t>
    </r>
    <r>
      <rPr>
        <i/>
        <sz val="10"/>
        <color theme="4" tint="-0.249977111117893"/>
        <rFont val="Nunito"/>
      </rPr>
      <t>Sistema Nacional de Vivienda</t>
    </r>
    <r>
      <rPr>
        <sz val="10"/>
        <color theme="4" tint="-0.249977111117893"/>
        <rFont val="Nunito"/>
      </rPr>
      <t xml:space="preserve"> y el marco general para la promoción y financiación de viviendas de interés social.</t>
    </r>
  </si>
  <si>
    <t>No fija m², pero da base legal para decretos y reglamentos posteriores.</t>
  </si>
  <si>
    <t>Decreto N° 249/2018 (MVOTMA)</t>
  </si>
  <si>
    <t>Nacional (Decreto reglamentario)</t>
  </si>
  <si>
    <r>
      <t xml:space="preserve">Reglamenta la Ley 13.728: fija </t>
    </r>
    <r>
      <rPr>
        <b/>
        <sz val="10"/>
        <color theme="4" tint="-0.249977111117893"/>
        <rFont val="Nunito"/>
      </rPr>
      <t>superficies habitables mínimas por dormitorios</t>
    </r>
    <r>
      <rPr>
        <sz val="10"/>
        <color theme="4" tint="-0.249977111117893"/>
        <rFont val="Nunito"/>
      </rPr>
      <t xml:space="preserve"> (Art. 3).</t>
    </r>
  </si>
  <si>
    <t>≥35</t>
  </si>
  <si>
    <t>≥50</t>
  </si>
  <si>
    <t>≥65</t>
  </si>
  <si>
    <t>≥80</t>
  </si>
  <si>
    <t>Aplica a obras nuevas, ampliaciones y regularizaciones. Es la principal referencia legal.</t>
  </si>
  <si>
    <t>https://www.impo.com.uy/bases/decretos/249-2018/1</t>
  </si>
  <si>
    <t>Decreto N° 129/2020 (MVOT)</t>
  </si>
  <si>
    <t>Nacional (Decreto complementario)</t>
  </si>
  <si>
    <r>
      <t xml:space="preserve">Regula las </t>
    </r>
    <r>
      <rPr>
        <b/>
        <sz val="10"/>
        <color theme="4" tint="-0.249977111117893"/>
        <rFont val="Nunito"/>
      </rPr>
      <t>viviendas monoambiente</t>
    </r>
    <r>
      <rPr>
        <sz val="10"/>
        <color theme="4" tint="-0.249977111117893"/>
        <rFont val="Nunito"/>
      </rPr>
      <t xml:space="preserve"> y establece </t>
    </r>
    <r>
      <rPr>
        <b/>
        <sz val="10"/>
        <color theme="4" tint="-0.249977111117893"/>
        <rFont val="Nunito"/>
      </rPr>
      <t>áreas mínimas entre 25–40 m²</t>
    </r>
    <r>
      <rPr>
        <sz val="10"/>
        <color theme="4" tint="-0.249977111117893"/>
        <rFont val="Nunito"/>
      </rPr>
      <t>.</t>
    </r>
  </si>
  <si>
    <t>25–40 (monoambiente)</t>
  </si>
  <si>
    <t>Complementa al Decreto 249/2018.</t>
  </si>
  <si>
    <t>https://www.impo.com.uy/bases/decretos/129-2020</t>
  </si>
  <si>
    <t>Agencia Nacional de Vivienda (ANV)</t>
  </si>
  <si>
    <t>Nacional (Entidad técnica)</t>
  </si>
  <si>
    <t>Guía técnica oficial de superficies mínimas y máximas para programas sociales.</t>
  </si>
  <si>
    <t>35–50</t>
  </si>
  <si>
    <t>50–75</t>
  </si>
  <si>
    <t>65–100</t>
  </si>
  <si>
    <t>80–125</t>
  </si>
  <si>
    <t>Deriva directamente de los decretos 249/2018 y 129/2020. Fuente operativa de aplicación práctica.</t>
  </si>
  <si>
    <t>https://www.anv.gub.uy/sites/default/files/2020-07/AREAS_VIGENTES_SEGUN_DORM.pdf</t>
  </si>
  <si>
    <t>Artículo D.3315 del Digesto Municipal de Montevideo</t>
  </si>
  <si>
    <t>Departamental (Ordenanza)</t>
  </si>
  <si>
    <r>
      <t xml:space="preserve">Regula </t>
    </r>
    <r>
      <rPr>
        <b/>
        <sz val="10"/>
        <color theme="4" tint="-0.249977111117893"/>
        <rFont val="Nunito"/>
      </rPr>
      <t>superficies mínimas de habitaciones</t>
    </r>
    <r>
      <rPr>
        <sz val="10"/>
        <color theme="4" tint="-0.249977111117893"/>
        <rFont val="Nunito"/>
      </rPr>
      <t xml:space="preserve"> (no de viviendas completas): 10 m² para habitación principal, ≥6,5 m² para secundarias.</t>
    </r>
  </si>
  <si>
    <t>Complementa las normas nacionales asegurando condiciones de higiene y habitabilidad por recinto.</t>
  </si>
  <si>
    <t>https://normativa.montevideo.gub.uy/articulos/82820#:~:text=En%20una%20vivienda%2C%20las%20habitaciones,un%20metro%20con%20ochenta%20cent%C3%ADmetros</t>
  </si>
  <si>
    <t>Nota</t>
  </si>
  <si>
    <r>
      <rPr>
        <sz val="10"/>
        <color rgb="FF000000"/>
        <rFont val="Nunito"/>
      </rPr>
      <t xml:space="preserve">El hogar “promedio” uruguayo podría describirse como una vivienda de tamaño </t>
    </r>
    <r>
      <rPr>
        <b/>
        <sz val="10"/>
        <color rgb="FF000000"/>
        <rFont val="Nunito"/>
      </rPr>
      <t>moderado</t>
    </r>
    <r>
      <rPr>
        <sz val="10"/>
        <color rgb="FF000000"/>
        <rFont val="Nunito"/>
      </rPr>
      <t xml:space="preserve"> (en el entorno de 60 a 70 m² si es un apartamento típico, o más de 100 m² si es una casa), con 2 a 3 dormitorios en muchos casos, adecuada para las aproximadamente </t>
    </r>
    <r>
      <rPr>
        <b/>
        <sz val="10"/>
        <color rgb="FF000000"/>
        <rFont val="Nunito"/>
      </rPr>
      <t>2,5 personas por hogar</t>
    </r>
    <r>
      <rPr>
        <sz val="10"/>
        <color rgb="FF000000"/>
        <rFont val="Nunito"/>
      </rPr>
      <t xml:space="preserve"> que arroja el último censo</t>
    </r>
  </si>
  <si>
    <t xml:space="preserve">Factores de Emision Red Electrica </t>
  </si>
  <si>
    <t>Serie temporal FE red eléctrica</t>
  </si>
  <si>
    <t>FE (tCO2/GWh)</t>
  </si>
  <si>
    <t xml:space="preserve">BEN </t>
  </si>
  <si>
    <t xml:space="preserve">Factores de Emision por tipo de Combustible </t>
  </si>
  <si>
    <t>Incertidumbre (+/- %)</t>
  </si>
  <si>
    <t>Aviación civil</t>
  </si>
  <si>
    <t>Turbocombustible - Jet A1</t>
  </si>
  <si>
    <t>Gasolina para aviación</t>
  </si>
  <si>
    <t>Transporte terrestre</t>
  </si>
  <si>
    <t>DENSIDADES (1)</t>
  </si>
  <si>
    <t>https://ben.miem.gub.uy/icomplementaria.php</t>
  </si>
  <si>
    <t>Valores variables en la serie histórica</t>
  </si>
  <si>
    <t>Valores constantes en la serie histórica</t>
  </si>
  <si>
    <t>unidad</t>
  </si>
  <si>
    <t>1965-96</t>
  </si>
  <si>
    <t>valor</t>
  </si>
  <si>
    <t>butano desodorizado</t>
  </si>
  <si>
    <t>kg/l</t>
  </si>
  <si>
    <t>asfaltos</t>
  </si>
  <si>
    <t>fueloil medio (10)</t>
  </si>
  <si>
    <t>azufre líquido (2)</t>
  </si>
  <si>
    <t>fueloil intermedio (3)</t>
  </si>
  <si>
    <t>biodiésel (3)</t>
  </si>
  <si>
    <t>fueloil pesado</t>
  </si>
  <si>
    <t>bioetanol (3)</t>
  </si>
  <si>
    <t>fueloil UTE generación (11)</t>
  </si>
  <si>
    <t>carbón vegetal</t>
  </si>
  <si>
    <t>t/m3</t>
  </si>
  <si>
    <t>fueloil plantas de celulosa (12)</t>
  </si>
  <si>
    <t>gas natural (4)</t>
  </si>
  <si>
    <t>kg/m3</t>
  </si>
  <si>
    <t>fueloil zona franca (4)</t>
  </si>
  <si>
    <t>lubricantes</t>
  </si>
  <si>
    <t>gasoil 10S (5)</t>
  </si>
  <si>
    <t>productos discontinuados (5)</t>
  </si>
  <si>
    <t>gasoil 50S* (5)</t>
  </si>
  <si>
    <t>Notas:</t>
  </si>
  <si>
    <t>gasoil marino (5)</t>
  </si>
  <si>
    <t>1) Densidades a temperatura de referencia 15°C.</t>
  </si>
  <si>
    <t>gasolina aviación 100/130</t>
  </si>
  <si>
    <t>2) El azufre líquido se incorporó como producto en 2013, con la puesta en marcha de la planta desulfurizadora.</t>
  </si>
  <si>
    <t>gasolina premium 97 30S (6)</t>
  </si>
  <si>
    <t>3) Los biocombustibles se incorporaron al Balance energético desde 2010.</t>
  </si>
  <si>
    <t>gasolina super 95 30S (6)</t>
  </si>
  <si>
    <t>4) Densidad relativa al aire. El gas natural se comenzó a comercializar en 1998. Los datos estás considerados en condiciones estándar (1 atm y 15°C).</t>
  </si>
  <si>
    <t>petróleo crudo</t>
  </si>
  <si>
    <t>5) Para consultar las densidades de los productos discontinuados se debe utilizar el comando que aparece a la izquierda de la tabla.</t>
  </si>
  <si>
    <t>propano</t>
  </si>
  <si>
    <t>6) El gas manufacturado se discontinuó desde 2006 (Densidad relativa al aire) y la gasolina aviación 80/86 desde 2000.</t>
  </si>
  <si>
    <t>queroseno</t>
  </si>
  <si>
    <t>solventes (7)</t>
  </si>
  <si>
    <t>supergás</t>
  </si>
  <si>
    <t>turbocombustible jet A1</t>
  </si>
  <si>
    <t>productos discontinuados (8)</t>
  </si>
  <si>
    <t>2) Los datos de los productos gaseosos se obtienen por estimación, según la norma ASTM D3588, a presión atmosférica y 15,6 °C.</t>
  </si>
  <si>
    <t>3) Promedio ponderado según las ventas. Incluye IFO 180 e IFO 380.</t>
  </si>
  <si>
    <t>4) Fueloil consumido en zona franca, adquirido a través de un proveedor diferente a ANCAP. Para 2018 se supone la misma densidad que el año anterior.</t>
  </si>
  <si>
    <t>5) Para el gasoil 50S, los parámetros informados corresponden a la mezcla de gasoil con biodiésel. El contenido promedio de biodiésel en gasoil 50S fue de 5,15% en 2019. El gasoil 10S y el gasoil marino no se comercializan con biodiésel.</t>
  </si>
  <si>
    <t>6) Para las gasolinas automotoras los parámetros informados corresponden al combustible previo el agregado de bioetanol.</t>
  </si>
  <si>
    <t>7) Promedio ponderado según las ventas. Incluye hexano, aguarrás, disán, solvente 1197, butano desodorizado, queroseno base insecticida y querosol.</t>
  </si>
  <si>
    <t>8) Para consultar las densidades de los productos discontinuados se debe utilizar el comando que aparece a la izquierda de la tabla.</t>
  </si>
  <si>
    <t>9) La serie histórica se agrupa cada 5 años presentándose ocultos los resultados de años intermedios, los cuales se pueden desplegar utilizando los comandos que aparecen en la parte superior de la tabla.</t>
  </si>
  <si>
    <t>10) El fueloil medio corresponde a fueloil calefacción.</t>
  </si>
  <si>
    <t>11) Corresponde al fueloil utilizado por UTE para generación de energía eléctrica. Los valores hasta 2010 se reportan por ANCAP como "FUELOIL UTE" y posteroir a 2011 como "FUELOIL UTE MOTORES".</t>
  </si>
  <si>
    <t>12) Promedio ponderado según las ventas.</t>
  </si>
  <si>
    <t>PODERES CALORÍFICOS INFERIORES</t>
  </si>
  <si>
    <t>FE</t>
  </si>
  <si>
    <t>Densidad</t>
  </si>
  <si>
    <t>VCN</t>
  </si>
  <si>
    <t>Gasoil:</t>
  </si>
  <si>
    <t>aserrín, chips, residuos forestales (2)</t>
  </si>
  <si>
    <t>kcal/l</t>
  </si>
  <si>
    <t>bagazo</t>
  </si>
  <si>
    <t>azufre líquido (1)</t>
  </si>
  <si>
    <t>biodiésel (2)</t>
  </si>
  <si>
    <t>carbón mineral (15)</t>
  </si>
  <si>
    <t>bioetanol (2)</t>
  </si>
  <si>
    <t>fueloil medio (11)</t>
  </si>
  <si>
    <t>coque de petróleo</t>
  </si>
  <si>
    <t>coque de petróleo importado</t>
  </si>
  <si>
    <t>fueloil UTE generación (12)</t>
  </si>
  <si>
    <t>cáscara de arroz</t>
  </si>
  <si>
    <t>fueloil plantas de celulosa (14)</t>
  </si>
  <si>
    <t>cáscara de girasol</t>
  </si>
  <si>
    <t>casullo de cebada (3)</t>
  </si>
  <si>
    <t>coque de carbón</t>
  </si>
  <si>
    <t>gas fuel</t>
  </si>
  <si>
    <t>kcal/m3</t>
  </si>
  <si>
    <t>% mezcla</t>
  </si>
  <si>
    <t>gases olorosos (3)</t>
  </si>
  <si>
    <t>kcal/Nm3</t>
  </si>
  <si>
    <t>leña</t>
  </si>
  <si>
    <t>metanol (3)</t>
  </si>
  <si>
    <t>licor negro (7)</t>
  </si>
  <si>
    <t>1) Corresponde al calor de oxidación de S a SO2. El azufre líquido se incorporó como producto en 2013, con la puesta en marcha de la planta desulfurizadora.</t>
  </si>
  <si>
    <t>2) Los biocombustibles se incorporaron al Balance energético desde 2010.</t>
  </si>
  <si>
    <t>residuos industriales (13)</t>
  </si>
  <si>
    <t>3) Productos incorporados desde 2007 en el Balance energético.</t>
  </si>
  <si>
    <t>solventes (8)</t>
  </si>
  <si>
    <t>4) Para el gas natural, los datos están considerados en condiciones estándar (1 atm y 15°C).</t>
  </si>
  <si>
    <t>5) Para consultar los poderes caloríficos inferiores de los productos discontinuados se debe utilizar el comando que aparece a la izquierda de la tabla.</t>
  </si>
  <si>
    <t>6) El gas manufacturado se discontinuó desde 2006 y la gasolina aviación 80/86 desde 2000.</t>
  </si>
  <si>
    <t>productos discontinuados (9)</t>
  </si>
  <si>
    <t>1 tep = 10.000.000 kcal</t>
  </si>
  <si>
    <t>1) Los datos de los productos gaseosos se obtienen por estimación, según la norma ASTM D3588, a presión atmosférica y 15,6 °C.</t>
  </si>
  <si>
    <t>1 ktep = 1.000 tep = 10.000.000.000 kcal</t>
  </si>
  <si>
    <t>2) Promedio ponderado por las cantidades de cada tipo.</t>
  </si>
  <si>
    <t>4) Fueloil consumido en zona franca, adquirido a través de un proveedor diferente a ANCAP. PCI estimado por MIEM.</t>
  </si>
  <si>
    <t>5) Para el gasoil 50S, los parámetros informados corresponden a la mezcla de gasoil con biodiésel. El contenido promedio de biodiésel en gasoil 50S se informa para cada año,</t>
  </si>
  <si>
    <t>en la propia tabla. El gasoil 10S y el gasoil marino no se comercializan con biodiésel.</t>
  </si>
  <si>
    <t>7) Promedio ponderado según el consumo en la industria. Expresado por kg de sólidos secos.</t>
  </si>
  <si>
    <t>8) Promedio ponderado según las ventas. Incluye hexano, aguarrás, disán, solvente 1197, butano desodorizado, queroseno base insecticida y querosol.</t>
  </si>
  <si>
    <t>9) Para consultar los poderes caloríficos inferiores de los productos discontinuados se debe utilizar el comando que aparece a la izquierda de la tabla.</t>
  </si>
  <si>
    <t>10) La serie histórica se agrupa cada 5 años presentándose ocultos los resultados de años intermedios, los cuales se pueden desplegar utilizando los comandos que aparecen en la parte superior de la tabla.</t>
  </si>
  <si>
    <t>11) El fueloil medio corresponde a fueloil calefacción.</t>
  </si>
  <si>
    <t>12) Corresponde al fueloil utilizado por UTE para generación de energía eléctrica. Los valores hasta 2010 se reportan por ANCAP como "FUELOIL UTE" y posteroir a 2011 como "FUELOIL UTE MOTORES".</t>
  </si>
  <si>
    <t>13) Promedio ponderado por las cantidades de cada tipo. (Neumàticos fuera de uso (NFU), Combustibles liquìdos alternativos (CLA), Aceites usados, Combustibles sólidos residuales (CSR))</t>
  </si>
  <si>
    <t>14) Promedio ponderado por las ventas.</t>
  </si>
  <si>
    <t>15) Se consumen diferentes tipos de carbón mineral y se considera el PCI de aquel con mayor consumo. Hasta 2021, el dato es teórico y constante. A partir de 2022, el dato es suministrado por el proveedor.</t>
  </si>
  <si>
    <t>16) La serie histórica se agrupa cada 5 años presentándose ocultos los resultados de años intermedios, los cuales se pueden desplegar utilizando los comandos que aparecen en la parte superior de la tabla.</t>
  </si>
  <si>
    <t>PODERES CALORÍFICOS SUPERIORES</t>
  </si>
  <si>
    <t>coque de refinería</t>
  </si>
  <si>
    <t>fueloil medio (9)</t>
  </si>
  <si>
    <t>fueloil intermedio (2)</t>
  </si>
  <si>
    <t>gas natural (1)</t>
  </si>
  <si>
    <t>productos discontinuados (2)</t>
  </si>
  <si>
    <t>fueloil zona franca (3)</t>
  </si>
  <si>
    <t>gasoil 10S (4)</t>
  </si>
  <si>
    <t>1) Para el gas natural, los datos están considerados en condiciones estándar (1 atm y 15°C).</t>
  </si>
  <si>
    <t>gasoil 50S* (4)</t>
  </si>
  <si>
    <t>2) Para consultar los poderes caloríficos superiores de los productos discontinuados se debe utilizar el comando que aparece a la izquierda de la tabla.</t>
  </si>
  <si>
    <t>gasoil marino (4)</t>
  </si>
  <si>
    <t>3) El gas manufacturado se discontinuó desde 2006 y la gasolina aviación 80/86 desde el año 2000.</t>
  </si>
  <si>
    <t>gasolina premium 97 30S (5)</t>
  </si>
  <si>
    <t>gasolina super 95 30S (5)</t>
  </si>
  <si>
    <t>solventes (6)</t>
  </si>
  <si>
    <t>productos discontinuados (7)</t>
  </si>
  <si>
    <t>2) Promedio ponderado según las ventas. Incluye IFO 180 e IFO 380.</t>
  </si>
  <si>
    <t>3) Fueloil consumido en zona franca, adquirido a través de un proveedor diferente a ANCAP.</t>
  </si>
  <si>
    <t>4) Para el gasoil 50S, los parámetros informados corresponden a la mezcla de gasoil con biodiésel. El contenido promedio de biodiésel en gasoil 50S fue de 5,15% en 2019. El gasoil 10S y el gasoil marino no se comercializan con biodiésel.</t>
  </si>
  <si>
    <t>5) Para las gasolinas automotoras los parámetros informados corresponden al combustible previo el agregado de bioetanol.</t>
  </si>
  <si>
    <t>6) Promedio ponderado según las ventas. Incluye hexano, aguarrás, disán, solvente 1197, butano desodorizado, queroseno base insecticida y querosol.</t>
  </si>
  <si>
    <t>7) Para consultar los poderes caloríficos superiores de los productos discontinuados se debe utilizar el comando que aparece a la izquierda de la tabla.</t>
  </si>
  <si>
    <t>8) La serie histórica se agrupa cada 5 años presentándose ocultos los resultados de años intermedios, los cuales se pueden desplegar utilizando los comandos que aparecen en la parte superior de la tabla.</t>
  </si>
  <si>
    <t>9) El fueloil medio corresponde a fueloil calefacción.</t>
  </si>
  <si>
    <t>FACTORES DE EMISIÓN DE CO₂ (1)</t>
  </si>
  <si>
    <t>FACTORES DE EMISIÓN DE CO₂</t>
  </si>
  <si>
    <t>energético según BEN</t>
  </si>
  <si>
    <t>energético asociado según IPCC</t>
  </si>
  <si>
    <t>FE CO₂</t>
  </si>
  <si>
    <t>1965-2008</t>
  </si>
  <si>
    <t>biodiésel</t>
  </si>
  <si>
    <t>carbón mineral (1)</t>
  </si>
  <si>
    <t>bioetanol</t>
  </si>
  <si>
    <t>biogasolina</t>
  </si>
  <si>
    <t>residuos industriales (2)</t>
  </si>
  <si>
    <t>carbon vegetal</t>
  </si>
  <si>
    <t>coque para horno de coque</t>
  </si>
  <si>
    <t>1) Factor de emisión de CO₂-eqficaz (kg/TJ). Directrices del IPCC de 2006 para los inventarios nacionales de gases de efecto invernadero, Volumen 2: Energía, Cuadro 1.4: "Factores de emisión de CO₂ por defecto</t>
  </si>
  <si>
    <t>para la combustión", para turba, antracita y lignito.</t>
  </si>
  <si>
    <t>diésel oil</t>
  </si>
  <si>
    <t>gas/diésel oil</t>
  </si>
  <si>
    <t>2) Se calcula un factor de emisión ponderado en función de la composición de los residuos industriales: para los neumáticos fuera de uso (NFU) se utiliza el FE reportado por España en la EFDB (82.000 kg CO₂/TJ).</t>
  </si>
  <si>
    <t>fueloil</t>
  </si>
  <si>
    <t>fuelóleo residual</t>
  </si>
  <si>
    <t>Para los aceites y los combustibles líquidos alternativos (CLA) se utiliza el FE por defecto de "otros productos del petróleo" de las directrices del IPCC 2006 (73.300 kg CO₂/TJ). Para el resto de los residuos</t>
  </si>
  <si>
    <t>gas de refinería</t>
  </si>
  <si>
    <t>industriales se utiliza el FE por defecto para "desechos industriales" de las directrices del IPCC 2006 (143.000 kg CO₂/TJ).</t>
  </si>
  <si>
    <t>gas manufacturado</t>
  </si>
  <si>
    <t>otros productos del petróleo</t>
  </si>
  <si>
    <t>3) La serie histórica se agrupa cada 5 años presentándose ocultos los resultados de años intermedios, los cuales se pueden desplegar utilizando los comandos que aparecen en la parte superior de la tabla.</t>
  </si>
  <si>
    <t>gas natural</t>
  </si>
  <si>
    <t>gasoil</t>
  </si>
  <si>
    <t>madera</t>
  </si>
  <si>
    <t>gasolina automotora</t>
  </si>
  <si>
    <t>gasolina para motores</t>
  </si>
  <si>
    <t>gasolina aviación</t>
  </si>
  <si>
    <t>gasolina para la aviación</t>
  </si>
  <si>
    <t>licor negro</t>
  </si>
  <si>
    <t>nafta liviana</t>
  </si>
  <si>
    <t>nafta</t>
  </si>
  <si>
    <t>gases licuados de petróleo</t>
  </si>
  <si>
    <t>otro queroseno</t>
  </si>
  <si>
    <t>residuos de biomasa</t>
  </si>
  <si>
    <t>otra biomasa sólida primaria</t>
  </si>
  <si>
    <t>residuos industriales</t>
  </si>
  <si>
    <t>desechos industriales</t>
  </si>
  <si>
    <t>turbocombustible</t>
  </si>
  <si>
    <t>queroseno para motor a reacción</t>
  </si>
  <si>
    <t>1) Factor de emisión de CO₂-eqficaz (kg/TJ). Directrices del IPCC de 2006 para los inventarios nacionales de gases de efecto invernadero,</t>
  </si>
  <si>
    <t>Volumen 2: Energía, Cuadro 1.4: "Factores de emisión de CO₂ por defecto para la combustión".</t>
  </si>
  <si>
    <t>FACTORES DE CONVERSIÓN (en base al PCI)</t>
  </si>
  <si>
    <t>aserrín, chips, res. forestales (2)</t>
  </si>
  <si>
    <t>tep/t</t>
  </si>
  <si>
    <t>tep/m3</t>
  </si>
  <si>
    <t>carbón mineral (13)</t>
  </si>
  <si>
    <t>fueloil medio (3)</t>
  </si>
  <si>
    <t>fueloil intermedio (6)</t>
  </si>
  <si>
    <t>fueloil UTE generación (4)</t>
  </si>
  <si>
    <t>fueloil plantas de celulosa (5)</t>
  </si>
  <si>
    <t>tep/103m3</t>
  </si>
  <si>
    <t>fueloil zona franca (7)</t>
  </si>
  <si>
    <t>gasoil 10S (8)</t>
  </si>
  <si>
    <t>gasoil 50S* (8)</t>
  </si>
  <si>
    <t>gasoil marino (8)</t>
  </si>
  <si>
    <t>1) El azufre líquido se incorporó como producto en 2013, con la puesta en marcha de la planta desulfurizadora.</t>
  </si>
  <si>
    <t>gasolina premium 97 30S (9)</t>
  </si>
  <si>
    <t>4) El gas natural se comenzó a comercializar en 1998. Los datos están considerados en condiciones estándar (1 atm y 15°C).</t>
  </si>
  <si>
    <t>5) Para consultar los factores de conversión de los productos discontinuados se debe utilizar el comando que aparece a la izquierda de la tabla.</t>
  </si>
  <si>
    <t>gasolina super 95 30S (9)</t>
  </si>
  <si>
    <t>El gas manufacturado se discontinuó desde 2006 y la gasolina aviación 80/86 desde el año 2000.</t>
  </si>
  <si>
    <t>licor negro (10)</t>
  </si>
  <si>
    <t>Unidades:</t>
  </si>
  <si>
    <t>tep: tonelada equivalente de petróleo (1 tep = 10.000.000 kcal)</t>
  </si>
  <si>
    <t>t: tonelada</t>
  </si>
  <si>
    <t>m3: metro cúbico</t>
  </si>
  <si>
    <t>103m3: miles de metros cúbicos</t>
  </si>
  <si>
    <t>MWh: megavatio hora</t>
  </si>
  <si>
    <t>residuos industriales (12)</t>
  </si>
  <si>
    <t>solventes (11)</t>
  </si>
  <si>
    <t>productos discontinuados (12)</t>
  </si>
  <si>
    <t>3) El fueloil medio corresponde a fueloil calefacción.</t>
  </si>
  <si>
    <t>4) Corresponde al fueloil utilizado por UTE para generación de energía eléctrica. Los valores hasta 2010 se reportan por ANCAP como "FUELOIL UTE" y posteroir a 2011 como "FUELOIL UTE MOTORES".</t>
  </si>
  <si>
    <t>5) Promedio ponderado según las ventas.</t>
  </si>
  <si>
    <t>6) Promedio ponderado según las ventas. Incluye IFO 180 e IFO 380.</t>
  </si>
  <si>
    <t>7) Fueloil consumido en zona franca, adquirido a través de un proveedor diferente a ANCAP. Factor de conversión estimado por MIEM.</t>
  </si>
  <si>
    <t>8) Para el gasoil 50S, los parámetros informados corresponden a la mezcla de gasoil con biodiésel. El contenido promedio de biodiésel en gasoil 50S se informa para cada año, en la propia tabla.</t>
  </si>
  <si>
    <t>El gasoil 10S y el gasoil marino no se comercializan con biodiésel.</t>
  </si>
  <si>
    <t>9) Para las gasolinas automotoras los parámetros informados corresponden al combustible previo el agregado de bioetanol.</t>
  </si>
  <si>
    <t>10) Promedio ponderado según el consumo en la industria. Expresado por kg de sólidos secos.</t>
  </si>
  <si>
    <t>11) Promedio ponderado según las ventas. Incluye hexano, aguarrás, disán, solvente 1197, butano desodorizado, queroseno base insecticida y querosol.</t>
  </si>
  <si>
    <t>12) Promedio ponderado por las cantidades de cada tipo. (Neumàticos fuera de uso (NFU), Combustibles liquìdos alternativos (CLA), Aceites usados)</t>
  </si>
  <si>
    <t>13) Se consumen diferentes tipos de carbón mineral y se considera el PCI de aquel con mayor consumo. Hasta 2021, el dato es teórico y constante. A partir de 2022, el dato es suministrado por el proveedor.</t>
  </si>
  <si>
    <t>14) Para consultar los factores de conversión de los productos discontinuados se debe utilizar el comando que aparece a la izquierda de la tabla.</t>
  </si>
  <si>
    <t>15) La serie histórica se agrupa cada 5 años presentándose ocultos los resultados de años intermedios, los cuales se pueden desplegar utilizando los comandos que aparecen en la parte superior de la tabla.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</si>
</sst>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00"/>
    <numFmt numFmtId="166" formatCode="0.0"/>
    <numFmt numFmtId="167" formatCode="#,##0.0000"/>
    <numFmt numFmtId="168" formatCode="#,##0.000000"/>
    <numFmt numFmtId="169" formatCode="0.000000"/>
    <numFmt numFmtId="170" formatCode="0.0000"/>
  </numFmts>
  <fonts count="59">
    <font>
      <sz val="11"/>
      <color theme="1"/>
      <name val="Aptos Narrow"/>
      <family val="2"/>
      <scheme val="minor"/>
    </font>
    <font>
      <sz val="9"/>
      <color indexed="81"/>
      <name val="Tahoma"/>
      <family val="2"/>
    </font>
    <font>
      <b/>
      <sz val="9"/>
      <color indexed="81"/>
      <name val="Tahoma"/>
      <family val="2"/>
    </font>
    <font>
      <b/>
      <sz val="11"/>
      <color theme="1"/>
      <name val="Aptos Narrow"/>
      <family val="2"/>
      <scheme val="minor"/>
    </font>
    <font>
      <u/>
      <sz val="11"/>
      <color theme="10"/>
      <name val="Aptos Narrow"/>
      <family val="2"/>
      <scheme val="minor"/>
    </font>
    <font>
      <sz val="11"/>
      <color theme="1"/>
      <name val="Aptos Narrow"/>
      <family val="2"/>
      <scheme val="minor"/>
    </font>
    <font>
      <b/>
      <sz val="12"/>
      <color rgb="FF333399"/>
      <name val="Verdana"/>
      <family val="2"/>
    </font>
    <font>
      <u/>
      <sz val="11"/>
      <color rgb="FF333399"/>
      <name val="Verdana"/>
      <family val="2"/>
    </font>
    <font>
      <sz val="12"/>
      <color theme="1"/>
      <name val="Verdana"/>
      <family val="2"/>
    </font>
    <font>
      <b/>
      <sz val="9"/>
      <color rgb="FF333399"/>
      <name val="Verdana"/>
      <family val="2"/>
    </font>
    <font>
      <sz val="11"/>
      <color theme="1"/>
      <name val="Verdana"/>
      <family val="2"/>
    </font>
    <font>
      <b/>
      <sz val="12"/>
      <color theme="1"/>
      <name val="Verdana"/>
      <family val="2"/>
    </font>
    <font>
      <sz val="9"/>
      <color rgb="FF333399"/>
      <name val="Verdana"/>
      <family val="2"/>
    </font>
    <font>
      <sz val="9"/>
      <color rgb="FF1F497D"/>
      <name val="Verdana"/>
      <family val="2"/>
    </font>
    <font>
      <sz val="8"/>
      <color rgb="FF333399"/>
      <name val="Verdana"/>
      <family val="2"/>
    </font>
    <font>
      <sz val="11"/>
      <name val="Calibri"/>
      <family val="2"/>
    </font>
    <font>
      <sz val="7"/>
      <color rgb="FF333399"/>
      <name val="Verdana"/>
      <family val="2"/>
    </font>
    <font>
      <sz val="8"/>
      <color theme="1"/>
      <name val="Verdana"/>
      <family val="2"/>
    </font>
    <font>
      <b/>
      <sz val="11"/>
      <color theme="1"/>
      <name val="Verdana"/>
      <family val="2"/>
    </font>
    <font>
      <sz val="11"/>
      <color rgb="FF333399"/>
      <name val="Verdana"/>
      <family val="2"/>
    </font>
    <font>
      <sz val="12"/>
      <color rgb="FF333399"/>
      <name val="Verdana"/>
      <family val="2"/>
    </font>
    <font>
      <sz val="9"/>
      <color rgb="FFFF0000"/>
      <name val="Verdana"/>
      <family val="2"/>
    </font>
    <font>
      <b/>
      <sz val="11"/>
      <color theme="0"/>
      <name val="Aptos Narrow"/>
      <family val="2"/>
      <scheme val="minor"/>
    </font>
    <font>
      <sz val="11"/>
      <color rgb="FF000000"/>
      <name val="Aptos Narrow"/>
      <family val="2"/>
    </font>
    <font>
      <sz val="11"/>
      <color rgb="FF0F4762"/>
      <name val="Aptos Narrow"/>
      <family val="2"/>
    </font>
    <font>
      <sz val="8"/>
      <color theme="1"/>
      <name val="Aptos Narrow"/>
      <family val="2"/>
      <scheme val="minor"/>
    </font>
    <font>
      <b/>
      <sz val="11"/>
      <color rgb="FF000000"/>
      <name val="Aptos Narrow"/>
      <family val="2"/>
    </font>
    <font>
      <b/>
      <sz val="11"/>
      <color rgb="FF0F4762"/>
      <name val="Aptos Narrow"/>
      <family val="2"/>
    </font>
    <font>
      <b/>
      <sz val="10"/>
      <color rgb="FFFFFFFF"/>
      <name val="Nunito"/>
    </font>
    <font>
      <sz val="10"/>
      <color theme="1"/>
      <name val="Nunito"/>
    </font>
    <font>
      <sz val="10"/>
      <color theme="0"/>
      <name val="Nunito"/>
    </font>
    <font>
      <b/>
      <sz val="10"/>
      <color theme="0"/>
      <name val="Nunito"/>
    </font>
    <font>
      <u/>
      <sz val="10"/>
      <color theme="10"/>
      <name val="Nunito"/>
    </font>
    <font>
      <b/>
      <sz val="10"/>
      <color theme="1"/>
      <name val="Nunito"/>
    </font>
    <font>
      <b/>
      <sz val="12"/>
      <color theme="0"/>
      <name val="Nunito"/>
    </font>
    <font>
      <sz val="8"/>
      <name val="Aptos Narrow"/>
      <family val="2"/>
      <scheme val="minor"/>
    </font>
    <font>
      <sz val="11"/>
      <color theme="1"/>
      <name val="Nunito"/>
    </font>
    <font>
      <sz val="10"/>
      <color rgb="FF000000"/>
      <name val="Nunito"/>
    </font>
    <font>
      <b/>
      <sz val="10"/>
      <color rgb="FF000000"/>
      <name val="Nunito"/>
    </font>
    <font>
      <b/>
      <sz val="11"/>
      <color theme="0"/>
      <name val="Aptos Narrow"/>
      <family val="2"/>
    </font>
    <font>
      <sz val="10"/>
      <color rgb="FF333333"/>
      <name val="Nunito"/>
    </font>
    <font>
      <b/>
      <sz val="10"/>
      <color theme="4" tint="-0.249977111117893"/>
      <name val="Nunito"/>
    </font>
    <font>
      <sz val="10"/>
      <color theme="4" tint="-0.249977111117893"/>
      <name val="Nunito"/>
    </font>
    <font>
      <b/>
      <i/>
      <sz val="10"/>
      <color theme="0"/>
      <name val="Nunito"/>
    </font>
    <font>
      <b/>
      <sz val="11"/>
      <color theme="0"/>
      <name val="Nunito"/>
    </font>
    <font>
      <b/>
      <sz val="10"/>
      <name val="Nunito"/>
    </font>
    <font>
      <i/>
      <sz val="10"/>
      <color rgb="FF000000"/>
      <name val="Nunito"/>
    </font>
    <font>
      <b/>
      <i/>
      <sz val="10"/>
      <color theme="1"/>
      <name val="Nunito"/>
    </font>
    <font>
      <sz val="10"/>
      <color rgb="FF0F4762"/>
      <name val="Nunito"/>
    </font>
    <font>
      <i/>
      <sz val="10"/>
      <color theme="4" tint="-0.249977111117893"/>
      <name val="Nunito"/>
    </font>
    <font>
      <b/>
      <sz val="10"/>
      <color rgb="FF1F669D"/>
      <name val="Nunito"/>
    </font>
    <font>
      <sz val="10"/>
      <color rgb="FF1F669D"/>
      <name val="Nunito"/>
    </font>
    <font>
      <b/>
      <sz val="9"/>
      <color theme="0"/>
      <name val="Verdana"/>
      <family val="2"/>
    </font>
    <font>
      <b/>
      <sz val="11"/>
      <color theme="0"/>
      <name val="Verdana"/>
      <family val="2"/>
    </font>
    <font>
      <sz val="10"/>
      <color rgb="FFFFFFFF"/>
      <name val="Nunito"/>
    </font>
    <font>
      <b/>
      <sz val="10"/>
      <color rgb="FFFF0000"/>
      <name val="Nunito"/>
    </font>
    <font>
      <i/>
      <sz val="10"/>
      <color theme="1"/>
      <name val="Nunito"/>
    </font>
    <font>
      <sz val="9.5"/>
      <color theme="1"/>
      <name val="Nunito"/>
    </font>
    <font>
      <b/>
      <sz val="9.5"/>
      <color rgb="FFFF0000"/>
      <name val="Nunito"/>
    </font>
  </fonts>
  <fills count="1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5"/>
        <bgColor indexed="64"/>
      </patternFill>
    </fill>
    <fill>
      <patternFill patternType="solid">
        <fgColor rgb="FF1F669D"/>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rgb="FFF27F0C"/>
        <bgColor indexed="64"/>
      </patternFill>
    </fill>
    <fill>
      <patternFill patternType="solid">
        <fgColor rgb="FF37B844"/>
        <bgColor indexed="64"/>
      </patternFill>
    </fill>
    <fill>
      <patternFill patternType="solid">
        <fgColor theme="3" tint="0.89999084444715716"/>
        <bgColor indexed="64"/>
      </patternFill>
    </fill>
    <fill>
      <patternFill patternType="solid">
        <fgColor rgb="FF0070C0"/>
        <bgColor rgb="FF0070C0"/>
      </patternFill>
    </fill>
    <fill>
      <patternFill patternType="solid">
        <fgColor theme="0"/>
        <bgColor theme="0"/>
      </patternFill>
    </fill>
    <fill>
      <patternFill patternType="solid">
        <fgColor rgb="FFFFFFFF"/>
        <bgColor rgb="FFFFFFFF"/>
      </patternFill>
    </fill>
  </fills>
  <borders count="41">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rgb="FF1F669D"/>
      </left>
      <right/>
      <top style="medium">
        <color rgb="FF1F669D"/>
      </top>
      <bottom style="medium">
        <color rgb="FF1F669D"/>
      </bottom>
      <diagonal/>
    </border>
    <border>
      <left/>
      <right/>
      <top style="medium">
        <color rgb="FF1F669D"/>
      </top>
      <bottom style="medium">
        <color rgb="FF1F669D"/>
      </bottom>
      <diagonal/>
    </border>
    <border>
      <left/>
      <right style="medium">
        <color rgb="FF1F669D"/>
      </right>
      <top style="medium">
        <color rgb="FF1F669D"/>
      </top>
      <bottom style="medium">
        <color rgb="FF1F669D"/>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style="thin">
        <color theme="0"/>
      </top>
      <bottom/>
      <diagonal/>
    </border>
    <border>
      <left style="medium">
        <color rgb="FF1F669D"/>
      </left>
      <right/>
      <top style="thin">
        <color theme="0"/>
      </top>
      <bottom style="medium">
        <color rgb="FF1F669D"/>
      </bottom>
      <diagonal/>
    </border>
    <border>
      <left/>
      <right/>
      <top style="thin">
        <color theme="0"/>
      </top>
      <bottom style="medium">
        <color rgb="FF1F669D"/>
      </bottom>
      <diagonal/>
    </border>
    <border>
      <left/>
      <right style="thin">
        <color theme="0"/>
      </right>
      <top style="thin">
        <color theme="0"/>
      </top>
      <bottom style="medium">
        <color rgb="FF1F669D"/>
      </bottom>
      <diagonal/>
    </border>
    <border>
      <left/>
      <right/>
      <top style="thin">
        <color theme="0"/>
      </top>
      <bottom/>
      <diagonal/>
    </border>
    <border>
      <left style="thin">
        <color rgb="FF1F669D"/>
      </left>
      <right style="thin">
        <color rgb="FF1F669D"/>
      </right>
      <top style="thin">
        <color rgb="FF1F669D"/>
      </top>
      <bottom style="thin">
        <color rgb="FF1F669D"/>
      </bottom>
      <diagonal/>
    </border>
    <border>
      <left style="thin">
        <color theme="0"/>
      </left>
      <right/>
      <top/>
      <bottom/>
      <diagonal/>
    </border>
    <border>
      <left style="thin">
        <color rgb="FF1F669D"/>
      </left>
      <right style="thin">
        <color rgb="FF1F669D"/>
      </right>
      <top style="thin">
        <color rgb="FF1F669D"/>
      </top>
      <bottom/>
      <diagonal/>
    </border>
    <border>
      <left/>
      <right/>
      <top style="thin">
        <color theme="0"/>
      </top>
      <bottom style="thin">
        <color theme="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theme="2"/>
      </left>
      <right style="thin">
        <color rgb="FF000000"/>
      </right>
      <top/>
      <bottom style="thin">
        <color rgb="FF000000"/>
      </bottom>
      <diagonal/>
    </border>
    <border>
      <left style="thin">
        <color rgb="FF000000"/>
      </left>
      <right/>
      <top/>
      <bottom style="thin">
        <color rgb="FF000000"/>
      </bottom>
      <diagonal/>
    </border>
    <border>
      <left style="thin">
        <color theme="2"/>
      </left>
      <right style="thin">
        <color rgb="FF000000"/>
      </right>
      <top style="thin">
        <color rgb="FF000000"/>
      </top>
      <bottom style="thin">
        <color rgb="FF000000"/>
      </bottom>
      <diagonal/>
    </border>
    <border>
      <left style="thin">
        <color theme="0"/>
      </left>
      <right style="thin">
        <color theme="0"/>
      </right>
      <top style="thin">
        <color theme="0"/>
      </top>
      <bottom style="thin">
        <color theme="4" tint="0.39997558519241921"/>
      </bottom>
      <diagonal/>
    </border>
  </borders>
  <cellStyleXfs count="4">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9" fontId="5" fillId="0" borderId="0" applyFont="0" applyFill="0" applyBorder="0" applyAlignment="0" applyProtection="0"/>
  </cellStyleXfs>
  <cellXfs count="460">
    <xf numFmtId="0" fontId="0" fillId="0" borderId="0" xfId="0"/>
    <xf numFmtId="0" fontId="29" fillId="0" borderId="2" xfId="0" applyFont="1" applyBorder="1"/>
    <xf numFmtId="0" fontId="29" fillId="0" borderId="10" xfId="0" applyFont="1" applyBorder="1"/>
    <xf numFmtId="0" fontId="29" fillId="0" borderId="11" xfId="0" applyFont="1" applyBorder="1"/>
    <xf numFmtId="0" fontId="29" fillId="0" borderId="15" xfId="0" applyFont="1" applyBorder="1"/>
    <xf numFmtId="0" fontId="29" fillId="0" borderId="12" xfId="0" applyFont="1" applyBorder="1"/>
    <xf numFmtId="0" fontId="29" fillId="0" borderId="13" xfId="0" applyFont="1" applyBorder="1"/>
    <xf numFmtId="0" fontId="29" fillId="0" borderId="5" xfId="0" applyFont="1" applyBorder="1"/>
    <xf numFmtId="0" fontId="29" fillId="0" borderId="14" xfId="0" applyFont="1" applyBorder="1"/>
    <xf numFmtId="0" fontId="31" fillId="8" borderId="5" xfId="0" applyFont="1" applyFill="1" applyBorder="1"/>
    <xf numFmtId="0" fontId="29" fillId="0" borderId="9" xfId="0" applyFont="1" applyBorder="1"/>
    <xf numFmtId="0" fontId="29" fillId="10" borderId="2" xfId="0" applyFont="1" applyFill="1" applyBorder="1"/>
    <xf numFmtId="0" fontId="32" fillId="10" borderId="0" xfId="2" quotePrefix="1" applyFont="1" applyFill="1"/>
    <xf numFmtId="0" fontId="29" fillId="0" borderId="3" xfId="0" applyFont="1" applyBorder="1"/>
    <xf numFmtId="0" fontId="32" fillId="10" borderId="2" xfId="2" quotePrefix="1" applyFont="1" applyFill="1" applyBorder="1"/>
    <xf numFmtId="0" fontId="29" fillId="0" borderId="4" xfId="0" applyFont="1" applyBorder="1"/>
    <xf numFmtId="0" fontId="32" fillId="10" borderId="2" xfId="2" applyFont="1" applyFill="1" applyBorder="1"/>
    <xf numFmtId="0" fontId="29" fillId="0" borderId="2" xfId="0" applyFont="1" applyBorder="1" applyAlignment="1">
      <alignment horizontal="left" vertical="top" wrapText="1"/>
    </xf>
    <xf numFmtId="0" fontId="29" fillId="0" borderId="2" xfId="0" applyFont="1" applyBorder="1" applyAlignment="1">
      <alignment horizontal="left" vertical="top"/>
    </xf>
    <xf numFmtId="0" fontId="29" fillId="0" borderId="2" xfId="0" applyFont="1" applyBorder="1" applyAlignment="1">
      <alignment wrapText="1"/>
    </xf>
    <xf numFmtId="0" fontId="29" fillId="0" borderId="2" xfId="0" applyFont="1" applyBorder="1" applyAlignment="1">
      <alignment horizontal="center" vertical="center"/>
    </xf>
    <xf numFmtId="0" fontId="29" fillId="0" borderId="2" xfId="0" applyFont="1" applyBorder="1" applyAlignment="1">
      <alignment horizontal="center" vertical="center" wrapText="1"/>
    </xf>
    <xf numFmtId="0" fontId="32" fillId="0" borderId="2" xfId="1" applyFont="1" applyBorder="1" applyAlignment="1">
      <alignment wrapText="1"/>
    </xf>
    <xf numFmtId="0" fontId="0" fillId="0" borderId="2" xfId="0" applyBorder="1"/>
    <xf numFmtId="0" fontId="23" fillId="0" borderId="2" xfId="0" applyFont="1" applyBorder="1"/>
    <xf numFmtId="0" fontId="3" fillId="0" borderId="2" xfId="0" applyFont="1" applyBorder="1"/>
    <xf numFmtId="0" fontId="23" fillId="0" borderId="2" xfId="0" applyFont="1" applyBorder="1" applyAlignment="1">
      <alignment wrapText="1"/>
    </xf>
    <xf numFmtId="0" fontId="0" fillId="0" borderId="2" xfId="0" applyBorder="1" applyAlignment="1">
      <alignment horizontal="center" vertical="center" wrapText="1"/>
    </xf>
    <xf numFmtId="0" fontId="0" fillId="0" borderId="2" xfId="0" applyBorder="1" applyAlignment="1">
      <alignment wrapText="1"/>
    </xf>
    <xf numFmtId="0" fontId="4" fillId="0" borderId="2" xfId="2" applyBorder="1" applyAlignment="1">
      <alignment wrapText="1"/>
    </xf>
    <xf numFmtId="0" fontId="3" fillId="0" borderId="2" xfId="0" applyFont="1" applyBorder="1" applyAlignment="1">
      <alignment wrapText="1"/>
    </xf>
    <xf numFmtId="0" fontId="0" fillId="0" borderId="2" xfId="0" applyBorder="1" applyAlignment="1">
      <alignment horizontal="center" vertical="center"/>
    </xf>
    <xf numFmtId="0" fontId="33" fillId="10" borderId="2" xfId="0" applyFont="1" applyFill="1" applyBorder="1" applyAlignment="1">
      <alignment horizontal="left" vertical="top" wrapText="1"/>
    </xf>
    <xf numFmtId="0" fontId="29" fillId="10" borderId="2" xfId="0" applyFont="1" applyFill="1" applyBorder="1" applyAlignment="1">
      <alignment horizontal="left" vertical="top" wrapText="1"/>
    </xf>
    <xf numFmtId="0" fontId="32" fillId="10" borderId="2" xfId="1" applyFont="1" applyFill="1" applyBorder="1" applyAlignment="1">
      <alignment horizontal="left" vertical="top" wrapText="1"/>
    </xf>
    <xf numFmtId="0" fontId="32" fillId="10" borderId="2" xfId="1" applyFont="1" applyFill="1" applyBorder="1" applyAlignment="1">
      <alignment horizontal="left" vertical="top"/>
    </xf>
    <xf numFmtId="0" fontId="32" fillId="10" borderId="2" xfId="2" applyFont="1" applyFill="1" applyBorder="1" applyAlignment="1">
      <alignment horizontal="left" vertical="top"/>
    </xf>
    <xf numFmtId="0" fontId="29" fillId="0" borderId="5" xfId="0" applyFont="1" applyBorder="1" applyAlignment="1">
      <alignment horizontal="left" vertical="top" wrapText="1"/>
    </xf>
    <xf numFmtId="0" fontId="29" fillId="0" borderId="5" xfId="0" applyFont="1" applyBorder="1" applyAlignment="1">
      <alignment horizontal="left" vertical="top"/>
    </xf>
    <xf numFmtId="0" fontId="33" fillId="10" borderId="2" xfId="0" applyFont="1" applyFill="1" applyBorder="1" applyAlignment="1">
      <alignment wrapText="1"/>
    </xf>
    <xf numFmtId="0" fontId="29" fillId="10" borderId="2" xfId="0" applyFont="1" applyFill="1" applyBorder="1" applyAlignment="1">
      <alignment wrapText="1"/>
    </xf>
    <xf numFmtId="0" fontId="32" fillId="10" borderId="2" xfId="2" applyFont="1" applyFill="1" applyBorder="1" applyAlignment="1">
      <alignment horizontal="left" vertical="top" wrapText="1"/>
    </xf>
    <xf numFmtId="1" fontId="29" fillId="10" borderId="2" xfId="0" applyNumberFormat="1" applyFont="1" applyFill="1" applyBorder="1" applyAlignment="1">
      <alignment horizontal="right" wrapText="1"/>
    </xf>
    <xf numFmtId="0" fontId="29" fillId="10" borderId="2" xfId="0" applyFont="1" applyFill="1" applyBorder="1" applyAlignment="1">
      <alignment horizontal="right" wrapText="1"/>
    </xf>
    <xf numFmtId="0" fontId="29" fillId="10" borderId="2" xfId="0" applyFont="1" applyFill="1" applyBorder="1" applyAlignment="1">
      <alignment horizontal="right"/>
    </xf>
    <xf numFmtId="1" fontId="36" fillId="10" borderId="2" xfId="0" applyNumberFormat="1" applyFont="1" applyFill="1" applyBorder="1" applyAlignment="1">
      <alignment horizontal="right"/>
    </xf>
    <xf numFmtId="0" fontId="36" fillId="10" borderId="2" xfId="0" applyFont="1" applyFill="1" applyBorder="1" applyAlignment="1">
      <alignment horizontal="right" wrapText="1"/>
    </xf>
    <xf numFmtId="0" fontId="36" fillId="10" borderId="2" xfId="0" applyFont="1" applyFill="1" applyBorder="1" applyAlignment="1">
      <alignment wrapText="1"/>
    </xf>
    <xf numFmtId="1" fontId="36" fillId="10" borderId="2" xfId="0" applyNumberFormat="1" applyFont="1" applyFill="1" applyBorder="1"/>
    <xf numFmtId="0" fontId="29" fillId="0" borderId="3" xfId="0" applyFont="1" applyBorder="1" applyAlignment="1">
      <alignment horizontal="left" vertical="top"/>
    </xf>
    <xf numFmtId="0" fontId="29" fillId="0" borderId="4" xfId="0" applyFont="1" applyBorder="1" applyAlignment="1">
      <alignment horizontal="left" vertical="top"/>
    </xf>
    <xf numFmtId="0" fontId="29" fillId="7" borderId="11" xfId="0" applyFont="1" applyFill="1" applyBorder="1" applyAlignment="1">
      <alignment horizontal="center" vertical="center" wrapText="1"/>
    </xf>
    <xf numFmtId="0" fontId="29" fillId="0" borderId="5" xfId="0" applyFont="1" applyBorder="1" applyAlignment="1">
      <alignment wrapText="1"/>
    </xf>
    <xf numFmtId="0" fontId="37" fillId="10" borderId="2" xfId="0" applyFont="1" applyFill="1" applyBorder="1" applyAlignment="1">
      <alignment horizontal="center" vertical="center" wrapText="1"/>
    </xf>
    <xf numFmtId="2" fontId="37" fillId="10" borderId="2" xfId="0" applyNumberFormat="1" applyFont="1" applyFill="1" applyBorder="1" applyAlignment="1">
      <alignment horizontal="center" vertical="center" wrapText="1"/>
    </xf>
    <xf numFmtId="0" fontId="38" fillId="10" borderId="2" xfId="0" applyFont="1" applyFill="1" applyBorder="1" applyAlignment="1">
      <alignment horizontal="center" vertical="center" wrapText="1"/>
    </xf>
    <xf numFmtId="0" fontId="24" fillId="10" borderId="4" xfId="0" applyFont="1" applyFill="1" applyBorder="1" applyAlignment="1">
      <alignment wrapText="1"/>
    </xf>
    <xf numFmtId="0" fontId="24" fillId="10" borderId="2" xfId="0" applyFont="1" applyFill="1" applyBorder="1"/>
    <xf numFmtId="0" fontId="24" fillId="10" borderId="2" xfId="0" applyFont="1" applyFill="1" applyBorder="1" applyAlignment="1">
      <alignment horizontal="right"/>
    </xf>
    <xf numFmtId="0" fontId="23" fillId="10" borderId="2" xfId="0" applyFont="1" applyFill="1" applyBorder="1"/>
    <xf numFmtId="0" fontId="24" fillId="10" borderId="2" xfId="0" applyFont="1" applyFill="1" applyBorder="1" applyAlignment="1">
      <alignment wrapText="1"/>
    </xf>
    <xf numFmtId="0" fontId="0" fillId="8" borderId="20" xfId="0" applyFill="1" applyBorder="1"/>
    <xf numFmtId="0" fontId="0" fillId="8" borderId="20" xfId="0" applyFill="1" applyBorder="1" applyAlignment="1">
      <alignment vertical="center" wrapText="1"/>
    </xf>
    <xf numFmtId="0" fontId="0" fillId="8" borderId="20" xfId="0" applyFill="1" applyBorder="1" applyAlignment="1">
      <alignment horizontal="right" vertical="center" wrapText="1"/>
    </xf>
    <xf numFmtId="0" fontId="0" fillId="0" borderId="11" xfId="0" applyBorder="1" applyAlignment="1">
      <alignment wrapText="1"/>
    </xf>
    <xf numFmtId="0" fontId="0" fillId="0" borderId="11" xfId="0" applyBorder="1"/>
    <xf numFmtId="0" fontId="0" fillId="0" borderId="5" xfId="0" applyBorder="1"/>
    <xf numFmtId="0" fontId="3" fillId="0" borderId="5" xfId="0" applyFont="1" applyBorder="1" applyAlignment="1">
      <alignment vertical="center" wrapText="1"/>
    </xf>
    <xf numFmtId="3" fontId="3" fillId="0" borderId="5" xfId="0" applyNumberFormat="1" applyFont="1" applyBorder="1" applyAlignment="1">
      <alignment horizontal="right" vertical="center" wrapText="1"/>
    </xf>
    <xf numFmtId="0" fontId="0" fillId="0" borderId="5" xfId="0" applyBorder="1" applyAlignment="1">
      <alignment vertical="center" wrapText="1"/>
    </xf>
    <xf numFmtId="0" fontId="22" fillId="8" borderId="20" xfId="0" applyFont="1" applyFill="1" applyBorder="1" applyAlignment="1">
      <alignment vertical="center"/>
    </xf>
    <xf numFmtId="0" fontId="39" fillId="8" borderId="9"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39" fillId="8" borderId="14" xfId="0" applyFont="1" applyFill="1" applyBorder="1" applyAlignment="1">
      <alignment horizontal="center" vertical="center" wrapText="1"/>
    </xf>
    <xf numFmtId="0" fontId="27" fillId="11" borderId="10" xfId="0" applyFont="1" applyFill="1" applyBorder="1" applyAlignment="1">
      <alignment wrapText="1"/>
    </xf>
    <xf numFmtId="0" fontId="27" fillId="11" borderId="11" xfId="0" applyFont="1" applyFill="1" applyBorder="1" applyAlignment="1">
      <alignment wrapText="1"/>
    </xf>
    <xf numFmtId="0" fontId="24" fillId="11" borderId="11" xfId="0" applyFont="1" applyFill="1" applyBorder="1"/>
    <xf numFmtId="0" fontId="26" fillId="11" borderId="11" xfId="0" applyFont="1" applyFill="1" applyBorder="1"/>
    <xf numFmtId="2" fontId="24" fillId="10" borderId="3" xfId="0" applyNumberFormat="1" applyFont="1" applyFill="1" applyBorder="1"/>
    <xf numFmtId="2" fontId="23" fillId="10" borderId="3" xfId="0" applyNumberFormat="1" applyFont="1" applyFill="1" applyBorder="1"/>
    <xf numFmtId="2" fontId="26" fillId="11" borderId="15" xfId="0" applyNumberFormat="1" applyFont="1" applyFill="1" applyBorder="1"/>
    <xf numFmtId="0" fontId="4" fillId="0" borderId="2" xfId="1" applyBorder="1"/>
    <xf numFmtId="0" fontId="29" fillId="10" borderId="15" xfId="0" applyFont="1" applyFill="1" applyBorder="1" applyAlignment="1">
      <alignment vertical="center" wrapText="1"/>
    </xf>
    <xf numFmtId="0" fontId="33" fillId="10" borderId="19" xfId="0" applyFont="1" applyFill="1" applyBorder="1" applyAlignment="1">
      <alignment horizontal="center" vertical="center" wrapText="1"/>
    </xf>
    <xf numFmtId="0" fontId="29" fillId="10" borderId="15" xfId="0" applyFont="1" applyFill="1" applyBorder="1" applyAlignment="1">
      <alignment horizontal="center" vertical="center"/>
    </xf>
    <xf numFmtId="0" fontId="33" fillId="10" borderId="15" xfId="0" applyFont="1" applyFill="1" applyBorder="1" applyAlignment="1">
      <alignment horizontal="center" vertical="center"/>
    </xf>
    <xf numFmtId="0" fontId="29" fillId="10" borderId="15" xfId="0" applyFont="1" applyFill="1" applyBorder="1" applyAlignment="1">
      <alignment horizontal="center" vertical="center" wrapText="1"/>
    </xf>
    <xf numFmtId="170" fontId="29" fillId="10" borderId="15" xfId="0" applyNumberFormat="1" applyFont="1" applyFill="1" applyBorder="1" applyAlignment="1">
      <alignment horizontal="center" vertical="center"/>
    </xf>
    <xf numFmtId="170" fontId="33" fillId="10" borderId="15" xfId="0" applyNumberFormat="1" applyFont="1" applyFill="1" applyBorder="1" applyAlignment="1">
      <alignment horizontal="center" vertical="center"/>
    </xf>
    <xf numFmtId="0" fontId="31" fillId="8" borderId="21" xfId="0" applyFont="1" applyFill="1" applyBorder="1" applyAlignment="1">
      <alignment horizontal="center" vertical="center" wrapText="1"/>
    </xf>
    <xf numFmtId="0" fontId="31" fillId="12" borderId="21" xfId="0" applyFont="1" applyFill="1" applyBorder="1" applyAlignment="1">
      <alignment horizontal="center" vertical="center" wrapText="1"/>
    </xf>
    <xf numFmtId="0" fontId="31" fillId="13" borderId="21"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9" fillId="8" borderId="11" xfId="0" applyFont="1" applyFill="1" applyBorder="1" applyAlignment="1">
      <alignment horizontal="left" vertical="top" wrapText="1"/>
    </xf>
    <xf numFmtId="0" fontId="29" fillId="8" borderId="11" xfId="0" applyFont="1" applyFill="1" applyBorder="1" applyAlignment="1">
      <alignment horizontal="left" vertical="top"/>
    </xf>
    <xf numFmtId="0" fontId="29" fillId="8" borderId="11" xfId="0" applyFont="1" applyFill="1" applyBorder="1" applyAlignment="1">
      <alignment horizontal="center" vertical="center" wrapText="1"/>
    </xf>
    <xf numFmtId="0" fontId="31" fillId="8" borderId="0" xfId="0" applyFont="1" applyFill="1" applyAlignment="1">
      <alignment horizontal="center" vertical="center" wrapText="1"/>
    </xf>
    <xf numFmtId="0" fontId="31" fillId="8" borderId="9" xfId="0" applyFont="1" applyFill="1" applyBorder="1" applyAlignment="1">
      <alignment horizontal="center" vertical="center"/>
    </xf>
    <xf numFmtId="0" fontId="31" fillId="8" borderId="5" xfId="0" applyFont="1" applyFill="1" applyBorder="1" applyAlignment="1">
      <alignment horizontal="center" vertical="center" wrapText="1"/>
    </xf>
    <xf numFmtId="0" fontId="31" fillId="8" borderId="14" xfId="0" applyFont="1" applyFill="1" applyBorder="1" applyAlignment="1">
      <alignment horizontal="center" vertical="center" wrapText="1"/>
    </xf>
    <xf numFmtId="0" fontId="33" fillId="10" borderId="4" xfId="0" applyFont="1" applyFill="1" applyBorder="1" applyAlignment="1">
      <alignment horizontal="left" vertical="center"/>
    </xf>
    <xf numFmtId="170" fontId="29" fillId="10" borderId="2" xfId="0" applyNumberFormat="1" applyFont="1" applyFill="1" applyBorder="1" applyAlignment="1">
      <alignment horizontal="center" vertical="center"/>
    </xf>
    <xf numFmtId="1" fontId="29" fillId="10" borderId="2" xfId="0" applyNumberFormat="1" applyFont="1" applyFill="1" applyBorder="1" applyAlignment="1">
      <alignment horizontal="center" vertical="center"/>
    </xf>
    <xf numFmtId="0" fontId="29" fillId="10" borderId="3" xfId="0" applyFont="1" applyFill="1" applyBorder="1" applyAlignment="1">
      <alignment horizontal="center" vertical="center" wrapText="1"/>
    </xf>
    <xf numFmtId="0" fontId="38" fillId="10" borderId="4" xfId="0" applyFont="1" applyFill="1" applyBorder="1" applyAlignment="1">
      <alignment horizontal="left" vertical="center" wrapText="1"/>
    </xf>
    <xf numFmtId="0" fontId="33" fillId="10" borderId="10" xfId="0" applyFont="1" applyFill="1" applyBorder="1" applyAlignment="1">
      <alignment horizontal="left" vertical="center" wrapText="1"/>
    </xf>
    <xf numFmtId="170" fontId="29" fillId="10" borderId="11" xfId="0" applyNumberFormat="1" applyFont="1" applyFill="1" applyBorder="1" applyAlignment="1">
      <alignment horizontal="center" vertical="center"/>
    </xf>
    <xf numFmtId="1" fontId="29" fillId="10" borderId="11" xfId="0" applyNumberFormat="1" applyFont="1" applyFill="1" applyBorder="1" applyAlignment="1">
      <alignment horizontal="center" vertical="center"/>
    </xf>
    <xf numFmtId="0" fontId="37" fillId="0" borderId="2" xfId="0" applyFont="1" applyBorder="1"/>
    <xf numFmtId="0" fontId="33" fillId="0" borderId="2" xfId="0" applyFont="1" applyBorder="1" applyAlignment="1">
      <alignment horizontal="center" vertical="center" wrapText="1"/>
    </xf>
    <xf numFmtId="0" fontId="33" fillId="0" borderId="2" xfId="0" applyFont="1" applyBorder="1" applyAlignment="1">
      <alignment horizontal="right" vertical="center" wrapText="1"/>
    </xf>
    <xf numFmtId="0" fontId="33" fillId="0" borderId="2" xfId="0" applyFont="1" applyBorder="1"/>
    <xf numFmtId="0" fontId="29" fillId="0" borderId="2" xfId="0" applyFont="1" applyBorder="1" applyAlignment="1">
      <alignment horizontal="left" vertical="center" wrapText="1"/>
    </xf>
    <xf numFmtId="0" fontId="37" fillId="0" borderId="2" xfId="0" applyFont="1" applyBorder="1" applyAlignment="1">
      <alignment wrapText="1"/>
    </xf>
    <xf numFmtId="0" fontId="29" fillId="0" borderId="2" xfId="0" applyFont="1" applyBorder="1" applyAlignment="1">
      <alignment vertical="center" wrapText="1"/>
    </xf>
    <xf numFmtId="0" fontId="29" fillId="0" borderId="2" xfId="0" applyFont="1" applyBorder="1" applyAlignment="1">
      <alignment horizontal="right" vertical="center" wrapText="1"/>
    </xf>
    <xf numFmtId="0" fontId="33" fillId="0" borderId="2" xfId="0" applyFont="1" applyBorder="1" applyAlignment="1">
      <alignment vertical="center" wrapText="1"/>
    </xf>
    <xf numFmtId="3" fontId="33" fillId="0" borderId="2" xfId="0" applyNumberFormat="1" applyFont="1" applyBorder="1" applyAlignment="1">
      <alignment horizontal="right" vertical="center" wrapText="1"/>
    </xf>
    <xf numFmtId="0" fontId="40" fillId="0" borderId="2" xfId="0" applyFont="1" applyBorder="1"/>
    <xf numFmtId="0" fontId="29" fillId="3" borderId="2" xfId="0" applyFont="1" applyFill="1" applyBorder="1" applyAlignment="1">
      <alignment wrapText="1"/>
    </xf>
    <xf numFmtId="0" fontId="29" fillId="3" borderId="2" xfId="0" applyFont="1" applyFill="1" applyBorder="1"/>
    <xf numFmtId="0" fontId="32" fillId="0" borderId="2" xfId="1" applyFont="1" applyBorder="1"/>
    <xf numFmtId="0" fontId="29" fillId="5" borderId="2" xfId="0" applyFont="1" applyFill="1" applyBorder="1" applyAlignment="1">
      <alignment wrapText="1"/>
    </xf>
    <xf numFmtId="0" fontId="29" fillId="5" borderId="2" xfId="0" applyFont="1" applyFill="1" applyBorder="1"/>
    <xf numFmtId="0" fontId="29" fillId="4" borderId="2" xfId="0" applyFont="1" applyFill="1" applyBorder="1" applyAlignment="1">
      <alignment wrapText="1"/>
    </xf>
    <xf numFmtId="0" fontId="29" fillId="4" borderId="2" xfId="0" applyFont="1" applyFill="1" applyBorder="1"/>
    <xf numFmtId="0" fontId="29" fillId="8" borderId="22" xfId="0" applyFont="1" applyFill="1" applyBorder="1"/>
    <xf numFmtId="0" fontId="31" fillId="0" borderId="2" xfId="0" applyFont="1" applyBorder="1" applyAlignment="1">
      <alignment horizontal="center" vertical="center" wrapText="1"/>
    </xf>
    <xf numFmtId="0" fontId="31" fillId="8" borderId="2" xfId="0" applyFont="1" applyFill="1" applyBorder="1" applyAlignment="1">
      <alignment horizontal="center" wrapText="1"/>
    </xf>
    <xf numFmtId="0" fontId="38" fillId="10" borderId="2" xfId="0" applyFont="1" applyFill="1" applyBorder="1" applyAlignment="1">
      <alignment wrapText="1"/>
    </xf>
    <xf numFmtId="4" fontId="29" fillId="10" borderId="2" xfId="0" applyNumberFormat="1" applyFont="1" applyFill="1" applyBorder="1"/>
    <xf numFmtId="0" fontId="32" fillId="0" borderId="2" xfId="2" applyFont="1" applyBorder="1"/>
    <xf numFmtId="0" fontId="31" fillId="8" borderId="9" xfId="0" applyFont="1" applyFill="1" applyBorder="1" applyAlignment="1">
      <alignment horizontal="center"/>
    </xf>
    <xf numFmtId="0" fontId="31" fillId="8" borderId="5" xfId="0" applyFont="1" applyFill="1" applyBorder="1" applyAlignment="1">
      <alignment horizontal="center"/>
    </xf>
    <xf numFmtId="0" fontId="31" fillId="8" borderId="14" xfId="0" applyFont="1" applyFill="1" applyBorder="1" applyAlignment="1">
      <alignment horizontal="center"/>
    </xf>
    <xf numFmtId="0" fontId="41" fillId="10" borderId="4" xfId="0" applyFont="1" applyFill="1" applyBorder="1"/>
    <xf numFmtId="164" fontId="41" fillId="10" borderId="2" xfId="0" applyNumberFormat="1" applyFont="1" applyFill="1" applyBorder="1"/>
    <xf numFmtId="9" fontId="41" fillId="10" borderId="3" xfId="0" applyNumberFormat="1" applyFont="1" applyFill="1" applyBorder="1"/>
    <xf numFmtId="0" fontId="41" fillId="10" borderId="10" xfId="0" applyFont="1" applyFill="1" applyBorder="1"/>
    <xf numFmtId="164" fontId="41" fillId="10" borderId="11" xfId="0" applyNumberFormat="1" applyFont="1" applyFill="1" applyBorder="1"/>
    <xf numFmtId="9" fontId="41" fillId="10" borderId="11" xfId="0" applyNumberFormat="1" applyFont="1" applyFill="1" applyBorder="1"/>
    <xf numFmtId="0" fontId="29" fillId="0" borderId="11" xfId="0" applyFont="1" applyBorder="1" applyAlignment="1">
      <alignment vertical="center" wrapText="1"/>
    </xf>
    <xf numFmtId="0" fontId="29" fillId="0" borderId="11" xfId="0" applyFont="1" applyBorder="1" applyAlignment="1">
      <alignment horizontal="right" vertical="center" wrapText="1"/>
    </xf>
    <xf numFmtId="0" fontId="29" fillId="0" borderId="5" xfId="0" applyFont="1" applyBorder="1" applyAlignment="1">
      <alignment vertical="center" wrapText="1"/>
    </xf>
    <xf numFmtId="0" fontId="29" fillId="0" borderId="5" xfId="0" applyFont="1" applyBorder="1" applyAlignment="1">
      <alignment horizontal="right" vertical="center" wrapText="1"/>
    </xf>
    <xf numFmtId="0" fontId="29" fillId="8" borderId="20" xfId="0" applyFont="1" applyFill="1" applyBorder="1"/>
    <xf numFmtId="0" fontId="42" fillId="10" borderId="4" xfId="0" applyFont="1" applyFill="1" applyBorder="1" applyAlignment="1">
      <alignment wrapText="1"/>
    </xf>
    <xf numFmtId="0" fontId="42" fillId="10" borderId="2" xfId="0" applyFont="1" applyFill="1" applyBorder="1" applyAlignment="1">
      <alignment wrapText="1"/>
    </xf>
    <xf numFmtId="3" fontId="42" fillId="10" borderId="2" xfId="0" applyNumberFormat="1" applyFont="1" applyFill="1" applyBorder="1" applyAlignment="1">
      <alignment wrapText="1"/>
    </xf>
    <xf numFmtId="4" fontId="41" fillId="10" borderId="2" xfId="0" applyNumberFormat="1" applyFont="1" applyFill="1" applyBorder="1" applyAlignment="1">
      <alignment horizontal="right" wrapText="1"/>
    </xf>
    <xf numFmtId="3" fontId="42" fillId="10" borderId="2" xfId="0" applyNumberFormat="1" applyFont="1" applyFill="1" applyBorder="1" applyAlignment="1">
      <alignment vertical="center" wrapText="1"/>
    </xf>
    <xf numFmtId="0" fontId="41" fillId="10" borderId="2" xfId="0" applyFont="1" applyFill="1" applyBorder="1" applyAlignment="1">
      <alignment horizontal="right" wrapText="1"/>
    </xf>
    <xf numFmtId="9" fontId="42" fillId="10" borderId="3" xfId="0" applyNumberFormat="1" applyFont="1" applyFill="1" applyBorder="1" applyAlignment="1">
      <alignment wrapText="1"/>
    </xf>
    <xf numFmtId="0" fontId="31" fillId="8" borderId="9" xfId="0" applyFont="1" applyFill="1" applyBorder="1" applyAlignment="1">
      <alignment horizontal="center" vertical="top" wrapText="1"/>
    </xf>
    <xf numFmtId="0" fontId="31" fillId="8" borderId="5" xfId="0" applyFont="1" applyFill="1" applyBorder="1" applyAlignment="1">
      <alignment horizontal="center" vertical="top" wrapText="1"/>
    </xf>
    <xf numFmtId="0" fontId="31" fillId="8" borderId="14" xfId="0" applyFont="1" applyFill="1" applyBorder="1" applyAlignment="1">
      <alignment horizontal="center" vertical="top" wrapText="1"/>
    </xf>
    <xf numFmtId="0" fontId="33" fillId="0" borderId="2" xfId="0" applyFont="1" applyBorder="1" applyAlignment="1">
      <alignment horizontal="right"/>
    </xf>
    <xf numFmtId="0" fontId="33" fillId="14" borderId="10" xfId="0" applyFont="1" applyFill="1" applyBorder="1" applyAlignment="1">
      <alignment horizontal="center" wrapText="1"/>
    </xf>
    <xf numFmtId="0" fontId="33" fillId="14" borderId="11" xfId="0" applyFont="1" applyFill="1" applyBorder="1" applyAlignment="1">
      <alignment horizontal="center" wrapText="1"/>
    </xf>
    <xf numFmtId="0" fontId="33" fillId="14" borderId="11" xfId="0" applyFont="1" applyFill="1" applyBorder="1" applyAlignment="1">
      <alignment wrapText="1"/>
    </xf>
    <xf numFmtId="3" fontId="33" fillId="14" borderId="11" xfId="0" applyNumberFormat="1" applyFont="1" applyFill="1" applyBorder="1" applyAlignment="1">
      <alignment wrapText="1"/>
    </xf>
    <xf numFmtId="167" fontId="33" fillId="14" borderId="11" xfId="0" applyNumberFormat="1" applyFont="1" applyFill="1" applyBorder="1" applyAlignment="1">
      <alignment wrapText="1"/>
    </xf>
    <xf numFmtId="0" fontId="29" fillId="14" borderId="15" xfId="0" applyFont="1" applyFill="1" applyBorder="1"/>
    <xf numFmtId="0" fontId="31" fillId="12" borderId="5" xfId="0" applyFont="1" applyFill="1" applyBorder="1" applyAlignment="1">
      <alignment horizontal="center" vertical="top" wrapText="1"/>
    </xf>
    <xf numFmtId="0" fontId="42" fillId="10" borderId="10" xfId="0" applyFont="1" applyFill="1" applyBorder="1" applyAlignment="1">
      <alignment wrapText="1"/>
    </xf>
    <xf numFmtId="0" fontId="42" fillId="10" borderId="11" xfId="0" applyFont="1" applyFill="1" applyBorder="1" applyAlignment="1">
      <alignment wrapText="1"/>
    </xf>
    <xf numFmtId="0" fontId="42" fillId="10" borderId="10" xfId="0" applyFont="1" applyFill="1" applyBorder="1" applyAlignment="1">
      <alignment horizontal="center" vertical="center" wrapText="1"/>
    </xf>
    <xf numFmtId="0" fontId="42" fillId="10" borderId="11" xfId="0" applyFont="1" applyFill="1" applyBorder="1" applyAlignment="1">
      <alignment horizontal="center" vertical="center" wrapText="1"/>
    </xf>
    <xf numFmtId="0" fontId="38" fillId="10" borderId="11" xfId="0" applyFont="1" applyFill="1" applyBorder="1" applyAlignment="1">
      <alignment horizontal="center" vertical="center" wrapText="1"/>
    </xf>
    <xf numFmtId="0" fontId="42" fillId="10" borderId="15" xfId="0" applyFont="1" applyFill="1" applyBorder="1" applyAlignment="1">
      <alignment horizontal="center" vertical="center" wrapText="1"/>
    </xf>
    <xf numFmtId="0" fontId="33" fillId="10" borderId="2" xfId="0" applyFont="1" applyFill="1" applyBorder="1" applyAlignment="1">
      <alignment horizontal="center"/>
    </xf>
    <xf numFmtId="168" fontId="33" fillId="10" borderId="3" xfId="0" applyNumberFormat="1" applyFont="1" applyFill="1" applyBorder="1" applyAlignment="1">
      <alignment horizontal="center"/>
    </xf>
    <xf numFmtId="0" fontId="33" fillId="10" borderId="11" xfId="0" applyFont="1" applyFill="1" applyBorder="1" applyAlignment="1">
      <alignment horizontal="center"/>
    </xf>
    <xf numFmtId="168" fontId="33" fillId="10" borderId="15" xfId="0" applyNumberFormat="1" applyFont="1" applyFill="1" applyBorder="1" applyAlignment="1">
      <alignment horizontal="center"/>
    </xf>
    <xf numFmtId="0" fontId="31" fillId="12" borderId="14" xfId="0" applyFont="1" applyFill="1" applyBorder="1" applyAlignment="1">
      <alignment horizontal="center" vertical="top" wrapText="1"/>
    </xf>
    <xf numFmtId="0" fontId="31" fillId="8" borderId="9" xfId="0" applyFont="1" applyFill="1" applyBorder="1" applyAlignment="1">
      <alignment horizontal="center" vertical="center" wrapText="1"/>
    </xf>
    <xf numFmtId="0" fontId="29" fillId="10" borderId="10" xfId="0" applyFont="1" applyFill="1" applyBorder="1" applyAlignment="1">
      <alignment vertical="center" wrapText="1"/>
    </xf>
    <xf numFmtId="3" fontId="29" fillId="10" borderId="11" xfId="0" applyNumberFormat="1" applyFont="1" applyFill="1" applyBorder="1" applyAlignment="1">
      <alignment vertical="center" wrapText="1"/>
    </xf>
    <xf numFmtId="167" fontId="29" fillId="10" borderId="11" xfId="0" applyNumberFormat="1" applyFont="1" applyFill="1" applyBorder="1" applyAlignment="1">
      <alignment vertical="center" wrapText="1"/>
    </xf>
    <xf numFmtId="0" fontId="29" fillId="10" borderId="11" xfId="0" applyFont="1" applyFill="1" applyBorder="1" applyAlignment="1">
      <alignment vertical="center" wrapText="1"/>
    </xf>
    <xf numFmtId="0" fontId="29" fillId="0" borderId="2" xfId="0" applyFont="1" applyBorder="1" applyAlignment="1">
      <alignment horizontal="center" wrapText="1"/>
    </xf>
    <xf numFmtId="0" fontId="42" fillId="10" borderId="2" xfId="0" applyFont="1" applyFill="1" applyBorder="1"/>
    <xf numFmtId="2" fontId="29" fillId="10" borderId="2" xfId="0" applyNumberFormat="1" applyFont="1" applyFill="1" applyBorder="1"/>
    <xf numFmtId="0" fontId="42" fillId="0" borderId="2" xfId="0" applyFont="1" applyBorder="1"/>
    <xf numFmtId="2" fontId="29" fillId="0" borderId="2" xfId="0" applyNumberFormat="1" applyFont="1" applyBorder="1"/>
    <xf numFmtId="0" fontId="42" fillId="10" borderId="4" xfId="0" applyFont="1" applyFill="1" applyBorder="1"/>
    <xf numFmtId="0" fontId="29" fillId="10" borderId="3" xfId="0" applyFont="1" applyFill="1" applyBorder="1" applyAlignment="1">
      <alignment wrapText="1"/>
    </xf>
    <xf numFmtId="0" fontId="42" fillId="10" borderId="10" xfId="0" applyFont="1" applyFill="1" applyBorder="1"/>
    <xf numFmtId="0" fontId="29" fillId="10" borderId="11" xfId="0" applyFont="1" applyFill="1" applyBorder="1"/>
    <xf numFmtId="2" fontId="29" fillId="10" borderId="11" xfId="0" applyNumberFormat="1" applyFont="1" applyFill="1" applyBorder="1"/>
    <xf numFmtId="0" fontId="29" fillId="10" borderId="15" xfId="0" applyFont="1" applyFill="1" applyBorder="1" applyAlignment="1">
      <alignment wrapText="1"/>
    </xf>
    <xf numFmtId="0" fontId="29" fillId="8" borderId="20" xfId="0" applyFont="1" applyFill="1" applyBorder="1" applyAlignment="1">
      <alignment horizontal="left"/>
    </xf>
    <xf numFmtId="0" fontId="30" fillId="8" borderId="9" xfId="0" applyFont="1" applyFill="1" applyBorder="1" applyAlignment="1">
      <alignment horizontal="center" vertical="center" wrapText="1"/>
    </xf>
    <xf numFmtId="0" fontId="30" fillId="8" borderId="5"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42" fillId="10" borderId="3" xfId="0" applyFont="1" applyFill="1" applyBorder="1" applyAlignment="1">
      <alignment wrapText="1"/>
    </xf>
    <xf numFmtId="0" fontId="42" fillId="10" borderId="11" xfId="0" applyFont="1" applyFill="1" applyBorder="1"/>
    <xf numFmtId="0" fontId="42" fillId="10" borderId="15" xfId="0" applyFont="1" applyFill="1" applyBorder="1" applyAlignment="1">
      <alignment wrapText="1"/>
    </xf>
    <xf numFmtId="0" fontId="41" fillId="10" borderId="4" xfId="0" applyFont="1" applyFill="1" applyBorder="1" applyAlignment="1">
      <alignment horizontal="center" vertical="center"/>
    </xf>
    <xf numFmtId="0" fontId="42" fillId="10" borderId="2" xfId="0" applyFont="1" applyFill="1" applyBorder="1" applyAlignment="1">
      <alignment horizontal="center" vertical="center"/>
    </xf>
    <xf numFmtId="0" fontId="42" fillId="10" borderId="3" xfId="0" applyFont="1" applyFill="1" applyBorder="1" applyAlignment="1">
      <alignment horizontal="center" vertical="center" wrapText="1"/>
    </xf>
    <xf numFmtId="0" fontId="41" fillId="10" borderId="10" xfId="0" applyFont="1" applyFill="1" applyBorder="1" applyAlignment="1">
      <alignment horizontal="center" vertical="center"/>
    </xf>
    <xf numFmtId="0" fontId="42" fillId="10" borderId="11" xfId="0" applyFont="1" applyFill="1" applyBorder="1" applyAlignment="1">
      <alignment horizontal="center" vertical="center"/>
    </xf>
    <xf numFmtId="0" fontId="29" fillId="8" borderId="21" xfId="0" applyFont="1" applyFill="1" applyBorder="1"/>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wrapText="1"/>
    </xf>
    <xf numFmtId="2" fontId="29" fillId="10" borderId="2" xfId="0" applyNumberFormat="1" applyFont="1" applyFill="1" applyBorder="1" applyAlignment="1">
      <alignment horizontal="left" vertical="center" wrapText="1"/>
    </xf>
    <xf numFmtId="169" fontId="29" fillId="10" borderId="2" xfId="0" applyNumberFormat="1" applyFont="1" applyFill="1" applyBorder="1" applyAlignment="1">
      <alignment horizontal="left" vertical="center" wrapText="1"/>
    </xf>
    <xf numFmtId="165" fontId="29" fillId="10" borderId="2" xfId="3" applyNumberFormat="1" applyFont="1" applyFill="1" applyBorder="1"/>
    <xf numFmtId="0" fontId="29" fillId="10" borderId="3" xfId="0" applyFont="1" applyFill="1" applyBorder="1" applyAlignment="1">
      <alignment horizontal="left" vertical="center" wrapText="1"/>
    </xf>
    <xf numFmtId="0" fontId="29" fillId="10" borderId="4" xfId="0" applyFont="1" applyFill="1" applyBorder="1" applyAlignment="1">
      <alignment horizontal="left" vertical="center" wrapText="1"/>
    </xf>
    <xf numFmtId="0" fontId="29" fillId="10" borderId="10" xfId="0" applyFont="1" applyFill="1" applyBorder="1" applyAlignment="1">
      <alignment horizontal="left" vertical="center"/>
    </xf>
    <xf numFmtId="0" fontId="29" fillId="10" borderId="11" xfId="0" applyFont="1" applyFill="1" applyBorder="1" applyAlignment="1">
      <alignment horizontal="left" vertical="center" wrapText="1"/>
    </xf>
    <xf numFmtId="2" fontId="29" fillId="10" borderId="11" xfId="0" applyNumberFormat="1" applyFont="1" applyFill="1" applyBorder="1" applyAlignment="1">
      <alignment horizontal="left" vertical="center" wrapText="1"/>
    </xf>
    <xf numFmtId="169" fontId="29" fillId="10" borderId="11" xfId="0" applyNumberFormat="1" applyFont="1" applyFill="1" applyBorder="1" applyAlignment="1">
      <alignment horizontal="left" vertical="center" wrapText="1"/>
    </xf>
    <xf numFmtId="0" fontId="29" fillId="10" borderId="15" xfId="0" applyFont="1" applyFill="1" applyBorder="1" applyAlignment="1">
      <alignment horizontal="left" vertical="center" wrapText="1"/>
    </xf>
    <xf numFmtId="0" fontId="28" fillId="8" borderId="12" xfId="0" applyFont="1" applyFill="1" applyBorder="1" applyAlignment="1">
      <alignment vertical="center" wrapText="1"/>
    </xf>
    <xf numFmtId="0" fontId="28" fillId="8" borderId="13" xfId="0" applyFont="1" applyFill="1" applyBorder="1" applyAlignment="1">
      <alignment vertical="center" wrapText="1"/>
    </xf>
    <xf numFmtId="0" fontId="28" fillId="8" borderId="5" xfId="0" applyFont="1" applyFill="1" applyBorder="1" applyAlignment="1">
      <alignment horizontal="left" vertical="center" wrapText="1"/>
    </xf>
    <xf numFmtId="0" fontId="31" fillId="8" borderId="5" xfId="0" applyFont="1" applyFill="1" applyBorder="1" applyAlignment="1">
      <alignment horizontal="left" vertical="center" wrapText="1"/>
    </xf>
    <xf numFmtId="0" fontId="25" fillId="0" borderId="2" xfId="0" applyFont="1" applyBorder="1" applyAlignment="1">
      <alignment wrapText="1"/>
    </xf>
    <xf numFmtId="0" fontId="29" fillId="10" borderId="2" xfId="0" applyFont="1" applyFill="1" applyBorder="1" applyAlignment="1">
      <alignment vertical="center" wrapText="1"/>
    </xf>
    <xf numFmtId="0" fontId="32" fillId="10" borderId="2" xfId="2" applyFont="1" applyFill="1" applyBorder="1" applyAlignment="1">
      <alignment vertical="center" wrapText="1"/>
    </xf>
    <xf numFmtId="0" fontId="33" fillId="10" borderId="4" xfId="0" applyFont="1" applyFill="1" applyBorder="1" applyAlignment="1">
      <alignment vertical="center" wrapText="1"/>
    </xf>
    <xf numFmtId="0" fontId="29" fillId="10" borderId="3" xfId="0" applyFont="1" applyFill="1" applyBorder="1" applyAlignment="1">
      <alignment vertical="center" wrapText="1"/>
    </xf>
    <xf numFmtId="0" fontId="33" fillId="10" borderId="10" xfId="0" applyFont="1" applyFill="1" applyBorder="1" applyAlignment="1">
      <alignment vertical="center" wrapText="1"/>
    </xf>
    <xf numFmtId="0" fontId="32" fillId="10" borderId="11" xfId="2" applyFont="1" applyFill="1" applyBorder="1" applyAlignment="1">
      <alignment vertical="center" wrapText="1"/>
    </xf>
    <xf numFmtId="0" fontId="36" fillId="10" borderId="10" xfId="0" applyFont="1" applyFill="1" applyBorder="1"/>
    <xf numFmtId="3" fontId="36" fillId="10" borderId="11" xfId="0" applyNumberFormat="1" applyFont="1" applyFill="1" applyBorder="1"/>
    <xf numFmtId="0" fontId="36" fillId="10" borderId="11" xfId="0" applyFont="1" applyFill="1" applyBorder="1" applyAlignment="1">
      <alignment wrapText="1"/>
    </xf>
    <xf numFmtId="0" fontId="36" fillId="10" borderId="15" xfId="0" applyFont="1" applyFill="1" applyBorder="1" applyAlignment="1">
      <alignment wrapText="1"/>
    </xf>
    <xf numFmtId="0" fontId="44" fillId="8" borderId="9" xfId="0" applyFont="1" applyFill="1" applyBorder="1" applyAlignment="1">
      <alignment horizontal="center" vertical="center" wrapText="1"/>
    </xf>
    <xf numFmtId="0" fontId="44" fillId="8" borderId="5" xfId="0" applyFont="1" applyFill="1" applyBorder="1" applyAlignment="1">
      <alignment horizontal="center" vertical="center" wrapText="1"/>
    </xf>
    <xf numFmtId="0" fontId="44" fillId="8" borderId="14" xfId="0" applyFont="1" applyFill="1" applyBorder="1" applyAlignment="1">
      <alignment horizontal="center" vertical="center" wrapText="1"/>
    </xf>
    <xf numFmtId="0" fontId="0" fillId="0" borderId="9" xfId="0" applyBorder="1"/>
    <xf numFmtId="0" fontId="0" fillId="0" borderId="14" xfId="0" applyBorder="1"/>
    <xf numFmtId="0" fontId="25" fillId="0" borderId="5" xfId="0" applyFont="1" applyBorder="1" applyAlignment="1">
      <alignment wrapText="1"/>
    </xf>
    <xf numFmtId="0" fontId="32" fillId="10" borderId="2" xfId="2" applyFont="1" applyFill="1" applyBorder="1" applyAlignment="1">
      <alignment wrapText="1"/>
    </xf>
    <xf numFmtId="0" fontId="29" fillId="8" borderId="2" xfId="0" applyFont="1" applyFill="1" applyBorder="1" applyAlignment="1">
      <alignment horizontal="center" vertical="center" wrapText="1"/>
    </xf>
    <xf numFmtId="0" fontId="31" fillId="8" borderId="9" xfId="0" applyFont="1" applyFill="1" applyBorder="1"/>
    <xf numFmtId="0" fontId="31" fillId="8" borderId="5" xfId="0" applyFont="1" applyFill="1" applyBorder="1" applyAlignment="1">
      <alignment wrapText="1"/>
    </xf>
    <xf numFmtId="0" fontId="31" fillId="8" borderId="14" xfId="0" applyFont="1" applyFill="1" applyBorder="1" applyAlignment="1">
      <alignment wrapText="1"/>
    </xf>
    <xf numFmtId="0" fontId="31" fillId="0" borderId="2" xfId="0" applyFont="1" applyBorder="1" applyAlignment="1">
      <alignment horizontal="center"/>
    </xf>
    <xf numFmtId="9" fontId="41" fillId="10" borderId="2" xfId="0" applyNumberFormat="1" applyFont="1" applyFill="1" applyBorder="1"/>
    <xf numFmtId="9" fontId="42" fillId="10" borderId="2" xfId="0" applyNumberFormat="1" applyFont="1" applyFill="1" applyBorder="1"/>
    <xf numFmtId="0" fontId="41" fillId="10" borderId="4" xfId="0" applyFont="1" applyFill="1" applyBorder="1" applyAlignment="1">
      <alignment wrapText="1"/>
    </xf>
    <xf numFmtId="0" fontId="41" fillId="10" borderId="2" xfId="0" applyFont="1" applyFill="1" applyBorder="1"/>
    <xf numFmtId="0" fontId="41" fillId="10" borderId="10" xfId="0" applyFont="1" applyFill="1" applyBorder="1" applyAlignment="1">
      <alignment wrapText="1"/>
    </xf>
    <xf numFmtId="166" fontId="41" fillId="10" borderId="11" xfId="0" applyNumberFormat="1" applyFont="1" applyFill="1" applyBorder="1"/>
    <xf numFmtId="0" fontId="41" fillId="14" borderId="4" xfId="0" applyFont="1" applyFill="1" applyBorder="1"/>
    <xf numFmtId="9" fontId="42" fillId="14" borderId="2" xfId="0" applyNumberFormat="1" applyFont="1" applyFill="1" applyBorder="1"/>
    <xf numFmtId="0" fontId="42" fillId="14" borderId="2" xfId="0" applyFont="1" applyFill="1" applyBorder="1" applyAlignment="1">
      <alignment wrapText="1"/>
    </xf>
    <xf numFmtId="0" fontId="42" fillId="14" borderId="2" xfId="0" applyFont="1" applyFill="1" applyBorder="1"/>
    <xf numFmtId="0" fontId="42" fillId="14" borderId="3" xfId="0" applyFont="1" applyFill="1" applyBorder="1" applyAlignment="1">
      <alignment wrapText="1"/>
    </xf>
    <xf numFmtId="0" fontId="33" fillId="0" borderId="2" xfId="0" applyFont="1" applyBorder="1" applyAlignment="1">
      <alignment horizontal="right" vertical="top" wrapText="1"/>
    </xf>
    <xf numFmtId="0" fontId="31" fillId="0" borderId="9" xfId="0" applyFont="1" applyBorder="1" applyAlignment="1">
      <alignment wrapText="1"/>
    </xf>
    <xf numFmtId="0" fontId="31" fillId="0" borderId="5" xfId="0" applyFont="1" applyBorder="1" applyAlignment="1">
      <alignment wrapText="1"/>
    </xf>
    <xf numFmtId="0" fontId="31" fillId="0" borderId="14" xfId="0" applyFont="1" applyBorder="1" applyAlignment="1">
      <alignment wrapText="1"/>
    </xf>
    <xf numFmtId="0" fontId="42" fillId="10" borderId="2" xfId="0" applyFont="1" applyFill="1" applyBorder="1" applyAlignment="1">
      <alignment vertical="center" wrapText="1"/>
    </xf>
    <xf numFmtId="0" fontId="42" fillId="10" borderId="2" xfId="0" applyFont="1" applyFill="1" applyBorder="1" applyAlignment="1">
      <alignment horizontal="right" vertical="center" wrapText="1"/>
    </xf>
    <xf numFmtId="0" fontId="41" fillId="10" borderId="4" xfId="0" applyFont="1" applyFill="1" applyBorder="1" applyAlignment="1">
      <alignment vertical="center" wrapText="1"/>
    </xf>
    <xf numFmtId="0" fontId="41" fillId="10" borderId="3" xfId="0" applyFont="1" applyFill="1" applyBorder="1" applyAlignment="1">
      <alignment vertical="center" wrapText="1"/>
    </xf>
    <xf numFmtId="0" fontId="41" fillId="14" borderId="10" xfId="0" applyFont="1" applyFill="1" applyBorder="1" applyAlignment="1">
      <alignment vertical="center" wrapText="1"/>
    </xf>
    <xf numFmtId="9" fontId="42" fillId="14" borderId="11" xfId="0" applyNumberFormat="1" applyFont="1" applyFill="1" applyBorder="1" applyAlignment="1">
      <alignment vertical="center" wrapText="1"/>
    </xf>
    <xf numFmtId="0" fontId="41" fillId="14" borderId="11" xfId="0" applyFont="1" applyFill="1" applyBorder="1" applyAlignment="1">
      <alignment vertical="center" wrapText="1"/>
    </xf>
    <xf numFmtId="0" fontId="42" fillId="14" borderId="15" xfId="0" applyFont="1" applyFill="1" applyBorder="1" applyAlignment="1">
      <alignment vertical="center" wrapText="1"/>
    </xf>
    <xf numFmtId="0" fontId="31" fillId="0" borderId="9" xfId="0" applyFont="1" applyBorder="1" applyAlignment="1">
      <alignment horizontal="center" vertical="center" wrapText="1"/>
    </xf>
    <xf numFmtId="0" fontId="31" fillId="0" borderId="5" xfId="0" applyFont="1" applyBorder="1" applyAlignment="1">
      <alignment horizontal="right" vertical="center" wrapText="1"/>
    </xf>
    <xf numFmtId="0" fontId="31" fillId="0" borderId="5"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9" xfId="0" applyFont="1" applyBorder="1"/>
    <xf numFmtId="0" fontId="31" fillId="0" borderId="5" xfId="0" applyFont="1" applyBorder="1"/>
    <xf numFmtId="0" fontId="31" fillId="0" borderId="14" xfId="0" applyFont="1" applyBorder="1"/>
    <xf numFmtId="0" fontId="42" fillId="10" borderId="3" xfId="0" applyFont="1" applyFill="1" applyBorder="1"/>
    <xf numFmtId="0" fontId="41" fillId="10" borderId="11" xfId="0" applyFont="1" applyFill="1" applyBorder="1"/>
    <xf numFmtId="0" fontId="42" fillId="10" borderId="15" xfId="0" applyFont="1" applyFill="1" applyBorder="1"/>
    <xf numFmtId="0" fontId="50" fillId="10" borderId="4" xfId="0" applyFont="1" applyFill="1" applyBorder="1" applyAlignment="1">
      <alignment horizontal="left" vertical="center" wrapText="1"/>
    </xf>
    <xf numFmtId="0" fontId="51" fillId="10" borderId="2" xfId="0" applyFont="1" applyFill="1" applyBorder="1"/>
    <xf numFmtId="0" fontId="51" fillId="10" borderId="3" xfId="0" applyFont="1" applyFill="1" applyBorder="1" applyAlignment="1">
      <alignment wrapText="1"/>
    </xf>
    <xf numFmtId="0" fontId="50" fillId="10" borderId="4" xfId="0" applyFont="1" applyFill="1" applyBorder="1" applyAlignment="1">
      <alignment vertical="center" wrapText="1"/>
    </xf>
    <xf numFmtId="0" fontId="51" fillId="10" borderId="2" xfId="0" applyFont="1" applyFill="1" applyBorder="1" applyAlignment="1">
      <alignment horizontal="right" vertical="center" wrapText="1"/>
    </xf>
    <xf numFmtId="0" fontId="51" fillId="10" borderId="2" xfId="0" applyFont="1" applyFill="1" applyBorder="1" applyAlignment="1">
      <alignment vertical="center" wrapText="1"/>
    </xf>
    <xf numFmtId="0" fontId="51" fillId="10" borderId="3" xfId="0" applyFont="1" applyFill="1" applyBorder="1" applyAlignment="1">
      <alignment vertical="center" wrapText="1"/>
    </xf>
    <xf numFmtId="3" fontId="50" fillId="10" borderId="2" xfId="0" applyNumberFormat="1" applyFont="1" applyFill="1" applyBorder="1" applyAlignment="1">
      <alignment horizontal="right" vertical="center" wrapText="1"/>
    </xf>
    <xf numFmtId="0" fontId="50" fillId="10" borderId="2" xfId="0" applyFont="1" applyFill="1" applyBorder="1" applyAlignment="1">
      <alignment horizontal="right" vertical="center" wrapText="1"/>
    </xf>
    <xf numFmtId="0" fontId="50" fillId="10" borderId="10" xfId="0" applyFont="1" applyFill="1" applyBorder="1" applyAlignment="1">
      <alignment vertical="center" wrapText="1"/>
    </xf>
    <xf numFmtId="3" fontId="50" fillId="10" borderId="11" xfId="0" applyNumberFormat="1" applyFont="1" applyFill="1" applyBorder="1" applyAlignment="1">
      <alignment horizontal="right" vertical="center" wrapText="1"/>
    </xf>
    <xf numFmtId="0" fontId="51" fillId="10" borderId="11" xfId="0" applyFont="1" applyFill="1" applyBorder="1" applyAlignment="1">
      <alignment vertical="center" wrapText="1"/>
    </xf>
    <xf numFmtId="0" fontId="51" fillId="10" borderId="15" xfId="0" applyFont="1" applyFill="1" applyBorder="1" applyAlignment="1">
      <alignment vertical="center" wrapText="1"/>
    </xf>
    <xf numFmtId="0" fontId="41" fillId="14" borderId="10" xfId="0" applyFont="1" applyFill="1" applyBorder="1"/>
    <xf numFmtId="0" fontId="42" fillId="14" borderId="11" xfId="0" applyFont="1" applyFill="1" applyBorder="1"/>
    <xf numFmtId="0" fontId="41" fillId="14" borderId="11" xfId="0" applyFont="1" applyFill="1" applyBorder="1"/>
    <xf numFmtId="0" fontId="42" fillId="14" borderId="15" xfId="0" applyFont="1" applyFill="1" applyBorder="1"/>
    <xf numFmtId="0" fontId="47" fillId="0" borderId="2" xfId="0" applyFont="1" applyBorder="1" applyAlignment="1">
      <alignment horizontal="right" vertical="top"/>
    </xf>
    <xf numFmtId="0" fontId="32" fillId="10" borderId="2" xfId="1" applyFont="1" applyFill="1" applyBorder="1"/>
    <xf numFmtId="0" fontId="48" fillId="10" borderId="3" xfId="0" applyFont="1" applyFill="1" applyBorder="1" applyAlignment="1">
      <alignment wrapText="1"/>
    </xf>
    <xf numFmtId="0" fontId="32" fillId="10" borderId="2" xfId="1" applyFont="1" applyFill="1" applyBorder="1" applyAlignment="1">
      <alignment wrapText="1"/>
    </xf>
    <xf numFmtId="0" fontId="32" fillId="10" borderId="11" xfId="1" applyFont="1" applyFill="1" applyBorder="1" applyAlignment="1">
      <alignment wrapText="1"/>
    </xf>
    <xf numFmtId="0" fontId="42" fillId="10" borderId="5" xfId="0" applyFont="1" applyFill="1" applyBorder="1" applyAlignment="1">
      <alignment wrapText="1"/>
    </xf>
    <xf numFmtId="0" fontId="4" fillId="10" borderId="2" xfId="1" applyFill="1" applyBorder="1" applyAlignment="1">
      <alignment wrapText="1"/>
    </xf>
    <xf numFmtId="0" fontId="42" fillId="10" borderId="2" xfId="1" applyFont="1" applyFill="1" applyBorder="1" applyAlignment="1">
      <alignment wrapText="1"/>
    </xf>
    <xf numFmtId="0" fontId="33" fillId="0" borderId="2" xfId="0" applyFont="1" applyBorder="1" applyAlignment="1">
      <alignment horizontal="right" vertical="top"/>
    </xf>
    <xf numFmtId="0" fontId="4" fillId="10" borderId="11" xfId="1" applyFill="1" applyBorder="1" applyAlignment="1">
      <alignment wrapText="1"/>
    </xf>
    <xf numFmtId="0" fontId="6" fillId="0" borderId="2" xfId="0" applyFont="1" applyBorder="1" applyAlignment="1">
      <alignment horizontal="left"/>
    </xf>
    <xf numFmtId="0" fontId="7" fillId="0" borderId="2" xfId="0" applyFont="1" applyBorder="1" applyAlignment="1">
      <alignment horizontal="center"/>
    </xf>
    <xf numFmtId="0" fontId="8" fillId="0" borderId="2" xfId="0" applyFont="1" applyBorder="1" applyAlignment="1">
      <alignment horizontal="center"/>
    </xf>
    <xf numFmtId="0" fontId="8" fillId="0" borderId="2" xfId="0" applyFont="1" applyBorder="1"/>
    <xf numFmtId="0" fontId="9" fillId="0" borderId="2" xfId="0" applyFont="1" applyBorder="1" applyAlignment="1">
      <alignment horizontal="left"/>
    </xf>
    <xf numFmtId="0" fontId="10" fillId="0" borderId="2" xfId="0" applyFont="1" applyBorder="1"/>
    <xf numFmtId="0" fontId="11" fillId="0" borderId="2" xfId="0" applyFont="1" applyBorder="1"/>
    <xf numFmtId="0" fontId="14" fillId="0" borderId="2" xfId="0" applyFont="1" applyBorder="1"/>
    <xf numFmtId="0" fontId="12" fillId="0" borderId="2" xfId="0" applyFont="1" applyBorder="1" applyAlignment="1">
      <alignment horizontal="center"/>
    </xf>
    <xf numFmtId="0" fontId="16" fillId="0" borderId="2" xfId="0" applyFont="1" applyBorder="1" applyAlignment="1">
      <alignment horizontal="right"/>
    </xf>
    <xf numFmtId="0" fontId="5" fillId="0" borderId="2" xfId="0" applyFont="1" applyBorder="1"/>
    <xf numFmtId="0" fontId="14" fillId="0" borderId="2" xfId="0" applyFont="1" applyBorder="1" applyAlignment="1">
      <alignment horizontal="center"/>
    </xf>
    <xf numFmtId="0" fontId="17" fillId="0" borderId="2" xfId="0" applyFont="1" applyBorder="1"/>
    <xf numFmtId="0" fontId="14" fillId="0" borderId="2" xfId="0" applyFont="1" applyBorder="1" applyAlignment="1">
      <alignment horizontal="left"/>
    </xf>
    <xf numFmtId="0" fontId="14" fillId="0" borderId="2" xfId="0" applyFont="1" applyBorder="1" applyAlignment="1">
      <alignment horizontal="right"/>
    </xf>
    <xf numFmtId="0" fontId="17" fillId="0" borderId="2" xfId="0" applyFont="1" applyBorder="1" applyAlignment="1">
      <alignment horizontal="right"/>
    </xf>
    <xf numFmtId="0" fontId="12" fillId="0" borderId="2" xfId="0" applyFont="1" applyBorder="1" applyAlignment="1">
      <alignment horizontal="right"/>
    </xf>
    <xf numFmtId="0" fontId="18" fillId="0" borderId="2" xfId="0" applyFont="1" applyBorder="1"/>
    <xf numFmtId="0" fontId="20" fillId="0" borderId="2" xfId="0" applyFont="1" applyBorder="1"/>
    <xf numFmtId="0" fontId="4" fillId="0" borderId="2" xfId="1" applyBorder="1" applyAlignment="1">
      <alignment horizontal="center"/>
    </xf>
    <xf numFmtId="0" fontId="12" fillId="10" borderId="2" xfId="0" applyFont="1" applyFill="1" applyBorder="1"/>
    <xf numFmtId="0" fontId="12" fillId="10" borderId="2" xfId="0" applyFont="1" applyFill="1" applyBorder="1" applyAlignment="1">
      <alignment horizontal="center"/>
    </xf>
    <xf numFmtId="0" fontId="13" fillId="10" borderId="2" xfId="0" applyFont="1" applyFill="1" applyBorder="1"/>
    <xf numFmtId="0" fontId="12" fillId="10" borderId="2" xfId="0" applyFont="1" applyFill="1" applyBorder="1" applyAlignment="1">
      <alignment horizontal="left"/>
    </xf>
    <xf numFmtId="0" fontId="52" fillId="8" borderId="2" xfId="0" applyFont="1" applyFill="1" applyBorder="1" applyAlignment="1">
      <alignment horizontal="center"/>
    </xf>
    <xf numFmtId="0" fontId="12" fillId="10" borderId="2" xfId="0" applyFont="1" applyFill="1" applyBorder="1" applyAlignment="1">
      <alignment horizontal="right"/>
    </xf>
    <xf numFmtId="3" fontId="12" fillId="10" borderId="2" xfId="0" applyNumberFormat="1" applyFont="1" applyFill="1" applyBorder="1" applyAlignment="1">
      <alignment horizontal="right"/>
    </xf>
    <xf numFmtId="10" fontId="12" fillId="10" borderId="2" xfId="0" applyNumberFormat="1" applyFont="1" applyFill="1" applyBorder="1" applyAlignment="1">
      <alignment horizontal="right"/>
    </xf>
    <xf numFmtId="0" fontId="52" fillId="8" borderId="2" xfId="0" applyFont="1" applyFill="1" applyBorder="1" applyAlignment="1">
      <alignment horizontal="right"/>
    </xf>
    <xf numFmtId="0" fontId="19" fillId="10" borderId="2" xfId="0" applyFont="1" applyFill="1" applyBorder="1" applyAlignment="1">
      <alignment horizontal="left"/>
    </xf>
    <xf numFmtId="0" fontId="19" fillId="10" borderId="2" xfId="0" applyFont="1" applyFill="1" applyBorder="1" applyAlignment="1">
      <alignment horizontal="center"/>
    </xf>
    <xf numFmtId="3" fontId="19" fillId="10" borderId="2" xfId="0" applyNumberFormat="1" applyFont="1" applyFill="1" applyBorder="1" applyAlignment="1">
      <alignment horizontal="right"/>
    </xf>
    <xf numFmtId="0" fontId="53" fillId="8" borderId="2" xfId="0" applyFont="1" applyFill="1" applyBorder="1" applyAlignment="1">
      <alignment horizontal="left"/>
    </xf>
    <xf numFmtId="0" fontId="53" fillId="8" borderId="2" xfId="0" applyFont="1" applyFill="1" applyBorder="1" applyAlignment="1">
      <alignment horizontal="center"/>
    </xf>
    <xf numFmtId="0" fontId="53" fillId="8" borderId="2" xfId="0" applyFont="1" applyFill="1" applyBorder="1" applyAlignment="1">
      <alignment horizontal="right"/>
    </xf>
    <xf numFmtId="0" fontId="21" fillId="10" borderId="2" xfId="0" applyFont="1" applyFill="1" applyBorder="1" applyAlignment="1">
      <alignment horizontal="center"/>
    </xf>
    <xf numFmtId="10" fontId="12" fillId="10" borderId="2" xfId="0" applyNumberFormat="1" applyFont="1" applyFill="1" applyBorder="1" applyAlignment="1">
      <alignment horizontal="center"/>
    </xf>
    <xf numFmtId="0" fontId="52" fillId="8" borderId="2" xfId="0" applyFont="1" applyFill="1" applyBorder="1" applyAlignment="1">
      <alignment horizontal="left"/>
    </xf>
    <xf numFmtId="0" fontId="28" fillId="15" borderId="24" xfId="0" applyFont="1" applyFill="1" applyBorder="1" applyAlignment="1">
      <alignment horizontal="left" vertical="center" wrapText="1"/>
    </xf>
    <xf numFmtId="0" fontId="29" fillId="16" borderId="0" xfId="0" applyFont="1" applyFill="1" applyAlignment="1">
      <alignment horizontal="left" vertical="center" wrapText="1"/>
    </xf>
    <xf numFmtId="0" fontId="31" fillId="15" borderId="34" xfId="0" applyFont="1" applyFill="1" applyBorder="1" applyAlignment="1">
      <alignment horizontal="left" vertical="center" wrapText="1"/>
    </xf>
    <xf numFmtId="0" fontId="28" fillId="15" borderId="34" xfId="0" applyFont="1" applyFill="1" applyBorder="1" applyAlignment="1">
      <alignment horizontal="left" vertical="center" wrapText="1"/>
    </xf>
    <xf numFmtId="0" fontId="28" fillId="15" borderId="27" xfId="0" applyFont="1" applyFill="1" applyBorder="1" applyAlignment="1">
      <alignment horizontal="left" vertical="center" wrapText="1"/>
    </xf>
    <xf numFmtId="0" fontId="28" fillId="15" borderId="0" xfId="0" applyFont="1" applyFill="1" applyAlignment="1">
      <alignment horizontal="center" vertical="center" wrapText="1"/>
    </xf>
    <xf numFmtId="0" fontId="28" fillId="15" borderId="35" xfId="0" applyFont="1" applyFill="1" applyBorder="1" applyAlignment="1">
      <alignment horizontal="center" vertical="center" wrapText="1"/>
    </xf>
    <xf numFmtId="0" fontId="29" fillId="15" borderId="34" xfId="0" applyFont="1" applyFill="1" applyBorder="1" applyAlignment="1">
      <alignment horizontal="left" vertical="center" wrapText="1"/>
    </xf>
    <xf numFmtId="0" fontId="30" fillId="15" borderId="24" xfId="0" applyFont="1" applyFill="1" applyBorder="1" applyAlignment="1">
      <alignment horizontal="left" vertical="center" wrapText="1"/>
    </xf>
    <xf numFmtId="2" fontId="29" fillId="16" borderId="31" xfId="0" applyNumberFormat="1" applyFont="1" applyFill="1" applyBorder="1" applyAlignment="1">
      <alignment horizontal="left" vertical="center" wrapText="1"/>
    </xf>
    <xf numFmtId="4" fontId="29" fillId="16" borderId="33" xfId="0" applyNumberFormat="1" applyFont="1" applyFill="1" applyBorder="1" applyAlignment="1">
      <alignment horizontal="left" vertical="center" wrapText="1"/>
    </xf>
    <xf numFmtId="2" fontId="29" fillId="0" borderId="31" xfId="0" applyNumberFormat="1" applyFont="1" applyBorder="1" applyAlignment="1">
      <alignment horizontal="left" vertical="center" wrapText="1"/>
    </xf>
    <xf numFmtId="2" fontId="29" fillId="17" borderId="31" xfId="0" applyNumberFormat="1" applyFont="1" applyFill="1" applyBorder="1" applyAlignment="1">
      <alignment horizontal="left" vertical="center" wrapText="1"/>
    </xf>
    <xf numFmtId="10" fontId="29" fillId="17" borderId="31" xfId="0" applyNumberFormat="1" applyFont="1" applyFill="1" applyBorder="1" applyAlignment="1">
      <alignment horizontal="left" vertical="center" wrapText="1"/>
    </xf>
    <xf numFmtId="0" fontId="29" fillId="17" borderId="31" xfId="0" applyFont="1" applyFill="1" applyBorder="1" applyAlignment="1">
      <alignment horizontal="left" vertical="center" wrapText="1"/>
    </xf>
    <xf numFmtId="169" fontId="29" fillId="17" borderId="31" xfId="0" applyNumberFormat="1" applyFont="1" applyFill="1" applyBorder="1" applyAlignment="1">
      <alignment horizontal="left" vertical="center" wrapText="1"/>
    </xf>
    <xf numFmtId="2" fontId="29" fillId="16" borderId="34" xfId="0" applyNumberFormat="1" applyFont="1" applyFill="1" applyBorder="1" applyAlignment="1">
      <alignment horizontal="left" vertical="center" wrapText="1"/>
    </xf>
    <xf numFmtId="0" fontId="29" fillId="16" borderId="1" xfId="0" applyFont="1" applyFill="1" applyBorder="1" applyAlignment="1">
      <alignment horizontal="left" vertical="center" wrapText="1"/>
    </xf>
    <xf numFmtId="4" fontId="29" fillId="16" borderId="29" xfId="0" applyNumberFormat="1" applyFont="1" applyFill="1" applyBorder="1" applyAlignment="1">
      <alignment horizontal="left" vertical="center" wrapText="1"/>
    </xf>
    <xf numFmtId="10" fontId="29" fillId="17" borderId="33" xfId="0" applyNumberFormat="1" applyFont="1" applyFill="1" applyBorder="1" applyAlignment="1">
      <alignment horizontal="left" vertical="center" wrapText="1"/>
    </xf>
    <xf numFmtId="0" fontId="29" fillId="17" borderId="32" xfId="0" applyFont="1" applyFill="1" applyBorder="1" applyAlignment="1">
      <alignment horizontal="left" vertical="center" wrapText="1"/>
    </xf>
    <xf numFmtId="0" fontId="29" fillId="17" borderId="34" xfId="0" applyFont="1" applyFill="1" applyBorder="1" applyAlignment="1">
      <alignment horizontal="left" vertical="center" wrapText="1"/>
    </xf>
    <xf numFmtId="2" fontId="29" fillId="17" borderId="34" xfId="0" applyNumberFormat="1" applyFont="1" applyFill="1" applyBorder="1" applyAlignment="1">
      <alignment horizontal="left" vertical="center" wrapText="1"/>
    </xf>
    <xf numFmtId="0" fontId="28" fillId="15" borderId="36" xfId="0" applyFont="1" applyFill="1" applyBorder="1" applyAlignment="1">
      <alignment horizontal="left" vertical="center" wrapText="1"/>
    </xf>
    <xf numFmtId="0" fontId="28" fillId="15" borderId="0" xfId="0" applyFont="1" applyFill="1" applyAlignment="1">
      <alignment vertical="center" wrapText="1"/>
    </xf>
    <xf numFmtId="0" fontId="28" fillId="15" borderId="35" xfId="0" applyFont="1" applyFill="1" applyBorder="1" applyAlignment="1">
      <alignment vertical="center" wrapText="1"/>
    </xf>
    <xf numFmtId="2" fontId="29" fillId="15" borderId="34" xfId="0" applyNumberFormat="1" applyFont="1" applyFill="1" applyBorder="1" applyAlignment="1">
      <alignment horizontal="left" vertical="center" wrapText="1"/>
    </xf>
    <xf numFmtId="0" fontId="29" fillId="16" borderId="34" xfId="0" applyFont="1" applyFill="1" applyBorder="1" applyAlignment="1">
      <alignment horizontal="left" vertical="center" wrapText="1"/>
    </xf>
    <xf numFmtId="10" fontId="29" fillId="17" borderId="34" xfId="0" applyNumberFormat="1" applyFont="1" applyFill="1" applyBorder="1" applyAlignment="1">
      <alignment horizontal="left" vertical="center" wrapText="1"/>
    </xf>
    <xf numFmtId="165" fontId="0" fillId="0" borderId="1" xfId="3" applyNumberFormat="1" applyFont="1" applyBorder="1"/>
    <xf numFmtId="165" fontId="0" fillId="2" borderId="1" xfId="3" applyNumberFormat="1" applyFont="1" applyFill="1" applyBorder="1"/>
    <xf numFmtId="0" fontId="14" fillId="0" borderId="3" xfId="0" applyFont="1" applyBorder="1"/>
    <xf numFmtId="0" fontId="14" fillId="0" borderId="23" xfId="0" applyFont="1" applyBorder="1"/>
    <xf numFmtId="0" fontId="14" fillId="0" borderId="4" xfId="0" applyFont="1" applyBorder="1"/>
    <xf numFmtId="0" fontId="14" fillId="0" borderId="3" xfId="0" applyFont="1" applyBorder="1" applyAlignment="1">
      <alignment horizontal="left"/>
    </xf>
    <xf numFmtId="0" fontId="14" fillId="0" borderId="23" xfId="0" applyFont="1" applyBorder="1" applyAlignment="1">
      <alignment horizontal="left"/>
    </xf>
    <xf numFmtId="0" fontId="14" fillId="0" borderId="4" xfId="0" applyFont="1" applyBorder="1" applyAlignment="1">
      <alignment horizontal="left"/>
    </xf>
    <xf numFmtId="0" fontId="29" fillId="17" borderId="38" xfId="0" applyFont="1" applyFill="1" applyBorder="1" applyAlignment="1">
      <alignment horizontal="left" vertical="center" wrapText="1"/>
    </xf>
    <xf numFmtId="0" fontId="29" fillId="17" borderId="37" xfId="0" applyFont="1" applyFill="1" applyBorder="1" applyAlignment="1">
      <alignment horizontal="left" vertical="center" wrapText="1"/>
    </xf>
    <xf numFmtId="0" fontId="29" fillId="17" borderId="27" xfId="0" applyFont="1" applyFill="1" applyBorder="1" applyAlignment="1">
      <alignment horizontal="left" vertical="center" wrapText="1"/>
    </xf>
    <xf numFmtId="0" fontId="29" fillId="17" borderId="39" xfId="0" applyFont="1" applyFill="1" applyBorder="1" applyAlignment="1">
      <alignment horizontal="left" vertical="center" wrapText="1"/>
    </xf>
    <xf numFmtId="0" fontId="9" fillId="10" borderId="2" xfId="0" applyFont="1" applyFill="1" applyBorder="1"/>
    <xf numFmtId="0" fontId="31" fillId="12" borderId="5" xfId="0" applyFont="1" applyFill="1" applyBorder="1" applyAlignment="1">
      <alignment horizontal="center" vertical="center" wrapText="1"/>
    </xf>
    <xf numFmtId="0" fontId="31" fillId="8" borderId="40" xfId="0" applyFont="1" applyFill="1" applyBorder="1" applyAlignment="1">
      <alignment horizontal="center" vertical="center" wrapText="1"/>
    </xf>
    <xf numFmtId="1" fontId="33" fillId="10" borderId="2" xfId="0" applyNumberFormat="1" applyFont="1" applyFill="1" applyBorder="1" applyAlignment="1">
      <alignment horizontal="center" vertical="center" wrapText="1"/>
    </xf>
    <xf numFmtId="0" fontId="36" fillId="10" borderId="2" xfId="0" applyFont="1" applyFill="1" applyBorder="1" applyAlignment="1">
      <alignment horizontal="left" vertical="top" wrapText="1"/>
    </xf>
    <xf numFmtId="0" fontId="55" fillId="10" borderId="2" xfId="0" applyFont="1" applyFill="1" applyBorder="1" applyAlignment="1">
      <alignment horizontal="left" vertical="top" wrapText="1"/>
    </xf>
    <xf numFmtId="0" fontId="4" fillId="10" borderId="2" xfId="2" applyFill="1" applyBorder="1" applyAlignment="1">
      <alignment horizontal="left" vertical="top"/>
    </xf>
    <xf numFmtId="0" fontId="4" fillId="10" borderId="0" xfId="2" quotePrefix="1" applyFill="1"/>
    <xf numFmtId="0" fontId="57" fillId="10" borderId="2" xfId="0" applyFont="1" applyFill="1" applyBorder="1" applyAlignment="1">
      <alignment horizontal="left" vertical="top" wrapText="1"/>
    </xf>
    <xf numFmtId="0" fontId="31" fillId="8" borderId="6"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31" fillId="9" borderId="7"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34" fillId="8" borderId="16" xfId="0" applyFont="1" applyFill="1" applyBorder="1" applyAlignment="1">
      <alignment horizontal="center" vertical="center" wrapText="1"/>
    </xf>
    <xf numFmtId="0" fontId="34" fillId="8" borderId="17" xfId="0" applyFont="1" applyFill="1" applyBorder="1" applyAlignment="1">
      <alignment horizontal="center" vertical="center" wrapText="1"/>
    </xf>
    <xf numFmtId="0" fontId="34" fillId="8" borderId="18" xfId="0" applyFont="1" applyFill="1" applyBorder="1" applyAlignment="1">
      <alignment horizontal="center" vertical="center" wrapText="1"/>
    </xf>
    <xf numFmtId="0" fontId="34" fillId="8" borderId="3" xfId="0" applyFont="1" applyFill="1" applyBorder="1" applyAlignment="1">
      <alignment horizontal="center" vertical="center" wrapText="1"/>
    </xf>
    <xf numFmtId="0" fontId="34" fillId="8" borderId="23" xfId="0" applyFont="1" applyFill="1" applyBorder="1" applyAlignment="1">
      <alignment horizontal="center" vertical="center" wrapText="1"/>
    </xf>
    <xf numFmtId="0" fontId="34" fillId="8" borderId="4" xfId="0" applyFont="1" applyFill="1" applyBorder="1" applyAlignment="1">
      <alignment horizontal="center" vertical="center" wrapText="1"/>
    </xf>
    <xf numFmtId="0" fontId="0" fillId="0" borderId="2" xfId="0" applyBorder="1" applyAlignment="1">
      <alignment horizontal="center" wrapText="1"/>
    </xf>
    <xf numFmtId="0" fontId="28" fillId="8" borderId="2" xfId="0" applyFont="1" applyFill="1" applyBorder="1" applyAlignment="1">
      <alignment horizontal="center"/>
    </xf>
    <xf numFmtId="0" fontId="29" fillId="0" borderId="2" xfId="0" applyFont="1" applyBorder="1" applyAlignment="1">
      <alignment horizontal="center" wrapText="1"/>
    </xf>
    <xf numFmtId="0" fontId="31" fillId="8" borderId="15" xfId="0" applyFont="1" applyFill="1" applyBorder="1" applyAlignment="1">
      <alignment horizontal="center"/>
    </xf>
    <xf numFmtId="0" fontId="31" fillId="8" borderId="19" xfId="0" applyFont="1" applyFill="1" applyBorder="1" applyAlignment="1">
      <alignment horizontal="center"/>
    </xf>
    <xf numFmtId="0" fontId="31" fillId="8" borderId="10" xfId="0" applyFont="1" applyFill="1" applyBorder="1" applyAlignment="1">
      <alignment horizontal="center"/>
    </xf>
    <xf numFmtId="0" fontId="31" fillId="8" borderId="3" xfId="0" applyFont="1" applyFill="1" applyBorder="1" applyAlignment="1">
      <alignment horizontal="center"/>
    </xf>
    <xf numFmtId="0" fontId="31" fillId="8" borderId="23" xfId="0" applyFont="1" applyFill="1" applyBorder="1" applyAlignment="1">
      <alignment horizontal="center"/>
    </xf>
    <xf numFmtId="0" fontId="31" fillId="8" borderId="4" xfId="0" applyFont="1" applyFill="1" applyBorder="1" applyAlignment="1">
      <alignment horizontal="center"/>
    </xf>
    <xf numFmtId="0" fontId="31" fillId="8" borderId="22" xfId="0" applyFont="1" applyFill="1" applyBorder="1" applyAlignment="1">
      <alignment horizontal="left" vertical="center" wrapText="1"/>
    </xf>
    <xf numFmtId="0" fontId="31" fillId="8" borderId="2" xfId="0" applyFont="1" applyFill="1" applyBorder="1" applyAlignment="1">
      <alignment horizontal="center" wrapText="1"/>
    </xf>
    <xf numFmtId="0" fontId="31" fillId="8" borderId="3" xfId="0" applyFont="1" applyFill="1" applyBorder="1" applyAlignment="1">
      <alignment horizontal="center" wrapText="1"/>
    </xf>
    <xf numFmtId="0" fontId="31" fillId="8" borderId="23" xfId="0" applyFont="1" applyFill="1" applyBorder="1" applyAlignment="1">
      <alignment horizontal="center" wrapText="1"/>
    </xf>
    <xf numFmtId="0" fontId="31" fillId="8" borderId="4" xfId="0" applyFont="1" applyFill="1" applyBorder="1" applyAlignment="1">
      <alignment horizontal="center" wrapText="1"/>
    </xf>
    <xf numFmtId="0" fontId="31" fillId="8" borderId="2" xfId="0" applyFont="1" applyFill="1" applyBorder="1" applyAlignment="1">
      <alignment horizontal="center" vertical="center"/>
    </xf>
    <xf numFmtId="0" fontId="31" fillId="8" borderId="20" xfId="0" applyFont="1" applyFill="1" applyBorder="1" applyAlignment="1">
      <alignment horizontal="left" vertical="center" wrapText="1"/>
    </xf>
    <xf numFmtId="0" fontId="31" fillId="8" borderId="3" xfId="0" applyFont="1" applyFill="1" applyBorder="1" applyAlignment="1">
      <alignment horizontal="center" vertical="center" wrapText="1"/>
    </xf>
    <xf numFmtId="0" fontId="45" fillId="8" borderId="23" xfId="0" applyFont="1" applyFill="1" applyBorder="1"/>
    <xf numFmtId="0" fontId="45" fillId="8" borderId="4" xfId="0" applyFont="1" applyFill="1" applyBorder="1"/>
    <xf numFmtId="0" fontId="28" fillId="8" borderId="3" xfId="0" applyFont="1" applyFill="1" applyBorder="1" applyAlignment="1">
      <alignment horizontal="center" vertical="center" wrapText="1"/>
    </xf>
    <xf numFmtId="0" fontId="37" fillId="0" borderId="3" xfId="0" applyFont="1" applyBorder="1" applyAlignment="1">
      <alignment horizontal="left" vertical="top" wrapText="1"/>
    </xf>
    <xf numFmtId="0" fontId="37" fillId="0" borderId="23" xfId="0" applyFont="1" applyBorder="1" applyAlignment="1">
      <alignment horizontal="left" vertical="top" wrapText="1"/>
    </xf>
    <xf numFmtId="0" fontId="37" fillId="0" borderId="4" xfId="0" applyFont="1" applyBorder="1" applyAlignment="1">
      <alignment horizontal="left" vertical="top" wrapText="1"/>
    </xf>
    <xf numFmtId="0" fontId="29" fillId="0" borderId="2" xfId="0" applyFont="1" applyBorder="1" applyAlignment="1">
      <alignment horizontal="left" vertical="top" wrapText="1"/>
    </xf>
    <xf numFmtId="0" fontId="31" fillId="6" borderId="2" xfId="0" applyFont="1" applyFill="1" applyBorder="1" applyAlignment="1">
      <alignment horizontal="center"/>
    </xf>
    <xf numFmtId="0" fontId="14" fillId="0" borderId="3" xfId="0" applyFont="1" applyBorder="1" applyAlignment="1">
      <alignment horizontal="left"/>
    </xf>
    <xf numFmtId="0" fontId="14" fillId="0" borderId="23" xfId="0" applyFont="1" applyBorder="1" applyAlignment="1">
      <alignment horizontal="left"/>
    </xf>
    <xf numFmtId="0" fontId="14" fillId="0" borderId="4" xfId="0" applyFont="1" applyBorder="1" applyAlignment="1">
      <alignment horizontal="left"/>
    </xf>
    <xf numFmtId="0" fontId="52" fillId="8" borderId="3" xfId="0" applyFont="1" applyFill="1" applyBorder="1" applyAlignment="1">
      <alignment horizontal="center"/>
    </xf>
    <xf numFmtId="0" fontId="52" fillId="8" borderId="4" xfId="0" applyFont="1" applyFill="1" applyBorder="1" applyAlignment="1">
      <alignment horizontal="center"/>
    </xf>
    <xf numFmtId="0" fontId="28" fillId="15" borderId="25" xfId="0" applyFont="1" applyFill="1" applyBorder="1" applyAlignment="1">
      <alignment horizontal="left" vertical="center" wrapText="1"/>
    </xf>
    <xf numFmtId="0" fontId="15" fillId="0" borderId="33" xfId="0" applyFont="1" applyBorder="1"/>
    <xf numFmtId="0" fontId="28" fillId="15" borderId="26" xfId="0" applyFont="1" applyFill="1" applyBorder="1" applyAlignment="1">
      <alignment horizontal="left" vertical="center" wrapText="1"/>
    </xf>
    <xf numFmtId="0" fontId="15" fillId="0" borderId="32" xfId="0" applyFont="1" applyBorder="1"/>
    <xf numFmtId="0" fontId="28" fillId="15" borderId="24" xfId="0" applyFont="1" applyFill="1" applyBorder="1" applyAlignment="1">
      <alignment horizontal="left" vertical="center" wrapText="1"/>
    </xf>
    <xf numFmtId="0" fontId="15" fillId="0" borderId="30" xfId="0" applyFont="1" applyBorder="1"/>
    <xf numFmtId="0" fontId="15" fillId="0" borderId="31" xfId="0" applyFont="1" applyBorder="1"/>
    <xf numFmtId="0" fontId="14" fillId="0" borderId="3" xfId="0" applyFont="1" applyBorder="1"/>
    <xf numFmtId="0" fontId="14" fillId="0" borderId="23" xfId="0" applyFont="1" applyBorder="1"/>
    <xf numFmtId="0" fontId="14" fillId="0" borderId="4" xfId="0" applyFont="1" applyBorder="1"/>
    <xf numFmtId="0" fontId="9" fillId="0" borderId="2" xfId="0" applyFont="1" applyBorder="1" applyAlignment="1">
      <alignment horizontal="left"/>
    </xf>
    <xf numFmtId="0" fontId="0" fillId="0" borderId="2" xfId="0" applyBorder="1"/>
    <xf numFmtId="0" fontId="14" fillId="0" borderId="2" xfId="0" applyFont="1" applyBorder="1"/>
    <xf numFmtId="0" fontId="6" fillId="0" borderId="3" xfId="0" applyFont="1" applyBorder="1" applyAlignment="1">
      <alignment horizontal="left"/>
    </xf>
    <xf numFmtId="0" fontId="6" fillId="0" borderId="23" xfId="0" applyFont="1" applyBorder="1" applyAlignment="1">
      <alignment horizontal="left"/>
    </xf>
    <xf numFmtId="0" fontId="6" fillId="0" borderId="4" xfId="0" applyFont="1" applyBorder="1" applyAlignment="1">
      <alignment horizontal="left"/>
    </xf>
    <xf numFmtId="0" fontId="6" fillId="0" borderId="2" xfId="0" applyFont="1" applyBorder="1" applyAlignment="1">
      <alignment horizontal="left"/>
    </xf>
    <xf numFmtId="0" fontId="28" fillId="15" borderId="27" xfId="0" applyFont="1" applyFill="1" applyBorder="1" applyAlignment="1">
      <alignment horizontal="center" vertical="center" wrapText="1"/>
    </xf>
    <xf numFmtId="0" fontId="15" fillId="0" borderId="28" xfId="0" applyFont="1" applyBorder="1"/>
    <xf numFmtId="0" fontId="15" fillId="0" borderId="29" xfId="0" applyFont="1" applyBorder="1"/>
    <xf numFmtId="0" fontId="31" fillId="15" borderId="27" xfId="0" applyFont="1" applyFill="1" applyBorder="1" applyAlignment="1">
      <alignment horizontal="center" vertical="center" wrapText="1"/>
    </xf>
    <xf numFmtId="0" fontId="54" fillId="15" borderId="0" xfId="0" applyFont="1" applyFill="1" applyAlignment="1">
      <alignment horizontal="left" vertical="center" wrapText="1"/>
    </xf>
    <xf numFmtId="0" fontId="15" fillId="0" borderId="2" xfId="0" applyFont="1" applyBorder="1"/>
    <xf numFmtId="0" fontId="9" fillId="0" borderId="3" xfId="0" applyFont="1" applyBorder="1" applyAlignment="1">
      <alignment horizontal="left"/>
    </xf>
    <xf numFmtId="0" fontId="9" fillId="0" borderId="4" xfId="0" applyFont="1" applyBorder="1" applyAlignment="1">
      <alignment horizontal="left"/>
    </xf>
    <xf numFmtId="0" fontId="12" fillId="10" borderId="2" xfId="0" applyFont="1" applyFill="1" applyBorder="1" applyAlignment="1">
      <alignment horizontal="left"/>
    </xf>
    <xf numFmtId="0" fontId="15" fillId="10" borderId="2" xfId="0" applyFont="1" applyFill="1" applyBorder="1"/>
    <xf numFmtId="0" fontId="12" fillId="10" borderId="2" xfId="0" applyFont="1" applyFill="1" applyBorder="1"/>
    <xf numFmtId="0" fontId="14" fillId="0" borderId="2" xfId="0" applyFont="1" applyBorder="1" applyAlignment="1">
      <alignment horizontal="left"/>
    </xf>
  </cellXfs>
  <cellStyles count="4">
    <cellStyle name="Hipervínculo" xfId="2" builtinId="8"/>
    <cellStyle name="Hyperlink" xfId="1" xr:uid="{00000000-000B-0000-0000-000008000000}"/>
    <cellStyle name="Normal" xfId="0" builtinId="0"/>
    <cellStyle name="Porcentaje" xfId="3" builtinId="5"/>
  </cellStyles>
  <dxfs count="372">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wrapText="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border diagonalUp="0" diagonalDown="0">
        <left style="thin">
          <color theme="0"/>
        </left>
        <right style="thin">
          <color theme="0"/>
        </right>
        <top/>
        <bottom/>
      </border>
    </dxf>
    <dxf>
      <fill>
        <patternFill patternType="solid">
          <fgColor indexed="64"/>
          <bgColor theme="0" tint="-4.9989318521683403E-2"/>
        </patternFill>
      </fill>
    </dxf>
    <dxf>
      <font>
        <b val="0"/>
        <i val="0"/>
        <strike val="0"/>
        <condense val="0"/>
        <extend val="0"/>
        <outline val="0"/>
        <shadow val="0"/>
        <u/>
        <vertAlign val="baseline"/>
        <sz val="10"/>
        <color theme="10"/>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solid">
          <fgColor indexed="64"/>
          <bgColor theme="0" tint="-4.9989318521683403E-2"/>
        </patternFill>
      </fill>
    </dxf>
    <dxf>
      <font>
        <b/>
      </font>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border diagonalUp="0" diagonalDown="0">
        <left style="thin">
          <color theme="0"/>
        </left>
        <right style="thin">
          <color theme="0"/>
        </right>
        <top/>
        <bottom/>
      </border>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border diagonalUp="0" diagonalDown="0">
        <left style="thin">
          <color theme="0"/>
        </left>
        <right style="thin">
          <color theme="0"/>
        </right>
        <top/>
        <bottom/>
      </border>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border diagonalUp="0" diagonalDown="0">
        <left style="thin">
          <color theme="0"/>
        </left>
        <right style="thin">
          <color theme="0"/>
        </right>
        <top/>
        <bottom/>
      </border>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border diagonalUp="0" diagonalDown="0">
        <left style="thin">
          <color theme="0"/>
        </left>
        <right style="thin">
          <color theme="0"/>
        </right>
        <top/>
        <bottom/>
      </border>
    </dxf>
    <dxf>
      <font>
        <b val="0"/>
        <i val="0"/>
        <strike val="0"/>
        <condense val="0"/>
        <extend val="0"/>
        <outline val="0"/>
        <shadow val="0"/>
        <u val="none"/>
        <vertAlign val="baseline"/>
        <sz val="10"/>
        <color rgb="FF1F669D"/>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rgb="FF1F669D"/>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color rgb="FF1F669D"/>
      </font>
      <fill>
        <patternFill patternType="solid">
          <fgColor indexed="64"/>
          <bgColor theme="0" tint="-4.9989318521683403E-2"/>
        </patternFill>
      </fill>
    </dxf>
    <dxf>
      <font>
        <b/>
        <i val="0"/>
        <strike val="0"/>
        <condense val="0"/>
        <extend val="0"/>
        <outline val="0"/>
        <shadow val="0"/>
        <u val="none"/>
        <vertAlign val="baseline"/>
        <sz val="10"/>
        <color rgb="FF1F669D"/>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color rgb="FF1F669D"/>
      </font>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alignment horizontal="center" vertical="center" textRotation="0" wrapText="1" indent="0" justifyLastLine="0" shrinkToFit="0" readingOrder="0"/>
      <border diagonalUp="0" diagonalDown="0">
        <left style="thin">
          <color theme="0"/>
        </left>
        <right style="thin">
          <color theme="0"/>
        </right>
        <top/>
        <bottom/>
      </border>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ont>
        <b/>
      </font>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fill>
        <patternFill patternType="solid">
          <fgColor indexed="64"/>
          <bgColor rgb="FF1F669D"/>
        </patternFill>
      </fill>
      <alignment horizontal="center" vertical="center" textRotation="0" wrapText="1" indent="0" justifyLastLine="0" shrinkToFit="0" readingOrder="0"/>
      <border diagonalUp="0" diagonalDown="0">
        <left style="thin">
          <color theme="0"/>
        </left>
        <right style="thin">
          <color theme="0"/>
        </right>
        <top/>
        <bottom/>
      </border>
    </dxf>
    <dxf>
      <fill>
        <patternFill patternType="solid">
          <fgColor indexed="64"/>
          <bgColor theme="0" tint="-4.9989318521683403E-2"/>
        </patternFill>
      </fill>
    </dxf>
    <dxf>
      <fill>
        <patternFill patternType="solid">
          <fgColor indexed="64"/>
          <bgColor theme="0" tint="-4.9989318521683403E-2"/>
        </patternFill>
      </fill>
    </dxf>
    <dxf>
      <font>
        <b/>
      </font>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alignment horizontal="general" vertical="bottom"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solid">
          <fgColor indexed="64"/>
          <bgColor theme="0" tint="-4.9989318521683403E-2"/>
        </patternFill>
      </fill>
    </dxf>
    <dxf>
      <font>
        <b/>
      </font>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fill>
        <patternFill patternType="solid">
          <fgColor indexed="64"/>
          <bgColor rgb="FF1F669D"/>
        </patternFill>
      </fill>
      <border diagonalUp="0" diagonalDown="0">
        <left style="thin">
          <color theme="0"/>
        </left>
        <right style="thin">
          <color theme="0"/>
        </right>
        <top/>
        <bottom/>
      </border>
    </dxf>
    <dxf>
      <font>
        <strike val="0"/>
        <outline val="0"/>
        <shadow val="0"/>
        <vertAlign val="baseline"/>
        <sz val="10"/>
        <name val="nunito"/>
        <scheme val="none"/>
      </font>
      <fill>
        <patternFill patternType="solid">
          <fgColor indexed="64"/>
          <bgColor theme="0" tint="-4.9989318521683403E-2"/>
        </patternFill>
      </fill>
      <alignment wrapText="1"/>
      <border>
        <left style="thin">
          <color theme="0"/>
        </left>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horizontal="general"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horizontal="general"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numFmt numFmtId="0" formatCode="General"/>
      <fill>
        <patternFill patternType="solid">
          <fgColor indexed="64"/>
          <bgColor theme="0" tint="-4.9989318521683403E-2"/>
        </patternFill>
      </fill>
      <alignment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horizontal="general"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wrapText="1"/>
      <border>
        <left style="thin">
          <color theme="0"/>
        </left>
        <right style="thin">
          <color theme="0"/>
        </right>
        <top style="thin">
          <color theme="0"/>
        </top>
        <bottom style="thin">
          <color theme="0"/>
        </bottom>
        <vertical style="thin">
          <color theme="0"/>
        </vertical>
        <horizontal style="thin">
          <color theme="0"/>
        </horizontal>
      </border>
    </dxf>
    <dxf>
      <font>
        <b/>
        <strike val="0"/>
        <outline val="0"/>
        <shadow val="0"/>
        <vertAlign val="baseline"/>
        <sz val="10"/>
        <name val="nunito"/>
        <scheme val="none"/>
      </font>
      <fill>
        <patternFill patternType="solid">
          <fgColor indexed="64"/>
          <bgColor theme="0" tint="-4.9989318521683403E-2"/>
        </patternFill>
      </fill>
      <alignment wrapText="1"/>
      <border>
        <left/>
        <right style="thin">
          <color theme="0"/>
        </right>
        <top style="thin">
          <color theme="0"/>
        </top>
        <bottom style="thin">
          <color theme="0"/>
        </bottom>
        <vertical style="thin">
          <color theme="0"/>
        </vertical>
        <horizontal style="thin">
          <color theme="0"/>
        </horizontal>
      </border>
    </dxf>
    <dxf>
      <font>
        <sz val="10"/>
        <name val="nunito"/>
      </font>
      <fill>
        <patternFill patternType="solid">
          <fgColor indexed="64"/>
          <bgColor theme="0" tint="-4.9989318521683403E-2"/>
        </patternFill>
      </fill>
      <alignment wrapText="1"/>
    </dxf>
    <dxf>
      <font>
        <sz val="10"/>
        <name val="nunito"/>
      </font>
      <fill>
        <patternFill patternType="solid">
          <fgColor indexed="64"/>
          <bgColor rgb="FF1F669D"/>
        </patternFill>
      </fill>
      <alignment wrapText="1"/>
      <border>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1"/>
        <color theme="1"/>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Nunito"/>
        <scheme val="none"/>
      </font>
      <numFmt numFmtId="3" formatCode="#,##0"/>
      <fill>
        <patternFill patternType="solid">
          <fgColor indexed="64"/>
          <bgColor theme="0" tint="-4.9989318521683403E-2"/>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Nunito"/>
        <scheme val="none"/>
      </font>
      <numFmt numFmtId="3" formatCode="#,##0"/>
      <fill>
        <patternFill patternType="solid">
          <fgColor indexed="64"/>
          <bgColor theme="0" tint="-4.9989318521683403E-2"/>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Nunito"/>
        <scheme val="none"/>
      </font>
      <numFmt numFmtId="3" formatCode="#,##0"/>
      <fill>
        <patternFill patternType="solid">
          <fgColor indexed="64"/>
          <bgColor theme="0" tint="-4.9989318521683403E-2"/>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Nunito"/>
        <scheme val="none"/>
      </font>
      <fill>
        <patternFill patternType="solid">
          <fgColor indexed="64"/>
          <bgColor theme="0" tint="-4.9989318521683403E-2"/>
        </patternFill>
      </fill>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1"/>
        <color theme="0"/>
        <name val="Nunito"/>
        <scheme val="none"/>
      </font>
      <fill>
        <patternFill patternType="solid">
          <fgColor indexed="64"/>
          <bgColor rgb="FF1F669D"/>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ertAlign val="baseline"/>
        <sz val="10"/>
        <color theme="10"/>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i val="0"/>
        <strike val="0"/>
        <condense val="0"/>
        <extend val="0"/>
        <outline val="0"/>
        <shadow val="0"/>
        <u val="none"/>
        <vertAlign val="baseline"/>
        <sz val="10"/>
        <color theme="0"/>
        <name val="Nunito"/>
        <scheme val="none"/>
      </font>
      <fill>
        <patternFill patternType="solid">
          <fgColor indexed="64"/>
          <bgColor rgb="FF1F669D"/>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numFmt numFmtId="2" formatCode="0.00"/>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numFmt numFmtId="2" formatCode="0.00"/>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solid">
          <fgColor indexed="64"/>
          <bgColor theme="0" tint="-4.9989318521683403E-2"/>
        </patternFill>
      </fill>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numFmt numFmtId="169" formatCode="0.000000"/>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numFmt numFmtId="2" formatCode="0.00"/>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numFmt numFmtId="169" formatCode="0.000000"/>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numFmt numFmtId="2" formatCode="0.00"/>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numFmt numFmtId="2" formatCode="0.00"/>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numFmt numFmtId="2" formatCode="0.00"/>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left"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fill>
        <patternFill patternType="solid">
          <fgColor indexed="64"/>
          <bgColor rgb="FF1F669D"/>
        </patternFill>
      </fill>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dxf>
    <dxf>
      <border outline="0">
        <bottom style="thin">
          <color theme="0"/>
        </bottom>
      </border>
    </dxf>
    <dxf>
      <font>
        <b val="0"/>
        <i val="0"/>
        <strike val="0"/>
        <condense val="0"/>
        <extend val="0"/>
        <outline val="0"/>
        <shadow val="0"/>
        <u val="none"/>
        <vertAlign val="baseline"/>
        <sz val="10"/>
        <color theme="0"/>
        <name val="nunito"/>
        <scheme val="none"/>
      </font>
      <fill>
        <patternFill patternType="solid">
          <fgColor indexed="64"/>
          <bgColor rgb="FF1F669D"/>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numFmt numFmtId="2" formatCode="0.00"/>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fill>
        <patternFill patternType="solid">
          <fgColor indexed="64"/>
          <bgColor rgb="FF1F669D"/>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1"/>
        <name val="Nunito"/>
        <scheme val="none"/>
      </font>
      <numFmt numFmtId="3" formatCode="#,##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1"/>
        <name val="Nunito"/>
        <scheme val="none"/>
      </font>
      <numFmt numFmtId="167" formatCode="#,##0.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1"/>
        <name val="Nunito"/>
        <scheme val="none"/>
      </font>
      <numFmt numFmtId="3" formatCode="#,##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1"/>
        <name val="Nunito"/>
        <scheme val="none"/>
      </font>
      <numFmt numFmtId="3" formatCode="#,##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0"/>
        <color theme="0"/>
        <name val="Nunito"/>
        <scheme val="none"/>
      </font>
      <fill>
        <patternFill patternType="solid">
          <fgColor indexed="64"/>
          <bgColor rgb="FF1F669D"/>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strike val="0"/>
        <condense val="0"/>
        <extend val="0"/>
        <outline val="0"/>
        <shadow val="0"/>
        <u val="none"/>
        <vertAlign val="baseline"/>
        <sz val="10"/>
        <color theme="1"/>
        <name val="Nunito"/>
        <scheme val="none"/>
      </font>
      <numFmt numFmtId="168" formatCode="#,##0.000000"/>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top style="thin">
          <color theme="0"/>
        </top>
        <bottom style="thin">
          <color theme="0"/>
        </bottom>
        <vertical/>
        <horizontal/>
      </border>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ont>
        <b/>
        <i val="0"/>
        <strike val="0"/>
        <condense val="0"/>
        <extend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fill>
        <patternFill patternType="solid">
          <fgColor indexed="64"/>
          <bgColor rgb="FF1F669D"/>
        </patternFill>
      </fill>
      <alignment horizontal="center" vertical="top"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top style="thin">
          <color theme="0"/>
        </top>
        <bottom/>
        <vertical/>
        <horizontal/>
      </border>
    </dxf>
    <dxf>
      <font>
        <b/>
        <i val="0"/>
        <strike val="0"/>
        <condense val="0"/>
        <extend val="0"/>
        <outline val="0"/>
        <shadow val="0"/>
        <u val="none"/>
        <vertAlign val="baseline"/>
        <sz val="10"/>
        <color rgb="FF000000"/>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i val="0"/>
        <strike val="0"/>
        <condense val="0"/>
        <extend val="0"/>
        <outline val="0"/>
        <shadow val="0"/>
        <u val="none"/>
        <vertAlign val="baseline"/>
        <sz val="10"/>
        <color rgb="FF000000"/>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4" tint="-0.249977111117893"/>
        <name val="Nunito"/>
        <scheme val="none"/>
      </font>
      <fill>
        <patternFill patternType="solid">
          <fgColor indexed="64"/>
          <bgColor theme="0" tint="-4.9989318521683403E-2"/>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0"/>
        <color theme="0"/>
        <name val="nunito"/>
        <scheme val="none"/>
      </font>
      <fill>
        <patternFill patternType="solid">
          <fgColor indexed="64"/>
          <bgColor rgb="FF1F669D"/>
        </patternFill>
      </fill>
      <alignment horizontal="center" vertical="top" textRotation="0" wrapText="1" indent="0" justifyLastLine="0" shrinkToFit="0" readingOrder="0"/>
      <border diagonalUp="0" diagonalDown="0">
        <left style="thin">
          <color theme="0"/>
        </left>
        <right style="thin">
          <color theme="0"/>
        </right>
        <top/>
        <bottom/>
      </border>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none"/>
      </font>
      <fill>
        <patternFill patternType="solid">
          <fgColor indexed="64"/>
          <bgColor rgb="FF1F669D"/>
        </patternFill>
      </fill>
      <alignment horizontal="center" vertical="top" textRotation="0" wrapText="1" indent="0" justifyLastLine="0" shrinkToFit="0" readingOrder="0"/>
      <border diagonalUp="0" diagonalDown="0">
        <left style="thin">
          <color theme="0"/>
        </left>
        <right style="thin">
          <color theme="0"/>
        </right>
        <top/>
        <bottom/>
      </border>
    </dxf>
    <dxf>
      <font>
        <name val="nunito"/>
      </font>
      <numFmt numFmtId="13" formatCode="0%"/>
      <fill>
        <patternFill patternType="solid">
          <fgColor indexed="64"/>
          <bgColor theme="0" tint="-4.9989318521683403E-2"/>
        </patternFill>
      </fill>
    </dxf>
    <dxf>
      <font>
        <name val="nunito"/>
      </font>
      <fill>
        <patternFill patternType="solid">
          <fgColor indexed="64"/>
          <bgColor theme="0" tint="-4.9989318521683403E-2"/>
        </patternFill>
      </fill>
    </dxf>
    <dxf>
      <font>
        <name val="nunito"/>
      </font>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ont>
        <name val="nunito"/>
      </font>
      <fill>
        <patternFill patternType="solid">
          <fgColor indexed="64"/>
          <bgColor theme="0" tint="-4.9989318521683403E-2"/>
        </patternFill>
      </fill>
    </dxf>
    <dxf>
      <border outline="0">
        <bottom style="thin">
          <color theme="0"/>
        </bottom>
      </border>
    </dxf>
    <dxf>
      <font>
        <b/>
        <i val="0"/>
        <strike val="0"/>
        <condense val="0"/>
        <extend val="0"/>
        <outline val="0"/>
        <shadow val="0"/>
        <u val="none"/>
        <vertAlign val="baseline"/>
        <sz val="10"/>
        <color theme="0"/>
        <name val="nunito"/>
        <scheme val="minor"/>
      </font>
      <fill>
        <patternFill patternType="solid">
          <fgColor indexed="64"/>
          <bgColor rgb="FF1F669D"/>
        </patternFill>
      </fill>
      <alignment horizontal="center" vertical="bottom" textRotation="0" wrapText="0" indent="0" justifyLastLine="0" shrinkToFit="0" readingOrder="0"/>
      <border diagonalUp="0" diagonalDown="0">
        <left style="thin">
          <color theme="0"/>
        </left>
        <right style="thin">
          <color theme="0"/>
        </right>
        <top/>
        <bottom/>
      </border>
    </dxf>
    <dxf>
      <font>
        <sz val="10"/>
        <name val="nunito"/>
      </font>
      <fill>
        <patternFill patternType="solid">
          <fgColor indexed="64"/>
          <bgColor theme="0" tint="-4.9989318521683403E-2"/>
        </patternFill>
      </fill>
      <alignment horizontal="center" vertical="center"/>
    </dxf>
    <dxf>
      <font>
        <sz val="10"/>
        <name val="nunito"/>
      </font>
      <numFmt numFmtId="1" formatCode="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sz val="10"/>
        <name val="nunito"/>
      </font>
      <numFmt numFmtId="170" formatCode="0.0000"/>
      <fill>
        <patternFill patternType="solid">
          <fgColor indexed="64"/>
          <bgColor theme="0" tint="-4.9989318521683403E-2"/>
        </patternFill>
      </fill>
      <alignment horizontal="center" vertical="center"/>
    </dxf>
    <dxf>
      <font>
        <b/>
        <sz val="10"/>
        <name val="nunito"/>
      </font>
      <fill>
        <patternFill patternType="solid">
          <fgColor indexed="64"/>
          <bgColor theme="0" tint="-4.9989318521683403E-2"/>
        </patternFill>
      </fill>
      <alignment horizontal="left" vertical="center"/>
    </dxf>
    <dxf>
      <border outline="0">
        <top style="thin">
          <color theme="0"/>
        </top>
      </border>
    </dxf>
    <dxf>
      <border outline="0">
        <left style="thin">
          <color theme="0"/>
        </left>
        <right style="thin">
          <color theme="0"/>
        </right>
        <top style="thin">
          <color theme="0"/>
        </top>
        <bottom style="thin">
          <color theme="0"/>
        </bottom>
      </border>
    </dxf>
    <dxf>
      <font>
        <sz val="10"/>
        <name val="nunito"/>
      </font>
      <fill>
        <patternFill patternType="solid">
          <fgColor indexed="64"/>
          <bgColor theme="0" tint="-4.9989318521683403E-2"/>
        </patternFill>
      </fill>
      <alignment horizontal="center" vertical="center"/>
    </dxf>
    <dxf>
      <border outline="0">
        <bottom style="thin">
          <color theme="0"/>
        </bottom>
      </border>
    </dxf>
    <dxf>
      <font>
        <b/>
        <i val="0"/>
        <strike val="0"/>
        <condense val="0"/>
        <extend val="0"/>
        <outline val="0"/>
        <shadow val="0"/>
        <u val="none"/>
        <vertAlign val="baseline"/>
        <sz val="10"/>
        <color theme="0"/>
        <name val="nunito"/>
        <scheme val="none"/>
      </font>
      <fill>
        <patternFill patternType="solid">
          <fgColor indexed="64"/>
          <bgColor rgb="FF1F669D"/>
        </patternFill>
      </fill>
      <alignment horizontal="center" vertical="center" textRotation="0" wrapText="1" indent="0" justifyLastLine="0" shrinkToFit="0" readingOrder="0"/>
      <border diagonalUp="0" diagonalDown="0">
        <left style="thin">
          <color theme="0"/>
        </left>
        <right style="thin">
          <color theme="0"/>
        </right>
        <top/>
        <bottom/>
      </border>
    </dxf>
    <dxf>
      <font>
        <sz val="10"/>
        <name val="nunito"/>
      </font>
      <fill>
        <patternFill patternType="solid">
          <fgColor indexed="64"/>
          <bgColor theme="0" tint="-4.9989318521683403E-2"/>
        </patternFill>
      </fill>
      <border>
        <left style="thin">
          <color theme="0"/>
        </left>
        <right/>
        <top style="thin">
          <color theme="0"/>
        </top>
        <bottom style="thin">
          <color theme="0"/>
        </bottom>
        <vertical style="thin">
          <color theme="0"/>
        </vertical>
        <horizontal style="thin">
          <color theme="0"/>
        </horizontal>
      </border>
    </dxf>
    <dxf>
      <font>
        <sz val="10"/>
        <name val="nunito"/>
      </font>
      <fill>
        <patternFill patternType="solid">
          <fgColor indexed="64"/>
          <bgColor theme="0" tint="-4.9989318521683403E-2"/>
        </patternFill>
      </fill>
      <border>
        <left style="thin">
          <color theme="0"/>
        </left>
        <right style="thin">
          <color theme="0"/>
        </right>
        <top style="thin">
          <color theme="0"/>
        </top>
        <bottom style="thin">
          <color theme="0"/>
        </bottom>
        <vertical style="thin">
          <color theme="0"/>
        </vertical>
        <horizontal style="thin">
          <color theme="0"/>
        </horizontal>
      </border>
    </dxf>
    <dxf>
      <font>
        <b/>
        <sz val="10"/>
        <color rgb="FF000000"/>
        <name val="nunito"/>
      </font>
      <fill>
        <patternFill patternType="solid">
          <fgColor indexed="64"/>
          <bgColor theme="0" tint="-4.9989318521683403E-2"/>
        </patternFill>
      </fill>
      <border>
        <left/>
        <right style="thin">
          <color theme="0"/>
        </right>
        <top style="thin">
          <color theme="0"/>
        </top>
        <bottom style="thin">
          <color theme="0"/>
        </bottom>
        <vertical style="thin">
          <color theme="0"/>
        </vertical>
        <horizontal style="thin">
          <color theme="0"/>
        </horizontal>
      </border>
    </dxf>
    <dxf>
      <font>
        <sz val="10"/>
        <name val="nunito"/>
      </font>
      <fill>
        <patternFill patternType="solid">
          <fgColor indexed="64"/>
          <bgColor theme="0" tint="-4.9989318521683403E-2"/>
        </patternFill>
      </fill>
    </dxf>
    <dxf>
      <font>
        <b/>
        <i val="0"/>
        <strike val="0"/>
        <condense val="0"/>
        <extend val="0"/>
        <outline val="0"/>
        <shadow val="0"/>
        <u val="none"/>
        <vertAlign val="baseline"/>
        <sz val="10"/>
        <color theme="0"/>
        <name val="nunito"/>
        <scheme val="minor"/>
      </font>
      <fill>
        <patternFill patternType="solid">
          <fgColor indexed="64"/>
          <bgColor rgb="FF1F669D"/>
        </patternFill>
      </fill>
      <alignment horizontal="center" vertical="bottom" textRotation="0" wrapText="1" indent="0" justifyLastLine="0" shrinkToFit="0" readingOrder="0"/>
      <border>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numFmt numFmtId="170" formatCode="0.0000"/>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val="0"/>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center" vertical="center"/>
      <border diagonalUp="0" diagonalDown="0">
        <left style="thin">
          <color theme="0"/>
        </left>
        <right/>
        <top style="thin">
          <color theme="0"/>
        </top>
        <bottom/>
      </border>
    </dxf>
    <dxf>
      <font>
        <b/>
        <i val="0"/>
        <strike val="0"/>
        <condense val="0"/>
        <extend val="0"/>
        <outline val="0"/>
        <shadow val="0"/>
        <u val="none"/>
        <vertAlign val="baseline"/>
        <sz val="10"/>
        <color theme="1"/>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right/>
        <top style="thin">
          <color theme="0"/>
        </top>
        <bottom/>
      </border>
    </dxf>
    <dxf>
      <border outline="0">
        <left style="thin">
          <color theme="0"/>
        </left>
        <right style="thin">
          <color theme="0"/>
        </right>
        <top style="thin">
          <color theme="4" tint="0.39997558519241921"/>
        </top>
        <bottom style="thin">
          <color theme="0"/>
        </bottom>
      </border>
    </dxf>
    <dxf>
      <font>
        <strike val="0"/>
        <outline val="0"/>
        <shadow val="0"/>
        <u val="none"/>
        <vertAlign val="baseline"/>
        <sz val="10"/>
        <name val="nunito"/>
        <scheme val="none"/>
      </font>
      <alignment horizontal="center" vertical="center"/>
    </dxf>
    <dxf>
      <font>
        <b/>
        <i val="0"/>
        <strike val="0"/>
        <condense val="0"/>
        <extend val="0"/>
        <outline val="0"/>
        <shadow val="0"/>
        <u val="none"/>
        <vertAlign val="baseline"/>
        <sz val="10"/>
        <color theme="0"/>
        <name val="nunito"/>
        <scheme val="none"/>
      </font>
      <fill>
        <patternFill patternType="solid">
          <fgColor theme="4"/>
          <bgColor theme="4"/>
        </patternFill>
      </fill>
      <alignment horizontal="center" vertical="center" textRotation="0" wrapText="1" indent="0" justifyLastLine="0" shrinkToFit="0" readingOrder="0"/>
      <border diagonalUp="0" diagonalDown="0">
        <left style="thin">
          <color theme="0"/>
        </left>
        <right style="thin">
          <color theme="0"/>
        </right>
        <top/>
        <bottom/>
      </border>
    </dxf>
    <dxf>
      <numFmt numFmtId="2" formatCode="0.00"/>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border outline="0">
        <top style="thin">
          <color theme="0"/>
        </top>
      </border>
    </dxf>
    <dxf>
      <border outline="0">
        <left style="thin">
          <color theme="0"/>
        </left>
        <right style="thin">
          <color theme="0"/>
        </right>
        <top style="thin">
          <color theme="0"/>
        </top>
        <bottom style="thin">
          <color theme="0"/>
        </bottom>
      </border>
    </dxf>
    <dxf>
      <fill>
        <patternFill patternType="solid">
          <fgColor indexed="64"/>
          <bgColor theme="0" tint="-4.9989318521683403E-2"/>
        </patternFill>
      </fill>
    </dxf>
    <dxf>
      <border outline="0">
        <bottom style="thin">
          <color theme="0"/>
        </bottom>
      </border>
    </dxf>
    <dxf>
      <font>
        <color theme="0"/>
      </font>
      <fill>
        <patternFill patternType="solid">
          <fgColor indexed="64"/>
          <bgColor rgb="FF1F669D"/>
        </patternFill>
      </fill>
    </dxf>
    <dxf>
      <font>
        <b val="0"/>
        <i val="0"/>
        <strike val="0"/>
        <condense val="0"/>
        <extend val="0"/>
        <outline val="0"/>
        <shadow val="0"/>
        <u val="none"/>
        <vertAlign val="baseline"/>
        <sz val="10"/>
        <color rgb="FF000000"/>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top style="thin">
          <color theme="0"/>
        </top>
        <bottom style="thin">
          <color theme="0"/>
        </bottom>
      </border>
    </dxf>
    <dxf>
      <font>
        <b/>
        <i val="0"/>
        <strike val="0"/>
        <condense val="0"/>
        <extend val="0"/>
        <outline val="0"/>
        <shadow val="0"/>
        <u val="none"/>
        <vertAlign val="baseline"/>
        <sz val="10"/>
        <color rgb="FF000000"/>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000000"/>
        <name val="Nunito"/>
        <scheme val="none"/>
      </font>
      <numFmt numFmtId="2" formatCode="0.0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000000"/>
        <name val="Nuni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000000"/>
        <name val="Nunito"/>
        <scheme val="none"/>
      </font>
      <fill>
        <patternFill patternType="solid">
          <fgColor indexed="64"/>
          <bgColor theme="0" tint="-4.9989318521683403E-2"/>
        </patternFill>
      </fill>
      <alignment horizontal="center" vertical="center" textRotation="0" wrapText="1" indent="0" justifyLastLine="0" shrinkToFit="0" readingOrder="0"/>
      <border>
        <left/>
        <right style="thin">
          <color theme="0"/>
        </right>
        <top style="thin">
          <color theme="0"/>
        </top>
        <bottom style="thin">
          <color theme="0"/>
        </bottom>
      </border>
    </dxf>
    <dxf>
      <border outline="0">
        <left style="thin">
          <color rgb="FF43AEE2"/>
        </left>
        <right style="thin">
          <color rgb="FF43AEE2"/>
        </right>
        <top style="thin">
          <color rgb="FF43AEE2"/>
        </top>
        <bottom style="thin">
          <color rgb="FF43AEE2"/>
        </bottom>
      </border>
    </dxf>
    <dxf>
      <font>
        <strike val="0"/>
        <outline val="0"/>
        <shadow val="0"/>
        <u val="none"/>
        <vertAlign val="baseline"/>
        <sz val="10"/>
        <name val="Nunito"/>
        <scheme val="none"/>
      </font>
      <fill>
        <patternFill patternType="solid">
          <fgColor indexed="64"/>
          <bgColor theme="0" tint="-4.9989318521683403E-2"/>
        </patternFill>
      </fill>
      <alignment horizontal="center" vertical="center"/>
    </dxf>
    <dxf>
      <border outline="0">
        <bottom style="thin">
          <color rgb="FF43AEE2"/>
        </bottom>
      </border>
    </dxf>
    <dxf>
      <font>
        <b/>
        <i val="0"/>
        <strike val="0"/>
        <condense val="0"/>
        <extend val="0"/>
        <outline val="0"/>
        <shadow val="0"/>
        <u val="none"/>
        <vertAlign val="baseline"/>
        <sz val="10"/>
        <color rgb="FFFFFFFF"/>
        <name val="Nunito"/>
        <scheme val="none"/>
      </font>
      <fill>
        <patternFill patternType="solid">
          <fgColor indexed="64"/>
          <bgColor rgb="FF1F669D"/>
        </patternFill>
      </fill>
      <alignment horizontal="center" vertical="center" textRotation="0" wrapText="1" indent="0" justifyLastLine="0" shrinkToFit="0" readingOrder="0"/>
      <border>
        <left style="thin">
          <color theme="0"/>
        </left>
        <right style="thin">
          <color theme="0"/>
        </right>
        <top/>
        <bottom/>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left" vertical="top"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left" vertical="top"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b/>
        <strike val="0"/>
        <outline val="0"/>
        <shadow val="0"/>
        <u val="none"/>
        <vertAlign val="baseline"/>
        <sz val="10"/>
        <color theme="1"/>
        <name val="Nunito"/>
        <scheme val="none"/>
      </font>
      <fill>
        <patternFill patternType="solid">
          <fgColor indexed="64"/>
          <bgColor theme="0" tint="-4.9989318521683403E-2"/>
        </patternFill>
      </fill>
      <alignment horizontal="left" vertical="top"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left" vertical="top" wrapText="1"/>
    </dxf>
    <dxf>
      <font>
        <sz val="10"/>
        <name val="Nunito"/>
      </font>
      <alignment horizontal="center" vertical="center" wrapText="1"/>
      <border>
        <left style="thin">
          <color theme="0"/>
        </left>
        <right style="thin">
          <color theme="0"/>
        </right>
        <top/>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left" vertical="top" textRotation="0" wrapText="1" indent="0" justifyLastLine="0" shrinkToFit="0" readingOrder="0"/>
      <border outline="0">
        <left style="thin">
          <color theme="0"/>
        </left>
        <right style="thin">
          <color theme="0"/>
        </right>
        <top style="thin">
          <color theme="0"/>
        </top>
        <bottom style="thin">
          <color theme="0"/>
        </bottom>
      </border>
    </dxf>
    <dxf>
      <font>
        <strike val="0"/>
        <outline val="0"/>
        <shadow val="0"/>
        <u val="none"/>
        <vertAlign val="baseline"/>
        <sz val="10"/>
        <color theme="1"/>
        <name val="Nunito"/>
        <scheme val="none"/>
      </font>
      <fill>
        <patternFill patternType="solid">
          <fgColor indexed="64"/>
          <bgColor theme="0" tint="-4.9989318521683403E-2"/>
        </patternFill>
      </fill>
      <alignment horizontal="left" vertical="top" wrapText="1"/>
      <border outline="0">
        <left style="thin">
          <color theme="0"/>
        </left>
        <right style="thin">
          <color theme="0"/>
        </right>
        <top style="thin">
          <color theme="0"/>
        </top>
        <bottom style="thin">
          <color theme="0"/>
        </bottom>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1" indent="0" justifyLastLine="0" shrinkToFit="0" readingOrder="0"/>
      <border outline="0">
        <left style="thin">
          <color theme="0"/>
        </left>
        <right style="thin">
          <color theme="0"/>
        </right>
        <top style="thin">
          <color theme="0"/>
        </top>
        <bottom style="thin">
          <color theme="0"/>
        </bottom>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b/>
        <strike val="0"/>
        <outline val="0"/>
        <shadow val="0"/>
        <u val="none"/>
        <vertAlign val="baseline"/>
        <sz val="10"/>
        <color theme="1"/>
        <name val="Nunito"/>
        <scheme val="none"/>
      </font>
      <fill>
        <patternFill patternType="solid">
          <fgColor indexed="64"/>
          <bgColor theme="0" tint="-4.9989318521683403E-2"/>
        </patternFill>
      </fill>
      <alignment horizontal="left" vertical="top"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left" vertical="top" wrapText="1"/>
    </dxf>
    <dxf>
      <font>
        <sz val="10"/>
        <name val="Nunito"/>
      </font>
      <alignment horizontal="center" vertical="center" wrapText="1"/>
      <border>
        <left style="thin">
          <color theme="0"/>
        </left>
        <right style="thin">
          <color theme="0"/>
        </right>
        <top/>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left" vertical="top"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left" vertical="top"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right" vertical="bottom"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b/>
        <strike val="0"/>
        <outline val="0"/>
        <shadow val="0"/>
        <u val="none"/>
        <vertAlign val="baseline"/>
        <sz val="10"/>
        <color theme="1"/>
        <name val="Nunito"/>
        <scheme val="none"/>
      </font>
      <fill>
        <patternFill patternType="solid">
          <fgColor indexed="64"/>
          <bgColor theme="0" tint="-4.9989318521683403E-2"/>
        </patternFill>
      </fill>
      <alignment horizontal="left" vertical="top" wrapText="1"/>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Nunito"/>
        <scheme val="none"/>
      </font>
      <fill>
        <patternFill patternType="solid">
          <fgColor indexed="64"/>
          <bgColor theme="0" tint="-4.9989318521683403E-2"/>
        </patternFill>
      </fill>
      <alignment horizontal="left" vertical="top" wrapText="1"/>
    </dxf>
    <dxf>
      <font>
        <sz val="10"/>
        <name val="Nunito"/>
      </font>
      <alignment horizontal="center" vertical="center" wrapText="1"/>
      <border>
        <left style="thin">
          <color theme="0"/>
        </left>
        <right style="thin">
          <color theme="0"/>
        </right>
        <top/>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horizontal="left" vertical="top"/>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horizontal="left" vertical="top"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horizontal="left" vertical="top"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b/>
        <strike val="0"/>
        <outline val="0"/>
        <shadow val="0"/>
        <vertAlign val="baseline"/>
        <sz val="10"/>
        <name val="Nunito"/>
        <scheme val="none"/>
      </font>
      <fill>
        <patternFill patternType="solid">
          <fgColor indexed="64"/>
          <bgColor theme="0" tint="-4.9989318521683403E-2"/>
        </patternFill>
      </fill>
      <alignment horizontal="left" vertical="top" textRotation="0" wrapText="1" indent="0" justifyLastLine="0" shrinkToFit="0" readingOrder="0"/>
      <border>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sz val="10"/>
        <name val="Nunito"/>
        <scheme val="none"/>
      </font>
      <fill>
        <patternFill patternType="solid">
          <fgColor indexed="64"/>
          <bgColor theme="0" tint="-4.9989318521683403E-2"/>
        </patternFill>
      </fill>
      <alignment horizontal="left" vertical="top" textRotation="0" wrapText="1" indent="0" justifyLastLine="0" shrinkToFit="0" readingOrder="0"/>
    </dxf>
    <dxf>
      <font>
        <sz val="10"/>
        <name val="Nunito"/>
      </font>
      <fill>
        <patternFill patternType="solid">
          <fgColor indexed="64"/>
          <bgColor rgb="FF1F669D"/>
        </patternFill>
      </fill>
      <alignment horizontal="left" vertical="top"/>
      <border>
        <left style="thin">
          <color theme="0"/>
        </left>
        <right style="thin">
          <color theme="0"/>
        </right>
        <top/>
        <bottom/>
        <vertical style="thin">
          <color theme="0"/>
        </vertical>
        <horizontal style="thin">
          <color theme="0"/>
        </horizontal>
      </border>
    </dxf>
  </dxfs>
  <tableStyles count="0" defaultTableStyle="TableStyleMedium2" defaultPivotStyle="PivotStyleMedium9"/>
  <colors>
    <mruColors>
      <color rgb="FF1F669D"/>
      <color rgb="FFF27F0C"/>
      <color rgb="FFF7AD19"/>
      <color rgb="FF429EBD"/>
      <color rgb="FF37B844"/>
      <color rgb="FF92CC43"/>
      <color rgb="FF2443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ocumenttasks/documenttask1.xml><?xml version="1.0" encoding="utf-8"?>
<Tasks xmlns="http://schemas.microsoft.com/office/tasks/2019/documenttasks">
  <Task id="{0E845A94-1148-4E81-91C6-3E2347A83C15}">
    <Anchor>
      <Comment id="{9F32ECED-1386-48F0-AA84-961BC01989A2}"/>
    </Anchor>
    <History>
      <Event time="2025-11-13T15:16:56.85" id="{45D788A5-5174-48C9-AD0B-A56795AC43F0}">
        <Attribution userId="S::vblasco@deuman.com::b71644a2-8fdd-48b1-9cb9-fb11136292d0" userName="Victoria Rosarito Blasco Domínguez" userProvider="AD"/>
        <Anchor>
          <Comment id="{9F32ECED-1386-48F0-AA84-961BC01989A2}"/>
        </Anchor>
        <Create/>
      </Event>
      <Event time="2025-11-13T15:16:56.85" id="{1A320987-7E4B-449E-BDB9-759AC21DA342}">
        <Attribution userId="S::vblasco@deuman.com::b71644a2-8fdd-48b1-9cb9-fb11136292d0" userName="Victoria Rosarito Blasco Domínguez" userProvider="AD"/>
        <Anchor>
          <Comment id="{9F32ECED-1386-48F0-AA84-961BC01989A2}"/>
        </Anchor>
        <Assign userId="S::sleguizamon@deuman.com::15589499-18ad-4e83-a954-64ecd8681e67" userName="Sol Leguizamon" userProvider="AD"/>
      </Event>
      <Event time="2025-11-13T15:16:56.85" id="{832A6758-7495-4551-A793-9FC3029D1114}">
        <Attribution userId="S::vblasco@deuman.com::b71644a2-8fdd-48b1-9cb9-fb11136292d0" userName="Victoria Rosarito Blasco Domínguez" userProvider="AD"/>
        <Anchor>
          <Comment id="{9F32ECED-1386-48F0-AA84-961BC01989A2}"/>
        </Anchor>
        <SetTitle title="no consideré esto para el promedio porque hace muy muy grande considerando que ahi se repetiría la doble contabilización pero queria dejar igual puesto @Sol Leguizamon"/>
      </Event>
    </History>
  </Task>
</Task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622248</xdr:colOff>
      <xdr:row>1</xdr:row>
      <xdr:rowOff>61205</xdr:rowOff>
    </xdr:from>
    <xdr:to>
      <xdr:col>8</xdr:col>
      <xdr:colOff>617850</xdr:colOff>
      <xdr:row>2</xdr:row>
      <xdr:rowOff>28082</xdr:rowOff>
    </xdr:to>
    <xdr:grpSp>
      <xdr:nvGrpSpPr>
        <xdr:cNvPr id="6" name="Grupo 5">
          <a:extLst>
            <a:ext uri="{FF2B5EF4-FFF2-40B4-BE49-F238E27FC236}">
              <a16:creationId xmlns:a16="http://schemas.microsoft.com/office/drawing/2014/main" id="{C8381A10-8598-AAD5-D13B-E45480C5C562}"/>
            </a:ext>
          </a:extLst>
        </xdr:cNvPr>
        <xdr:cNvGrpSpPr/>
      </xdr:nvGrpSpPr>
      <xdr:grpSpPr>
        <a:xfrm>
          <a:off x="7197027" y="218550"/>
          <a:ext cx="2086044" cy="607497"/>
          <a:chOff x="7268072" y="169980"/>
          <a:chExt cx="2492094" cy="720069"/>
        </a:xfrm>
      </xdr:grpSpPr>
      <xdr:pic>
        <xdr:nvPicPr>
          <xdr:cNvPr id="4" name="Imagen 3">
            <a:extLst>
              <a:ext uri="{FF2B5EF4-FFF2-40B4-BE49-F238E27FC236}">
                <a16:creationId xmlns:a16="http://schemas.microsoft.com/office/drawing/2014/main" id="{A6ECF1B8-60F7-2D09-003F-A7FB22B9E8D5}"/>
              </a:ext>
            </a:extLst>
          </xdr:cNvPr>
          <xdr:cNvPicPr>
            <a:picLocks noChangeAspect="1"/>
          </xdr:cNvPicPr>
        </xdr:nvPicPr>
        <xdr:blipFill>
          <a:blip xmlns:r="http://schemas.openxmlformats.org/officeDocument/2006/relationships" r:embed="rId1"/>
          <a:stretch>
            <a:fillRect/>
          </a:stretch>
        </xdr:blipFill>
        <xdr:spPr>
          <a:xfrm>
            <a:off x="9512250" y="209116"/>
            <a:ext cx="247916" cy="502594"/>
          </a:xfrm>
          <a:prstGeom prst="rect">
            <a:avLst/>
          </a:prstGeom>
        </xdr:spPr>
      </xdr:pic>
      <xdr:pic>
        <xdr:nvPicPr>
          <xdr:cNvPr id="5" name="Imagen 4">
            <a:extLst>
              <a:ext uri="{FF2B5EF4-FFF2-40B4-BE49-F238E27FC236}">
                <a16:creationId xmlns:a16="http://schemas.microsoft.com/office/drawing/2014/main" id="{5DF1571E-10E0-DD8D-FABE-7DAEF48C3916}"/>
              </a:ext>
            </a:extLst>
          </xdr:cNvPr>
          <xdr:cNvPicPr>
            <a:picLocks noChangeAspect="1"/>
          </xdr:cNvPicPr>
        </xdr:nvPicPr>
        <xdr:blipFill>
          <a:blip xmlns:r="http://schemas.openxmlformats.org/officeDocument/2006/relationships" r:embed="rId2"/>
          <a:stretch>
            <a:fillRect/>
          </a:stretch>
        </xdr:blipFill>
        <xdr:spPr>
          <a:xfrm>
            <a:off x="7268072" y="169980"/>
            <a:ext cx="2156858" cy="720069"/>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63500</xdr:colOff>
      <xdr:row>8</xdr:row>
      <xdr:rowOff>29936</xdr:rowOff>
    </xdr:from>
    <xdr:to>
      <xdr:col>4</xdr:col>
      <xdr:colOff>31750</xdr:colOff>
      <xdr:row>12</xdr:row>
      <xdr:rowOff>4536</xdr:rowOff>
    </xdr:to>
    <xdr:sp macro="" textlink="">
      <xdr:nvSpPr>
        <xdr:cNvPr id="2" name="CuadroTexto 1">
          <a:extLst>
            <a:ext uri="{FF2B5EF4-FFF2-40B4-BE49-F238E27FC236}">
              <a16:creationId xmlns:a16="http://schemas.microsoft.com/office/drawing/2014/main" id="{7767197F-318F-6351-7903-E135641A268A}"/>
            </a:ext>
          </a:extLst>
        </xdr:cNvPr>
        <xdr:cNvSpPr txBox="1"/>
      </xdr:nvSpPr>
      <xdr:spPr>
        <a:xfrm>
          <a:off x="63500" y="3105150"/>
          <a:ext cx="9647464" cy="700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a:t>Esta base de datos compila</a:t>
          </a:r>
          <a:r>
            <a:rPr lang="es-PY" sz="1100" baseline="0"/>
            <a:t> información requerida por la metodología PCAF para el activo Deuda Soberana.Los datos obligatorios incluyen las emisiones territoriales (Alcance 1 con y sin AFOLU) y el PIB ajustado por PPA.</a:t>
          </a:r>
          <a:endParaRPr lang="es-PY"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550332</xdr:colOff>
      <xdr:row>10</xdr:row>
      <xdr:rowOff>10585</xdr:rowOff>
    </xdr:from>
    <xdr:to>
      <xdr:col>5</xdr:col>
      <xdr:colOff>696382</xdr:colOff>
      <xdr:row>28</xdr:row>
      <xdr:rowOff>184150</xdr:rowOff>
    </xdr:to>
    <xdr:sp macro="" textlink="">
      <xdr:nvSpPr>
        <xdr:cNvPr id="2" name="CuadroTexto 1">
          <a:extLst>
            <a:ext uri="{FF2B5EF4-FFF2-40B4-BE49-F238E27FC236}">
              <a16:creationId xmlns:a16="http://schemas.microsoft.com/office/drawing/2014/main" id="{1C43C4F0-C889-4AA9-AB7B-15DFCC63FAEC}"/>
            </a:ext>
            <a:ext uri="{147F2762-F138-4A5C-976F-8EAC2B608ADB}">
              <a16:predDERef xmlns:a16="http://schemas.microsoft.com/office/drawing/2014/main" pred="{61964BEA-AE47-715E-DBA5-131B1E06623C}"/>
            </a:ext>
          </a:extLst>
        </xdr:cNvPr>
        <xdr:cNvSpPr txBox="1"/>
      </xdr:nvSpPr>
      <xdr:spPr>
        <a:xfrm>
          <a:off x="550332" y="4906435"/>
          <a:ext cx="5927725" cy="3602565"/>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1" i="0" u="none" strike="noStrike">
              <a:solidFill>
                <a:srgbClr val="000000"/>
              </a:solidFill>
              <a:latin typeface="Aptos Narrow" panose="020B0004020202020204" pitchFamily="34" charset="0"/>
            </a:rPr>
            <a:t>Justificación Score</a:t>
          </a:r>
          <a:r>
            <a:rPr lang="en-US" sz="1100" b="0" i="0" u="none" strike="noStrike">
              <a:solidFill>
                <a:srgbClr val="000000"/>
              </a:solidFill>
              <a:latin typeface="Aptos Narrow" panose="020B0004020202020204" pitchFamily="34" charset="0"/>
            </a:rPr>
            <a:t>: </a:t>
          </a:r>
        </a:p>
        <a:p>
          <a:pPr marL="0" indent="0" algn="l"/>
          <a:r>
            <a:rPr lang="en-US" sz="1100" b="1" i="0" u="none" strike="noStrike">
              <a:solidFill>
                <a:srgbClr val="000000"/>
              </a:solidFill>
              <a:latin typeface="Aptos Narrow" panose="020B0004020202020204" pitchFamily="34" charset="0"/>
            </a:rPr>
            <a:t>Infraestructura</a:t>
          </a:r>
          <a:r>
            <a:rPr lang="en-US" sz="1100" b="1" i="0" u="none" strike="noStrike" baseline="0">
              <a:solidFill>
                <a:srgbClr val="000000"/>
              </a:solidFill>
              <a:latin typeface="Aptos Narrow" panose="020B0004020202020204" pitchFamily="34" charset="0"/>
            </a:rPr>
            <a:t> Portuaria</a:t>
          </a:r>
          <a:r>
            <a:rPr lang="en-US" sz="1100" b="1" i="0" u="none" strike="noStrike">
              <a:solidFill>
                <a:srgbClr val="000000"/>
              </a:solidFill>
              <a:latin typeface="Aptos Narrow" panose="020B0004020202020204" pitchFamily="34" charset="0"/>
            </a:rPr>
            <a:t>: </a:t>
          </a:r>
          <a:r>
            <a:rPr lang="es-PY"/>
            <a:t>Las intensidades de emisión (tCO₂e/TEU) se derivan de datos operativos reales del Terminal Portuario Puerto Bolívar, reportados en su Informe de Huella de Carbono 2020.</a:t>
          </a:r>
          <a:br>
            <a:rPr lang="es-PY"/>
          </a:br>
          <a:r>
            <a:rPr lang="es-PY"/>
            <a:t>Estas intensidades representan un </a:t>
          </a:r>
          <a:r>
            <a:rPr lang="es-PY" b="1"/>
            <a:t>factor de emisión específico por unidad de producción</a:t>
          </a:r>
          <a:r>
            <a:rPr lang="es-PY"/>
            <a:t> (TEU), obtenido a partir de las emisiones totales de Alcance 1 y 2 (y Alcance 3 en el caso correspondiente).  </a:t>
          </a:r>
        </a:p>
        <a:p>
          <a:pPr marL="0" indent="0" algn="l"/>
          <a:r>
            <a:rPr lang="es-PY" b="1"/>
            <a:t>Nivel de calidad DQS = 3</a:t>
          </a:r>
          <a:r>
            <a:rPr lang="es-PY"/>
            <a:t>, tal como establece PCAF para “Physical activity-based emissions – production-level”. </a:t>
          </a:r>
          <a:r>
            <a:rPr lang="es-PY" b="1"/>
            <a:t>Opción 2b</a:t>
          </a:r>
          <a:r>
            <a:rPr lang="es-PY"/>
            <a:t> (emisiones calculadas a partir de datos de producción × factor físico)</a:t>
          </a:r>
        </a:p>
        <a:p>
          <a:endParaRPr lang="en-US" sz="1100" b="1" i="0" u="none" strike="noStrike">
            <a:solidFill>
              <a:srgbClr val="000000"/>
            </a:solidFill>
            <a:latin typeface="Aptos Narrow" panose="020B0004020202020204" pitchFamily="34" charset="0"/>
          </a:endParaRPr>
        </a:p>
        <a:p>
          <a:r>
            <a:rPr lang="en-US" sz="1100" b="1" i="0" u="none" strike="noStrike">
              <a:solidFill>
                <a:srgbClr val="000000"/>
              </a:solidFill>
              <a:latin typeface="Aptos Narrow" panose="020B0004020202020204" pitchFamily="34" charset="0"/>
            </a:rPr>
            <a:t>Planta</a:t>
          </a:r>
          <a:r>
            <a:rPr lang="en-US" sz="1100" b="1" i="0" u="none" strike="noStrike" baseline="0">
              <a:solidFill>
                <a:srgbClr val="000000"/>
              </a:solidFill>
              <a:latin typeface="Aptos Narrow" panose="020B0004020202020204" pitchFamily="34" charset="0"/>
            </a:rPr>
            <a:t> Industrial (Celulosa): </a:t>
          </a:r>
          <a:r>
            <a:rPr lang="es-PY"/>
            <a:t>La intensidad de emisiones (tCO₂e/ton de celulosa, ADt) se deriva del reporte “Medio Ambiente y Responsabilidad Social 2023” de UPM Fray Bentos, que incluye emisiones anuales de Alcance 1 y 2 y una producción anual de celulosa.Esta intensidad representa un </a:t>
          </a:r>
          <a:r>
            <a:rPr lang="es-PY" b="1"/>
            <a:t>factor de emisión específico para el proceso industrial</a:t>
          </a:r>
          <a:r>
            <a:rPr lang="es-PY"/>
            <a:t>, calculado con base en </a:t>
          </a:r>
          <a:r>
            <a:rPr lang="es-PY" b="1"/>
            <a:t>actividad física primaria</a:t>
          </a:r>
          <a:r>
            <a:rPr lang="es-PY"/>
            <a:t> (producción anual).</a:t>
          </a:r>
          <a:r>
            <a:rPr lang="es-PY" baseline="0"/>
            <a:t> </a:t>
          </a:r>
        </a:p>
        <a:p>
          <a:endParaRPr lang="es-PY" baseline="0"/>
        </a:p>
        <a:p>
          <a:r>
            <a:rPr lang="es-PY" b="1"/>
            <a:t>Nivel de calidad DQS = 2</a:t>
          </a:r>
          <a:r>
            <a:rPr lang="es-PY"/>
            <a:t>, según la clasificación de PCAF para “Physical activity-based emissions (energy consumption + emission factor)”. </a:t>
          </a:r>
          <a:r>
            <a:rPr lang="es-PY" b="1"/>
            <a:t>Opción</a:t>
          </a:r>
          <a:r>
            <a:rPr lang="es-PY" b="1" baseline="0"/>
            <a:t> </a:t>
          </a:r>
          <a:r>
            <a:rPr lang="es-PY" b="1"/>
            <a:t> 2a</a:t>
          </a:r>
          <a:r>
            <a:rPr lang="es-PY"/>
            <a:t>, que corresponde al uso de datos de actividad física fundamental del proceso (p. ej., energía, producción primaria) combinados con factores de emisión específicos.</a:t>
          </a:r>
        </a:p>
        <a:p>
          <a:pPr marL="0" indent="0" algn="l"/>
          <a:endParaRPr lang="en-US" sz="1100" b="1" i="0" u="none" strike="noStrike">
            <a:solidFill>
              <a:srgbClr val="000000"/>
            </a:solidFill>
            <a:latin typeface="Aptos Narrow" panose="020B00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-704850</xdr:rowOff>
    </xdr:from>
    <xdr:to>
      <xdr:col>0</xdr:col>
      <xdr:colOff>-571500</xdr:colOff>
      <xdr:row>0</xdr:row>
      <xdr:rowOff>-704850</xdr:rowOff>
    </xdr:to>
    <xdr:sp macro="" textlink="">
      <xdr:nvSpPr>
        <xdr:cNvPr id="2" name="CuadroTexto 1">
          <a:extLst>
            <a:ext uri="{FF2B5EF4-FFF2-40B4-BE49-F238E27FC236}">
              <a16:creationId xmlns:a16="http://schemas.microsoft.com/office/drawing/2014/main" id="{21784F2D-09D0-4AD7-8944-26D60CAFE742}"/>
            </a:ext>
          </a:extLst>
        </xdr:cNvPr>
        <xdr:cNvSpPr txBox="1"/>
      </xdr:nvSpPr>
      <xdr:spPr>
        <a:xfrm>
          <a:off x="-571500" y="-704850"/>
          <a:ext cx="0" cy="0"/>
        </a:xfrm>
        <a:prstGeom prst="rect">
          <a:avLst/>
        </a:prstGeom>
        <a:solidFill>
          <a:srgbClr val="FFFF00"/>
        </a:solidFill>
        <a:ln/>
      </xdr:spPr>
      <xdr:style>
        <a:lnRef idx="2">
          <a:schemeClr val="accent2">
            <a:shade val="15000"/>
          </a:schemeClr>
        </a:lnRef>
        <a:fillRef idx="1">
          <a:schemeClr val="accent2"/>
        </a:fillRef>
        <a:effectRef idx="0">
          <a:schemeClr val="accent2"/>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ptos Narrow" panose="020B0004020202020204" pitchFamily="34" charset="0"/>
            </a:rPr>
            <a:t>Conversión entre pesos uruguayos y dólares constantes (base 2014-2016)</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Los valores del Banco Central del Uruguay (BCU) se presentan en millones de pesos uruguayos constantes base 2016, lo que significa que están ajustados por inflación y expresan precios reales del año 2016.</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Para mantener la coherencia metodológica con los valores económicos publicados por FAOSTAT, que se expresan en dólares constantes base 2014–2016, se utilizan los siguientes tipos de cambio de referencia: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FAOSTAT:</a:t>
          </a:r>
          <a:r>
            <a:rPr lang="en-US" sz="1100" b="0" i="0" u="none" strike="noStrike">
              <a:solidFill>
                <a:srgbClr val="000000"/>
              </a:solidFill>
              <a:latin typeface="+mn-lt"/>
              <a:ea typeface="+mn-lt"/>
              <a:cs typeface="+mn-lt"/>
            </a:rPr>
            <a:t> tipo de cambio implícito de 26,65 UYU/USD, derivado de las propias series (MLE/USD).</a:t>
          </a: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BCU</a:t>
          </a:r>
          <a:r>
            <a:rPr lang="en-US" sz="1100" b="0" i="0" u="none" strike="noStrike">
              <a:solidFill>
                <a:srgbClr val="000000"/>
              </a:solidFill>
              <a:latin typeface="+mn-lt"/>
              <a:ea typeface="+mn-lt"/>
              <a:cs typeface="+mn-lt"/>
            </a:rPr>
            <a:t>: tipo de cambio promedio de 28,84 UYU/USD correspondiente a diciembre de 2016, publicado por el BCU (cotización interbancaria).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La conversión se aplica mediante la siguiente fórmula:</a:t>
          </a:r>
          <a:endParaRPr lang="en-US" sz="1100" b="1" i="0" u="none" strike="noStrike">
            <a:solidFill>
              <a:srgbClr val="000000"/>
            </a:solidFill>
            <a:latin typeface="+mn-lt"/>
            <a:ea typeface="+mn-lt"/>
            <a:cs typeface="+mn-lt"/>
          </a:endParaRPr>
        </a:p>
        <a:p>
          <a:pPr marL="0" indent="0" algn="l"/>
          <a:endParaRPr lang="en-US" sz="1100" b="1" i="0" u="none" strike="noStrike">
            <a:solidFill>
              <a:srgbClr val="000000"/>
            </a:solidFill>
            <a:latin typeface="+mn-lt"/>
            <a:ea typeface="+mn-lt"/>
            <a:cs typeface="+mn-lt"/>
          </a:endParaRPr>
        </a:p>
        <a:p>
          <a:pPr marL="0" indent="0" algn="l"/>
          <a:r>
            <a:rPr lang="en-US" sz="1100" b="1" i="0" u="none" strike="noStrike">
              <a:solidFill>
                <a:srgbClr val="000000"/>
              </a:solidFill>
              <a:latin typeface="+mn-lt"/>
              <a:ea typeface="+mn-lt"/>
              <a:cs typeface="+mn-lt"/>
            </a:rPr>
            <a:t>Valor (USD constantes)=</a:t>
          </a:r>
          <a:r>
            <a:rPr lang="en-US" sz="1100" b="1" i="0" u="none" strike="noStrike">
              <a:solidFill>
                <a:srgbClr val="000000"/>
              </a:solidFill>
              <a:latin typeface="Aptos Narrow" panose="020B0004020202020204" pitchFamily="34" charset="0"/>
            </a:rPr>
            <a:t> </a:t>
          </a:r>
          <a:r>
            <a:rPr lang="en-US" sz="1100" b="1" i="0" u="none" strike="noStrike">
              <a:solidFill>
                <a:srgbClr val="000000"/>
              </a:solidFill>
              <a:latin typeface="+mn-lt"/>
              <a:ea typeface="+mn-lt"/>
              <a:cs typeface="+mn-lt"/>
            </a:rPr>
            <a:t>Valor (UYU constantes 2016)</a:t>
          </a:r>
          <a:r>
            <a:rPr lang="en-US" sz="1100" b="1" i="0" u="none" strike="noStrike">
              <a:solidFill>
                <a:srgbClr val="000000"/>
              </a:solidFill>
              <a:latin typeface="Aptos Narrow" panose="020B0004020202020204" pitchFamily="34" charset="0"/>
            </a:rPr>
            <a:t>/28,84</a:t>
          </a:r>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p>
        <a:p>
          <a:pPr marL="0" indent="0" algn="l"/>
          <a:r>
            <a:rPr lang="en-US" sz="1100" b="0" i="0" u="none" strike="noStrike">
              <a:solidFill>
                <a:srgbClr val="000000"/>
              </a:solidFill>
              <a:latin typeface="+mn-lt"/>
              <a:ea typeface="+mn-lt"/>
              <a:cs typeface="+mn-lt"/>
            </a:rPr>
            <a:t>Este procedimiento garantiza que todas las cifras económicas empleadas en los proxies y factores de emisión</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tanto de FAOSTAT como del BCU</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 estén expresadas en moneda constante y año base equivalente, manteniendo la comparabilidad y evitando distorsiones inflacionarias.</a:t>
          </a:r>
        </a:p>
      </xdr:txBody>
    </xdr:sp>
    <xdr:clientData/>
  </xdr:twoCellAnchor>
  <xdr:twoCellAnchor>
    <xdr:from>
      <xdr:col>9</xdr:col>
      <xdr:colOff>489689</xdr:colOff>
      <xdr:row>11</xdr:row>
      <xdr:rowOff>141914</xdr:rowOff>
    </xdr:from>
    <xdr:to>
      <xdr:col>12</xdr:col>
      <xdr:colOff>4637421</xdr:colOff>
      <xdr:row>30</xdr:row>
      <xdr:rowOff>114299</xdr:rowOff>
    </xdr:to>
    <xdr:sp macro="" textlink="">
      <xdr:nvSpPr>
        <xdr:cNvPr id="3" name="CuadroTexto 2">
          <a:extLst>
            <a:ext uri="{FF2B5EF4-FFF2-40B4-BE49-F238E27FC236}">
              <a16:creationId xmlns:a16="http://schemas.microsoft.com/office/drawing/2014/main" id="{8EBCF57B-5104-437E-A5BE-748AC51522B6}"/>
            </a:ext>
            <a:ext uri="{147F2762-F138-4A5C-976F-8EAC2B608ADB}">
              <a16:predDERef xmlns:a16="http://schemas.microsoft.com/office/drawing/2014/main" pred="{21784F2D-09D0-4AD7-8944-26D60CAFE742}"/>
            </a:ext>
          </a:extLst>
        </xdr:cNvPr>
        <xdr:cNvSpPr txBox="1"/>
      </xdr:nvSpPr>
      <xdr:spPr>
        <a:xfrm>
          <a:off x="8747864" y="10409864"/>
          <a:ext cx="7157632" cy="3591885"/>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1" i="0" u="none" strike="noStrike">
              <a:solidFill>
                <a:srgbClr val="000000"/>
              </a:solidFill>
              <a:latin typeface="Aptos Narrow" panose="020B0004020202020204" pitchFamily="34" charset="0"/>
            </a:rPr>
            <a:t>Conversión entre pesos uruguayos y dólares constantes (base 2014-2016)</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Los valores del Banco Central del Uruguay (BCU) se presentan en millones de pesos uruguayos constantes base 2016, lo que significa que están ajustados por inflación y expresan precios reales del año 2016.</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Para mantener la coherencia metodológica con los valores económicos publicados por FAOSTAT, que se expresan en dólares constantes base 2014–2016, se utilizan los siguientes tipos de cambio de referencia: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FAOSTAT:</a:t>
          </a:r>
          <a:r>
            <a:rPr lang="en-US" sz="1100" b="0" i="0" u="none" strike="noStrike">
              <a:solidFill>
                <a:srgbClr val="000000"/>
              </a:solidFill>
              <a:latin typeface="+mn-lt"/>
              <a:ea typeface="+mn-lt"/>
              <a:cs typeface="+mn-lt"/>
            </a:rPr>
            <a:t> tipo de cambio implícito de 26,65 UYU/USD, derivado de las propias series (MLE/USD).</a:t>
          </a: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BCU</a:t>
          </a:r>
          <a:r>
            <a:rPr lang="en-US" sz="1100" b="0" i="0" u="none" strike="noStrike">
              <a:solidFill>
                <a:srgbClr val="000000"/>
              </a:solidFill>
              <a:latin typeface="+mn-lt"/>
              <a:ea typeface="+mn-lt"/>
              <a:cs typeface="+mn-lt"/>
            </a:rPr>
            <a:t>: tipo de cambio promedio de 28,84 UYU/USD correspondiente a diciembre de 2016, publicado por el BCU (cotización interbancaria).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La conversión se aplica mediante la siguiente fórmula:</a:t>
          </a:r>
          <a:endParaRPr lang="en-US" sz="1100" b="1" i="0" u="none" strike="noStrike">
            <a:solidFill>
              <a:srgbClr val="000000"/>
            </a:solidFill>
            <a:latin typeface="+mn-lt"/>
            <a:ea typeface="+mn-lt"/>
            <a:cs typeface="+mn-lt"/>
          </a:endParaRPr>
        </a:p>
        <a:p>
          <a:pPr marL="0" indent="0" algn="l"/>
          <a:endParaRPr lang="en-US" sz="1100" b="1" i="0" u="none" strike="noStrike">
            <a:solidFill>
              <a:srgbClr val="000000"/>
            </a:solidFill>
            <a:latin typeface="+mn-lt"/>
            <a:ea typeface="+mn-lt"/>
            <a:cs typeface="+mn-lt"/>
          </a:endParaRPr>
        </a:p>
        <a:p>
          <a:pPr marL="0" indent="0" algn="l"/>
          <a:r>
            <a:rPr lang="en-US" sz="1100" b="1" i="0" u="none" strike="noStrike">
              <a:solidFill>
                <a:srgbClr val="000000"/>
              </a:solidFill>
              <a:latin typeface="+mn-lt"/>
              <a:ea typeface="+mn-lt"/>
              <a:cs typeface="+mn-lt"/>
            </a:rPr>
            <a:t>Valor (USD constantes)=</a:t>
          </a:r>
          <a:r>
            <a:rPr lang="en-US" sz="1100" b="1" i="0" u="none" strike="noStrike">
              <a:solidFill>
                <a:srgbClr val="000000"/>
              </a:solidFill>
              <a:latin typeface="Aptos Narrow" panose="020B0004020202020204" pitchFamily="34" charset="0"/>
            </a:rPr>
            <a:t> </a:t>
          </a:r>
          <a:r>
            <a:rPr lang="en-US" sz="1100" b="1" i="0" u="none" strike="noStrike">
              <a:solidFill>
                <a:srgbClr val="000000"/>
              </a:solidFill>
              <a:latin typeface="+mn-lt"/>
              <a:ea typeface="+mn-lt"/>
              <a:cs typeface="+mn-lt"/>
            </a:rPr>
            <a:t>Valor (UYU constantes 2016)</a:t>
          </a:r>
          <a:r>
            <a:rPr lang="en-US" sz="1100" b="1" i="0" u="none" strike="noStrike">
              <a:solidFill>
                <a:srgbClr val="000000"/>
              </a:solidFill>
              <a:latin typeface="Aptos Narrow" panose="020B0004020202020204" pitchFamily="34" charset="0"/>
            </a:rPr>
            <a:t>/28,84</a:t>
          </a:r>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p>
        <a:p>
          <a:pPr marL="0" indent="0" algn="l"/>
          <a:r>
            <a:rPr lang="en-US" sz="1100" b="0" i="0" u="none" strike="noStrike">
              <a:solidFill>
                <a:srgbClr val="000000"/>
              </a:solidFill>
              <a:latin typeface="+mn-lt"/>
              <a:ea typeface="+mn-lt"/>
              <a:cs typeface="+mn-lt"/>
            </a:rPr>
            <a:t>Este procedimiento garantiza que todas las cifras económicas empleadas en los proxies y factores de emisión</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tanto de FAOSTAT como del BCU</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 estén expresadas en moneda constante y año base equivalente, manteniendo la comparabilidad y evitando distorsiones inflacionarias.</a:t>
          </a:r>
        </a:p>
      </xdr:txBody>
    </xdr:sp>
    <xdr:clientData/>
  </xdr:twoCellAnchor>
  <xdr:twoCellAnchor>
    <xdr:from>
      <xdr:col>0</xdr:col>
      <xdr:colOff>158750</xdr:colOff>
      <xdr:row>11</xdr:row>
      <xdr:rowOff>177427</xdr:rowOff>
    </xdr:from>
    <xdr:to>
      <xdr:col>9</xdr:col>
      <xdr:colOff>84045</xdr:colOff>
      <xdr:row>25</xdr:row>
      <xdr:rowOff>177209</xdr:rowOff>
    </xdr:to>
    <xdr:sp macro="" textlink="">
      <xdr:nvSpPr>
        <xdr:cNvPr id="4" name="CuadroTexto 3">
          <a:extLst>
            <a:ext uri="{FF2B5EF4-FFF2-40B4-BE49-F238E27FC236}">
              <a16:creationId xmlns:a16="http://schemas.microsoft.com/office/drawing/2014/main" id="{DA77C050-26CC-4E6A-AD27-0273F9F4E818}"/>
            </a:ext>
            <a:ext uri="{147F2762-F138-4A5C-976F-8EAC2B608ADB}">
              <a16:predDERef xmlns:a16="http://schemas.microsoft.com/office/drawing/2014/main" pred="{8EBCF57B-5104-437E-A5BE-748AC51522B6}"/>
            </a:ext>
          </a:extLst>
        </xdr:cNvPr>
        <xdr:cNvSpPr txBox="1"/>
      </xdr:nvSpPr>
      <xdr:spPr>
        <a:xfrm>
          <a:off x="158750" y="10445377"/>
          <a:ext cx="8183470" cy="2666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t>Valor</a:t>
          </a:r>
          <a:r>
            <a:rPr lang="es-PY" sz="1100" b="1" baseline="0"/>
            <a:t> económico Sector Transporte </a:t>
          </a:r>
        </a:p>
        <a:p>
          <a:endParaRPr lang="es-PY" sz="1100" b="0"/>
        </a:p>
        <a:p>
          <a:r>
            <a:rPr lang="es-PY" b="0"/>
            <a:t>El Banco Central del Uruguay (BCU) publica las Cuentas Nacionales desagregadas por industria según la Clasificación Industrial Uruguaya (CIU Rev.4). En estas cuentas, el Producto Interno Bruto (PIB) por industrias no presenta de forma separada al sector “</a:t>
          </a:r>
          <a:r>
            <a:rPr lang="es-PY" b="1"/>
            <a:t>H – Transporte y almacenamiento</a:t>
          </a:r>
          <a:r>
            <a:rPr lang="es-PY" b="0"/>
            <a:t>”, sino que lo agrupa de forma conjunta con </a:t>
          </a:r>
          <a:r>
            <a:rPr lang="es-PY" b="1"/>
            <a:t>el sector “J – Información y comunicaciones</a:t>
          </a:r>
          <a:r>
            <a:rPr lang="es-PY" b="0"/>
            <a:t>”.</a:t>
          </a:r>
        </a:p>
        <a:p>
          <a:endParaRPr lang="es-PY" b="0"/>
        </a:p>
        <a:p>
          <a:r>
            <a:rPr lang="es-PY" b="0"/>
            <a:t>Debido a esta agregación en el PIB por industrias, el valor económico específico del sector Transporte no puede obtenerse directamente de dicha serie. Por este motivo, se utiliza el </a:t>
          </a:r>
          <a:r>
            <a:rPr lang="es-PY" b="1"/>
            <a:t>Valor Agregado Bruto (VAB) del sector H – Transporte y almacenamiento (categorías H.1 a H.6), disponible en la Cuenta de Producción por Industrias</a:t>
          </a:r>
          <a:r>
            <a:rPr lang="es-PY" b="0"/>
            <a:t>.</a:t>
          </a:r>
        </a:p>
        <a:p>
          <a:r>
            <a:rPr lang="es-PY" b="0"/>
            <a:t>El VAB sectorial es el nivel más desagregado, consistente y trazable disponible en moneda constante (año base 2016), y constituye la única fuente oficial que permite aislar económicamente al sector Transporte sin mezclarlo con actividades ajenas. Actualmente, no existen datos más recientes con esta desagregación para años posteriores al año base 2016.</a:t>
          </a:r>
        </a:p>
        <a:p>
          <a:endParaRPr lang="es-PY" b="0"/>
        </a:p>
        <a:p>
          <a:r>
            <a:rPr lang="es-PY" b="0"/>
            <a:t>Para su comparabilidad con otros sectores del inventario (p. ej. Agricultura y Ganadería), el VAB en pesos constantes de 2016 se convierte a dólares constantes aplicando el tipo de cambio promedio anual de 2016 (28,84 UYU/USD)</a:t>
          </a:r>
        </a:p>
        <a:p>
          <a:endParaRPr lang="es-PY" sz="1100" b="0"/>
        </a:p>
      </xdr:txBody>
    </xdr:sp>
    <xdr:clientData/>
  </xdr:twoCellAnchor>
  <xdr:twoCellAnchor>
    <xdr:from>
      <xdr:col>0</xdr:col>
      <xdr:colOff>206743</xdr:colOff>
      <xdr:row>28</xdr:row>
      <xdr:rowOff>155648</xdr:rowOff>
    </xdr:from>
    <xdr:to>
      <xdr:col>8</xdr:col>
      <xdr:colOff>959882</xdr:colOff>
      <xdr:row>42</xdr:row>
      <xdr:rowOff>73837</xdr:rowOff>
    </xdr:to>
    <xdr:sp macro="" textlink="">
      <xdr:nvSpPr>
        <xdr:cNvPr id="5" name="CuadroTexto 4">
          <a:extLst>
            <a:ext uri="{FF2B5EF4-FFF2-40B4-BE49-F238E27FC236}">
              <a16:creationId xmlns:a16="http://schemas.microsoft.com/office/drawing/2014/main" id="{D26EB433-3FC0-4836-8744-B1C12E530876}"/>
            </a:ext>
            <a:ext uri="{147F2762-F138-4A5C-976F-8EAC2B608ADB}">
              <a16:predDERef xmlns:a16="http://schemas.microsoft.com/office/drawing/2014/main" pred="{DA77C050-26CC-4E6A-AD27-0273F9F4E818}"/>
            </a:ext>
          </a:extLst>
        </xdr:cNvPr>
        <xdr:cNvSpPr txBox="1"/>
      </xdr:nvSpPr>
      <xdr:spPr>
        <a:xfrm>
          <a:off x="206743" y="13662098"/>
          <a:ext cx="8049289" cy="2585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Y" b="1"/>
            <a:t>Asignación sectorial de emisiones y valor económico: Producción de electricidad y calor - Construcción- Textil y Cuero</a:t>
          </a:r>
          <a:r>
            <a:rPr lang="es-PY" b="1" baseline="0"/>
            <a:t> </a:t>
          </a:r>
          <a:endParaRPr lang="es-PY" b="1"/>
        </a:p>
        <a:p>
          <a:pPr marL="0" marR="0" lvl="0" indent="0" defTabSz="914400" eaLnBrk="1" fontAlgn="auto" latinLnBrk="0" hangingPunct="1">
            <a:lnSpc>
              <a:spcPct val="100000"/>
            </a:lnSpc>
            <a:spcBef>
              <a:spcPts val="0"/>
            </a:spcBef>
            <a:spcAft>
              <a:spcPts val="0"/>
            </a:spcAft>
            <a:buClrTx/>
            <a:buSzTx/>
            <a:buFontTx/>
            <a:buNone/>
            <a:tabLst/>
            <a:defRPr/>
          </a:pPr>
          <a:endParaRPr lang="es-PY" b="1">
            <a:effectLst/>
          </a:endParaRPr>
        </a:p>
        <a:p>
          <a:r>
            <a:rPr lang="es-PY"/>
            <a:t>En el Inventario Nacional de GEI (INGEI), las emisiones de los sectores de Energía e Industria se presentan agrupadas en categorías amplias, por lo que, para este análisis, fue necesario desagregar las subcategorías específicas (como </a:t>
          </a:r>
          <a:r>
            <a:rPr lang="es-PY" b="1"/>
            <a:t>1.A.1.a Producción de electricidad y calor</a:t>
          </a:r>
          <a:r>
            <a:rPr lang="es-PY"/>
            <a:t>, </a:t>
          </a:r>
          <a:r>
            <a:rPr lang="es-PY" b="1"/>
            <a:t>1.A.2.k Construcción</a:t>
          </a:r>
          <a:r>
            <a:rPr lang="es-PY"/>
            <a:t> y </a:t>
          </a:r>
          <a:r>
            <a:rPr lang="es-PY" b="1"/>
            <a:t>1.A.2.l Textil y cueros</a:t>
          </a:r>
          <a:r>
            <a:rPr lang="es-PY"/>
            <a:t>) a fin de obtener las emisiones correspondientes únicamente a las actividades económicas relevantes. Esta desagregación permitió alinear las fronteras de emisiones con los valores económicos efectivos reportados por el Banco Central del Uruguay (BCU).</a:t>
          </a:r>
        </a:p>
        <a:p>
          <a:endParaRPr lang="es-PY"/>
        </a:p>
        <a:p>
          <a:r>
            <a:rPr lang="es-PY"/>
            <a:t>El valor económico sectorial se obtuvo del </a:t>
          </a:r>
          <a:r>
            <a:rPr lang="es-PY" b="1"/>
            <a:t>Valor Agregado Bruto (VAB)</a:t>
          </a:r>
          <a:r>
            <a:rPr lang="es-PY"/>
            <a:t> desagregado por industria según la </a:t>
          </a:r>
          <a:r>
            <a:rPr lang="es-PY" b="1"/>
            <a:t>Clasificación Industrial Uruguaya (CIU Rev.4)</a:t>
          </a:r>
          <a:r>
            <a:rPr lang="es-PY"/>
            <a:t>, correspondiente a los sectores equivalentes del BCU: </a:t>
          </a:r>
          <a:r>
            <a:rPr lang="es-PY" b="1"/>
            <a:t>D1 y D2</a:t>
          </a:r>
          <a:r>
            <a:rPr lang="es-PY"/>
            <a:t> para Producción de electricidad y calor; </a:t>
          </a:r>
          <a:r>
            <a:rPr lang="es-PY" b="1"/>
            <a:t>F1 y F2</a:t>
          </a:r>
          <a:r>
            <a:rPr lang="es-PY"/>
            <a:t> para Construcción; y </a:t>
          </a:r>
          <a:r>
            <a:rPr lang="es-PY" b="1"/>
            <a:t>C16, C17 y C18</a:t>
          </a:r>
          <a:r>
            <a:rPr lang="es-PY"/>
            <a:t> para Textil y cueros.</a:t>
          </a:r>
        </a:p>
        <a:p>
          <a:endParaRPr lang="es-PY"/>
        </a:p>
        <a:p>
          <a:r>
            <a:rPr lang="es-PY"/>
            <a:t>Para su comparabilidad con otros sectores del inventario, el VAB en pesos constantes de 2016 se convierte a dólares constantes aplicando el tipo de cambio promedio anual de 2016 (</a:t>
          </a:r>
          <a:r>
            <a:rPr lang="es-PY" b="1"/>
            <a:t>28,84 UYU/USD</a:t>
          </a:r>
          <a:r>
            <a:rPr lang="es-PY"/>
            <a:t>).</a:t>
          </a:r>
        </a:p>
        <a:p>
          <a:endParaRPr lang="es-PY" sz="1100" b="1"/>
        </a:p>
        <a:p>
          <a:endParaRPr lang="es-PY" sz="1100" b="1"/>
        </a:p>
        <a:p>
          <a:endParaRPr lang="es-PY"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-704850</xdr:rowOff>
    </xdr:from>
    <xdr:to>
      <xdr:col>0</xdr:col>
      <xdr:colOff>-571500</xdr:colOff>
      <xdr:row>0</xdr:row>
      <xdr:rowOff>-704850</xdr:rowOff>
    </xdr:to>
    <xdr:sp macro="" textlink="">
      <xdr:nvSpPr>
        <xdr:cNvPr id="2" name="CuadroTexto 1">
          <a:extLst>
            <a:ext uri="{FF2B5EF4-FFF2-40B4-BE49-F238E27FC236}">
              <a16:creationId xmlns:a16="http://schemas.microsoft.com/office/drawing/2014/main" id="{BBD7CB21-6098-4F74-B6B4-68083C743295}"/>
            </a:ext>
          </a:extLst>
        </xdr:cNvPr>
        <xdr:cNvSpPr txBox="1"/>
      </xdr:nvSpPr>
      <xdr:spPr>
        <a:xfrm>
          <a:off x="-571500" y="-704850"/>
          <a:ext cx="0" cy="0"/>
        </a:xfrm>
        <a:prstGeom prst="rect">
          <a:avLst/>
        </a:prstGeom>
        <a:solidFill>
          <a:srgbClr val="FFFF00"/>
        </a:solidFill>
        <a:ln/>
      </xdr:spPr>
      <xdr:style>
        <a:lnRef idx="2">
          <a:schemeClr val="accent2">
            <a:shade val="15000"/>
          </a:schemeClr>
        </a:lnRef>
        <a:fillRef idx="1">
          <a:schemeClr val="accent2"/>
        </a:fillRef>
        <a:effectRef idx="0">
          <a:schemeClr val="accent2"/>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ptos Narrow" panose="020B0004020202020204" pitchFamily="34" charset="0"/>
            </a:rPr>
            <a:t>Conversión entre pesos uruguayos y dólares constantes (base 2014-2016)</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Los valores del Banco Central del Uruguay (BCU) se presentan en millones de pesos uruguayos constantes base 2016, lo que significa que están ajustados por inflación y expresan precios reales del año 2016.</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Para mantener la coherencia metodológica con los valores económicos publicados por FAOSTAT, que se expresan en dólares constantes base 2014–2016, se utilizan los siguientes tipos de cambio de referencia: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FAOSTAT:</a:t>
          </a:r>
          <a:r>
            <a:rPr lang="en-US" sz="1100" b="0" i="0" u="none" strike="noStrike">
              <a:solidFill>
                <a:srgbClr val="000000"/>
              </a:solidFill>
              <a:latin typeface="+mn-lt"/>
              <a:ea typeface="+mn-lt"/>
              <a:cs typeface="+mn-lt"/>
            </a:rPr>
            <a:t> tipo de cambio implícito de 26,65 UYU/USD, derivado de las propias series (MLE/USD).</a:t>
          </a: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BCU</a:t>
          </a:r>
          <a:r>
            <a:rPr lang="en-US" sz="1100" b="0" i="0" u="none" strike="noStrike">
              <a:solidFill>
                <a:srgbClr val="000000"/>
              </a:solidFill>
              <a:latin typeface="+mn-lt"/>
              <a:ea typeface="+mn-lt"/>
              <a:cs typeface="+mn-lt"/>
            </a:rPr>
            <a:t>: tipo de cambio promedio de 28,84 UYU/USD correspondiente a diciembre de 2016, publicado por el BCU (cotización interbancaria).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La conversión se aplica mediante la siguiente fórmula:</a:t>
          </a:r>
          <a:endParaRPr lang="en-US" sz="1100" b="1" i="0" u="none" strike="noStrike">
            <a:solidFill>
              <a:srgbClr val="000000"/>
            </a:solidFill>
            <a:latin typeface="+mn-lt"/>
            <a:ea typeface="+mn-lt"/>
            <a:cs typeface="+mn-lt"/>
          </a:endParaRPr>
        </a:p>
        <a:p>
          <a:pPr marL="0" indent="0" algn="l"/>
          <a:endParaRPr lang="en-US" sz="1100" b="1" i="0" u="none" strike="noStrike">
            <a:solidFill>
              <a:srgbClr val="000000"/>
            </a:solidFill>
            <a:latin typeface="+mn-lt"/>
            <a:ea typeface="+mn-lt"/>
            <a:cs typeface="+mn-lt"/>
          </a:endParaRPr>
        </a:p>
        <a:p>
          <a:pPr marL="0" indent="0" algn="l"/>
          <a:r>
            <a:rPr lang="en-US" sz="1100" b="1" i="0" u="none" strike="noStrike">
              <a:solidFill>
                <a:srgbClr val="000000"/>
              </a:solidFill>
              <a:latin typeface="+mn-lt"/>
              <a:ea typeface="+mn-lt"/>
              <a:cs typeface="+mn-lt"/>
            </a:rPr>
            <a:t>Valor (USD constantes)=</a:t>
          </a:r>
          <a:r>
            <a:rPr lang="en-US" sz="1100" b="1" i="0" u="none" strike="noStrike">
              <a:solidFill>
                <a:srgbClr val="000000"/>
              </a:solidFill>
              <a:latin typeface="Aptos Narrow" panose="020B0004020202020204" pitchFamily="34" charset="0"/>
            </a:rPr>
            <a:t> </a:t>
          </a:r>
          <a:r>
            <a:rPr lang="en-US" sz="1100" b="1" i="0" u="none" strike="noStrike">
              <a:solidFill>
                <a:srgbClr val="000000"/>
              </a:solidFill>
              <a:latin typeface="+mn-lt"/>
              <a:ea typeface="+mn-lt"/>
              <a:cs typeface="+mn-lt"/>
            </a:rPr>
            <a:t>Valor (UYU constantes 2016)</a:t>
          </a:r>
          <a:r>
            <a:rPr lang="en-US" sz="1100" b="1" i="0" u="none" strike="noStrike">
              <a:solidFill>
                <a:srgbClr val="000000"/>
              </a:solidFill>
              <a:latin typeface="Aptos Narrow" panose="020B0004020202020204" pitchFamily="34" charset="0"/>
            </a:rPr>
            <a:t>/28,84</a:t>
          </a:r>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p>
        <a:p>
          <a:pPr marL="0" indent="0" algn="l"/>
          <a:r>
            <a:rPr lang="en-US" sz="1100" b="0" i="0" u="none" strike="noStrike">
              <a:solidFill>
                <a:srgbClr val="000000"/>
              </a:solidFill>
              <a:latin typeface="+mn-lt"/>
              <a:ea typeface="+mn-lt"/>
              <a:cs typeface="+mn-lt"/>
            </a:rPr>
            <a:t>Este procedimiento garantiza que todas las cifras económicas empleadas en los proxies y factores de emisión</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tanto de FAOSTAT como del BCU</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 estén expresadas en moneda constante y año base equivalente, manteniendo la comparabilidad y evitando distorsiones inflacionarias.</a:t>
          </a:r>
        </a:p>
      </xdr:txBody>
    </xdr:sp>
    <xdr:clientData/>
  </xdr:twoCellAnchor>
  <xdr:twoCellAnchor>
    <xdr:from>
      <xdr:col>9</xdr:col>
      <xdr:colOff>811724</xdr:colOff>
      <xdr:row>11</xdr:row>
      <xdr:rowOff>83403</xdr:rowOff>
    </xdr:from>
    <xdr:to>
      <xdr:col>12</xdr:col>
      <xdr:colOff>4959456</xdr:colOff>
      <xdr:row>30</xdr:row>
      <xdr:rowOff>55788</xdr:rowOff>
    </xdr:to>
    <xdr:sp macro="" textlink="">
      <xdr:nvSpPr>
        <xdr:cNvPr id="3" name="CuadroTexto 2">
          <a:extLst>
            <a:ext uri="{FF2B5EF4-FFF2-40B4-BE49-F238E27FC236}">
              <a16:creationId xmlns:a16="http://schemas.microsoft.com/office/drawing/2014/main" id="{3479CD8C-7F47-461F-97EC-257227D42D72}"/>
            </a:ext>
            <a:ext uri="{147F2762-F138-4A5C-976F-8EAC2B608ADB}">
              <a16:predDERef xmlns:a16="http://schemas.microsoft.com/office/drawing/2014/main" pred="{BBD7CB21-6098-4F74-B6B4-68083C743295}"/>
            </a:ext>
          </a:extLst>
        </xdr:cNvPr>
        <xdr:cNvSpPr txBox="1"/>
      </xdr:nvSpPr>
      <xdr:spPr>
        <a:xfrm>
          <a:off x="9465867" y="12375189"/>
          <a:ext cx="7313660" cy="3591885"/>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1" i="0" u="none" strike="noStrike">
              <a:solidFill>
                <a:srgbClr val="000000"/>
              </a:solidFill>
              <a:latin typeface="Aptos Narrow" panose="020B0004020202020204" pitchFamily="34" charset="0"/>
            </a:rPr>
            <a:t>Conversión entre pesos uruguayos y dólares constantes (base 2014-2016)</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Los valores del Banco Central del Uruguay (BCU) se presentan en millones de pesos uruguayos constantes base 2016, lo que significa que están ajustados por inflación y expresan precios reales del año 2016.</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Para mantener la coherencia metodológica con los valores económicos publicados por FAOSTAT, que se expresan en dólares constantes base 2014–2016, se utilizan los siguientes tipos de cambio de referencia: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FAOSTAT:</a:t>
          </a:r>
          <a:r>
            <a:rPr lang="en-US" sz="1100" b="0" i="0" u="none" strike="noStrike">
              <a:solidFill>
                <a:srgbClr val="000000"/>
              </a:solidFill>
              <a:latin typeface="+mn-lt"/>
              <a:ea typeface="+mn-lt"/>
              <a:cs typeface="+mn-lt"/>
            </a:rPr>
            <a:t> tipo de cambio implícito de 26,65 UYU/USD, derivado de las propias series (MLE/USD).</a:t>
          </a: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BCU</a:t>
          </a:r>
          <a:r>
            <a:rPr lang="en-US" sz="1100" b="0" i="0" u="none" strike="noStrike">
              <a:solidFill>
                <a:srgbClr val="000000"/>
              </a:solidFill>
              <a:latin typeface="+mn-lt"/>
              <a:ea typeface="+mn-lt"/>
              <a:cs typeface="+mn-lt"/>
            </a:rPr>
            <a:t>: tipo de cambio promedio de 28,84 UYU/USD correspondiente a diciembre de 2016, publicado por el BCU (cotización interbancaria).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La conversión se aplica mediante la siguiente fórmula:</a:t>
          </a:r>
          <a:endParaRPr lang="en-US" sz="1100" b="1" i="0" u="none" strike="noStrike">
            <a:solidFill>
              <a:srgbClr val="000000"/>
            </a:solidFill>
            <a:latin typeface="+mn-lt"/>
            <a:ea typeface="+mn-lt"/>
            <a:cs typeface="+mn-lt"/>
          </a:endParaRPr>
        </a:p>
        <a:p>
          <a:pPr marL="0" indent="0" algn="l"/>
          <a:endParaRPr lang="en-US" sz="1100" b="1" i="0" u="none" strike="noStrike">
            <a:solidFill>
              <a:srgbClr val="000000"/>
            </a:solidFill>
            <a:latin typeface="+mn-lt"/>
            <a:ea typeface="+mn-lt"/>
            <a:cs typeface="+mn-lt"/>
          </a:endParaRPr>
        </a:p>
        <a:p>
          <a:pPr marL="0" indent="0" algn="l"/>
          <a:r>
            <a:rPr lang="en-US" sz="1100" b="1" i="0" u="none" strike="noStrike">
              <a:solidFill>
                <a:srgbClr val="000000"/>
              </a:solidFill>
              <a:latin typeface="+mn-lt"/>
              <a:ea typeface="+mn-lt"/>
              <a:cs typeface="+mn-lt"/>
            </a:rPr>
            <a:t>Valor (USD constantes)=</a:t>
          </a:r>
          <a:r>
            <a:rPr lang="en-US" sz="1100" b="1" i="0" u="none" strike="noStrike">
              <a:solidFill>
                <a:srgbClr val="000000"/>
              </a:solidFill>
              <a:latin typeface="Aptos Narrow" panose="020B0004020202020204" pitchFamily="34" charset="0"/>
            </a:rPr>
            <a:t> </a:t>
          </a:r>
          <a:r>
            <a:rPr lang="en-US" sz="1100" b="1" i="0" u="none" strike="noStrike">
              <a:solidFill>
                <a:srgbClr val="000000"/>
              </a:solidFill>
              <a:latin typeface="+mn-lt"/>
              <a:ea typeface="+mn-lt"/>
              <a:cs typeface="+mn-lt"/>
            </a:rPr>
            <a:t>Valor (UYU constantes 2016)</a:t>
          </a:r>
          <a:r>
            <a:rPr lang="en-US" sz="1100" b="1" i="0" u="none" strike="noStrike">
              <a:solidFill>
                <a:srgbClr val="000000"/>
              </a:solidFill>
              <a:latin typeface="Aptos Narrow" panose="020B0004020202020204" pitchFamily="34" charset="0"/>
            </a:rPr>
            <a:t>/28,84</a:t>
          </a:r>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p>
        <a:p>
          <a:pPr marL="0" indent="0" algn="l"/>
          <a:r>
            <a:rPr lang="en-US" sz="1100" b="0" i="0" u="none" strike="noStrike">
              <a:solidFill>
                <a:srgbClr val="000000"/>
              </a:solidFill>
              <a:latin typeface="+mn-lt"/>
              <a:ea typeface="+mn-lt"/>
              <a:cs typeface="+mn-lt"/>
            </a:rPr>
            <a:t>Este procedimiento garantiza que todas las cifras económicas empleadas en los proxies y factores de emisión</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tanto de FAOSTAT como del BCU</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 estén expresadas en moneda constante y año base equivalente, manteniendo la comparabilidad y evitando distorsiones inflacionarias.</a:t>
          </a:r>
        </a:p>
      </xdr:txBody>
    </xdr:sp>
    <xdr:clientData/>
  </xdr:twoCellAnchor>
  <xdr:twoCellAnchor>
    <xdr:from>
      <xdr:col>0</xdr:col>
      <xdr:colOff>158750</xdr:colOff>
      <xdr:row>11</xdr:row>
      <xdr:rowOff>177427</xdr:rowOff>
    </xdr:from>
    <xdr:to>
      <xdr:col>9</xdr:col>
      <xdr:colOff>84045</xdr:colOff>
      <xdr:row>25</xdr:row>
      <xdr:rowOff>177209</xdr:rowOff>
    </xdr:to>
    <xdr:sp macro="" textlink="">
      <xdr:nvSpPr>
        <xdr:cNvPr id="4" name="CuadroTexto 3">
          <a:extLst>
            <a:ext uri="{FF2B5EF4-FFF2-40B4-BE49-F238E27FC236}">
              <a16:creationId xmlns:a16="http://schemas.microsoft.com/office/drawing/2014/main" id="{96857867-809D-4B48-BD66-526876BD299E}"/>
            </a:ext>
            <a:ext uri="{147F2762-F138-4A5C-976F-8EAC2B608ADB}">
              <a16:predDERef xmlns:a16="http://schemas.microsoft.com/office/drawing/2014/main" pred="{3479CD8C-7F47-461F-97EC-257227D42D72}"/>
            </a:ext>
          </a:extLst>
        </xdr:cNvPr>
        <xdr:cNvSpPr txBox="1"/>
      </xdr:nvSpPr>
      <xdr:spPr>
        <a:xfrm>
          <a:off x="158750" y="10445377"/>
          <a:ext cx="8183470" cy="2666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t>Valor</a:t>
          </a:r>
          <a:r>
            <a:rPr lang="es-PY" sz="1100" b="1" baseline="0"/>
            <a:t> económico Sector Transporte </a:t>
          </a:r>
        </a:p>
        <a:p>
          <a:endParaRPr lang="es-PY" sz="1100" b="0"/>
        </a:p>
        <a:p>
          <a:r>
            <a:rPr lang="es-PY" b="0"/>
            <a:t>El Banco Central del Uruguay (BCU) publica las Cuentas Nacionales desagregadas por industria según la Clasificación Industrial Uruguaya (CIU Rev.4). En estas cuentas, el Producto Interno Bruto (PIB) por industrias no presenta de forma separada al sector “</a:t>
          </a:r>
          <a:r>
            <a:rPr lang="es-PY" b="1"/>
            <a:t>H – Transporte y almacenamiento</a:t>
          </a:r>
          <a:r>
            <a:rPr lang="es-PY" b="0"/>
            <a:t>”, sino que lo agrupa de forma conjunta con </a:t>
          </a:r>
          <a:r>
            <a:rPr lang="es-PY" b="1"/>
            <a:t>el sector “J – Información y comunicaciones</a:t>
          </a:r>
          <a:r>
            <a:rPr lang="es-PY" b="0"/>
            <a:t>”.</a:t>
          </a:r>
        </a:p>
        <a:p>
          <a:endParaRPr lang="es-PY" b="0"/>
        </a:p>
        <a:p>
          <a:r>
            <a:rPr lang="es-PY" b="0"/>
            <a:t>Debido a esta agregación en el PIB por industrias, el valor económico específico del sector Transporte no puede obtenerse directamente de dicha serie. Por este motivo, se utiliza el </a:t>
          </a:r>
          <a:r>
            <a:rPr lang="es-PY" b="1"/>
            <a:t>Valor Agregado Bruto (VAB) del sector H – Transporte y almacenamiento (categorías H.1 a H.6), disponible en la Cuenta de Producción por Industrias</a:t>
          </a:r>
          <a:r>
            <a:rPr lang="es-PY" b="0"/>
            <a:t>.</a:t>
          </a:r>
        </a:p>
        <a:p>
          <a:r>
            <a:rPr lang="es-PY" b="0"/>
            <a:t>El VAB sectorial es el nivel más desagregado, consistente y trazable disponible en moneda constante (año base 2016), y constituye la única fuente oficial que permite aislar económicamente al sector Transporte sin mezclarlo con actividades ajenas. Actualmente, no existen datos más recientes con esta desagregación para años posteriores al año base 2016.</a:t>
          </a:r>
        </a:p>
        <a:p>
          <a:endParaRPr lang="es-PY" b="0"/>
        </a:p>
        <a:p>
          <a:r>
            <a:rPr lang="es-PY" b="0"/>
            <a:t>Para su comparabilidad con otros sectores del inventario (p. ej. Agricultura y Ganadería), el VAB en pesos constantes de 2016 se convierte a dólares constantes aplicando el tipo de cambio promedio anual de 2016 (28,84 UYU/USD)</a:t>
          </a:r>
        </a:p>
        <a:p>
          <a:endParaRPr lang="es-PY" sz="1100" b="0"/>
        </a:p>
      </xdr:txBody>
    </xdr:sp>
    <xdr:clientData/>
  </xdr:twoCellAnchor>
  <xdr:twoCellAnchor>
    <xdr:from>
      <xdr:col>0</xdr:col>
      <xdr:colOff>206743</xdr:colOff>
      <xdr:row>28</xdr:row>
      <xdr:rowOff>155648</xdr:rowOff>
    </xdr:from>
    <xdr:to>
      <xdr:col>8</xdr:col>
      <xdr:colOff>959882</xdr:colOff>
      <xdr:row>42</xdr:row>
      <xdr:rowOff>73837</xdr:rowOff>
    </xdr:to>
    <xdr:sp macro="" textlink="">
      <xdr:nvSpPr>
        <xdr:cNvPr id="5" name="CuadroTexto 4">
          <a:extLst>
            <a:ext uri="{FF2B5EF4-FFF2-40B4-BE49-F238E27FC236}">
              <a16:creationId xmlns:a16="http://schemas.microsoft.com/office/drawing/2014/main" id="{98BD2C9D-4823-444A-A95C-E12FCF1814C8}"/>
            </a:ext>
            <a:ext uri="{147F2762-F138-4A5C-976F-8EAC2B608ADB}">
              <a16:predDERef xmlns:a16="http://schemas.microsoft.com/office/drawing/2014/main" pred="{96857867-809D-4B48-BD66-526876BD299E}"/>
            </a:ext>
          </a:extLst>
        </xdr:cNvPr>
        <xdr:cNvSpPr txBox="1"/>
      </xdr:nvSpPr>
      <xdr:spPr>
        <a:xfrm>
          <a:off x="206743" y="13662098"/>
          <a:ext cx="8049289" cy="2585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Y" b="1"/>
            <a:t>Asignación sectorial de emisiones y valor económico: Producción de electricidad y calor - Construcción- Textil y Cuero</a:t>
          </a:r>
          <a:r>
            <a:rPr lang="es-PY" b="1" baseline="0"/>
            <a:t> </a:t>
          </a:r>
          <a:endParaRPr lang="es-PY" b="1"/>
        </a:p>
        <a:p>
          <a:pPr marL="0" marR="0" lvl="0" indent="0" defTabSz="914400" eaLnBrk="1" fontAlgn="auto" latinLnBrk="0" hangingPunct="1">
            <a:lnSpc>
              <a:spcPct val="100000"/>
            </a:lnSpc>
            <a:spcBef>
              <a:spcPts val="0"/>
            </a:spcBef>
            <a:spcAft>
              <a:spcPts val="0"/>
            </a:spcAft>
            <a:buClrTx/>
            <a:buSzTx/>
            <a:buFontTx/>
            <a:buNone/>
            <a:tabLst/>
            <a:defRPr/>
          </a:pPr>
          <a:endParaRPr lang="es-PY" b="1">
            <a:effectLst/>
          </a:endParaRPr>
        </a:p>
        <a:p>
          <a:r>
            <a:rPr lang="es-PY"/>
            <a:t>En el Inventario Nacional de GEI (INGEI), las emisiones de los sectores de Energía e Industria se presentan agrupadas en categorías amplias, por lo que, para este análisis, fue necesario desagregar las subcategorías específicas (como </a:t>
          </a:r>
          <a:r>
            <a:rPr lang="es-PY" b="1"/>
            <a:t>1.A.1.a Producción de electricidad y calor</a:t>
          </a:r>
          <a:r>
            <a:rPr lang="es-PY"/>
            <a:t>, </a:t>
          </a:r>
          <a:r>
            <a:rPr lang="es-PY" b="1"/>
            <a:t>1.A.2.k Construcción</a:t>
          </a:r>
          <a:r>
            <a:rPr lang="es-PY"/>
            <a:t> y </a:t>
          </a:r>
          <a:r>
            <a:rPr lang="es-PY" b="1"/>
            <a:t>1.A.2.l Textil y cueros</a:t>
          </a:r>
          <a:r>
            <a:rPr lang="es-PY"/>
            <a:t>) a fin de obtener las emisiones correspondientes únicamente a las actividades económicas relevantes. Esta desagregación permitió alinear las fronteras de emisiones con los valores económicos efectivos reportados por el Banco Central del Uruguay (BCU).</a:t>
          </a:r>
        </a:p>
        <a:p>
          <a:endParaRPr lang="es-PY"/>
        </a:p>
        <a:p>
          <a:r>
            <a:rPr lang="es-PY"/>
            <a:t>El valor económico sectorial se obtuvo del </a:t>
          </a:r>
          <a:r>
            <a:rPr lang="es-PY" b="1"/>
            <a:t>Valor Agregado Bruto (VAB)</a:t>
          </a:r>
          <a:r>
            <a:rPr lang="es-PY"/>
            <a:t> desagregado por industria según la </a:t>
          </a:r>
          <a:r>
            <a:rPr lang="es-PY" b="1"/>
            <a:t>Clasificación Industrial Uruguaya (CIU Rev.4)</a:t>
          </a:r>
          <a:r>
            <a:rPr lang="es-PY"/>
            <a:t>, correspondiente a los sectores equivalentes del BCU: </a:t>
          </a:r>
          <a:r>
            <a:rPr lang="es-PY" b="1"/>
            <a:t>D1 y D2</a:t>
          </a:r>
          <a:r>
            <a:rPr lang="es-PY"/>
            <a:t> para Producción de electricidad y calor; </a:t>
          </a:r>
          <a:r>
            <a:rPr lang="es-PY" b="1"/>
            <a:t>F1 y F2</a:t>
          </a:r>
          <a:r>
            <a:rPr lang="es-PY"/>
            <a:t> para Construcción; y </a:t>
          </a:r>
          <a:r>
            <a:rPr lang="es-PY" b="1"/>
            <a:t>C16, C17 y C18</a:t>
          </a:r>
          <a:r>
            <a:rPr lang="es-PY"/>
            <a:t> para Textil y cueros.</a:t>
          </a:r>
        </a:p>
        <a:p>
          <a:endParaRPr lang="es-PY"/>
        </a:p>
        <a:p>
          <a:r>
            <a:rPr lang="es-PY"/>
            <a:t>Para su comparabilidad con otros sectores del inventario, el VAB en pesos constantes de 2016 se convierte a dólares constantes aplicando el tipo de cambio promedio anual de 2016 (</a:t>
          </a:r>
          <a:r>
            <a:rPr lang="es-PY" b="1"/>
            <a:t>28,84 UYU/USD</a:t>
          </a:r>
          <a:r>
            <a:rPr lang="es-PY"/>
            <a:t>).</a:t>
          </a:r>
        </a:p>
        <a:p>
          <a:endParaRPr lang="es-PY" sz="1100" b="1"/>
        </a:p>
        <a:p>
          <a:endParaRPr lang="es-PY" sz="1100" b="1"/>
        </a:p>
        <a:p>
          <a:endParaRPr lang="es-PY"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-704850</xdr:rowOff>
    </xdr:from>
    <xdr:to>
      <xdr:col>0</xdr:col>
      <xdr:colOff>-571500</xdr:colOff>
      <xdr:row>0</xdr:row>
      <xdr:rowOff>-704850</xdr:rowOff>
    </xdr:to>
    <xdr:sp macro="" textlink="">
      <xdr:nvSpPr>
        <xdr:cNvPr id="2" name="CuadroTexto 1">
          <a:extLst>
            <a:ext uri="{FF2B5EF4-FFF2-40B4-BE49-F238E27FC236}">
              <a16:creationId xmlns:a16="http://schemas.microsoft.com/office/drawing/2014/main" id="{462BE586-FC29-2DE2-ADB8-1E6E1EE65198}"/>
            </a:ext>
          </a:extLst>
        </xdr:cNvPr>
        <xdr:cNvSpPr txBox="1"/>
      </xdr:nvSpPr>
      <xdr:spPr>
        <a:xfrm>
          <a:off x="-571500" y="-704850"/>
          <a:ext cx="0" cy="0"/>
        </a:xfrm>
        <a:prstGeom prst="rect">
          <a:avLst/>
        </a:prstGeom>
        <a:solidFill>
          <a:srgbClr val="FFFF00"/>
        </a:solidFill>
        <a:ln/>
      </xdr:spPr>
      <xdr:style>
        <a:lnRef idx="2">
          <a:schemeClr val="accent2">
            <a:shade val="15000"/>
          </a:schemeClr>
        </a:lnRef>
        <a:fillRef idx="1">
          <a:schemeClr val="accent2"/>
        </a:fillRef>
        <a:effectRef idx="0">
          <a:schemeClr val="accent2"/>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ptos Narrow" panose="020B0004020202020204" pitchFamily="34" charset="0"/>
            </a:rPr>
            <a:t>Conversión entre pesos uruguayos y dólares constantes (base 2014-2016)</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Los valores del Banco Central del Uruguay (BCU) se presentan en millones de pesos uruguayos constantes base 2016, lo que significa que están ajustados por inflación y expresan precios reales del año 2016.</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Para mantener la coherencia metodológica con los valores económicos publicados por FAOSTAT, que se expresan en dólares constantes base 2014–2016, se utilizan los siguientes tipos de cambio de referencia: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FAOSTAT:</a:t>
          </a:r>
          <a:r>
            <a:rPr lang="en-US" sz="1100" b="0" i="0" u="none" strike="noStrike">
              <a:solidFill>
                <a:srgbClr val="000000"/>
              </a:solidFill>
              <a:latin typeface="+mn-lt"/>
              <a:ea typeface="+mn-lt"/>
              <a:cs typeface="+mn-lt"/>
            </a:rPr>
            <a:t> tipo de cambio implícito de 26,65 UYU/USD, derivado de las propias series (MLE/USD).</a:t>
          </a: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BCU</a:t>
          </a:r>
          <a:r>
            <a:rPr lang="en-US" sz="1100" b="0" i="0" u="none" strike="noStrike">
              <a:solidFill>
                <a:srgbClr val="000000"/>
              </a:solidFill>
              <a:latin typeface="+mn-lt"/>
              <a:ea typeface="+mn-lt"/>
              <a:cs typeface="+mn-lt"/>
            </a:rPr>
            <a:t>: tipo de cambio promedio de 28,84 UYU/USD correspondiente a diciembre de 2016, publicado por el BCU (cotización interbancaria).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La conversión se aplica mediante la siguiente fórmula:</a:t>
          </a:r>
          <a:endParaRPr lang="en-US" sz="1100" b="1" i="0" u="none" strike="noStrike">
            <a:solidFill>
              <a:srgbClr val="000000"/>
            </a:solidFill>
            <a:latin typeface="+mn-lt"/>
            <a:ea typeface="+mn-lt"/>
            <a:cs typeface="+mn-lt"/>
          </a:endParaRPr>
        </a:p>
        <a:p>
          <a:pPr marL="0" indent="0" algn="l"/>
          <a:endParaRPr lang="en-US" sz="1100" b="1" i="0" u="none" strike="noStrike">
            <a:solidFill>
              <a:srgbClr val="000000"/>
            </a:solidFill>
            <a:latin typeface="+mn-lt"/>
            <a:ea typeface="+mn-lt"/>
            <a:cs typeface="+mn-lt"/>
          </a:endParaRPr>
        </a:p>
        <a:p>
          <a:pPr marL="0" indent="0" algn="l"/>
          <a:r>
            <a:rPr lang="en-US" sz="1100" b="1" i="0" u="none" strike="noStrike">
              <a:solidFill>
                <a:srgbClr val="000000"/>
              </a:solidFill>
              <a:latin typeface="+mn-lt"/>
              <a:ea typeface="+mn-lt"/>
              <a:cs typeface="+mn-lt"/>
            </a:rPr>
            <a:t>Valor (USD constantes)=</a:t>
          </a:r>
          <a:r>
            <a:rPr lang="en-US" sz="1100" b="1" i="0" u="none" strike="noStrike">
              <a:solidFill>
                <a:srgbClr val="000000"/>
              </a:solidFill>
              <a:latin typeface="Aptos Narrow" panose="020B0004020202020204" pitchFamily="34" charset="0"/>
            </a:rPr>
            <a:t> </a:t>
          </a:r>
          <a:r>
            <a:rPr lang="en-US" sz="1100" b="1" i="0" u="none" strike="noStrike">
              <a:solidFill>
                <a:srgbClr val="000000"/>
              </a:solidFill>
              <a:latin typeface="+mn-lt"/>
              <a:ea typeface="+mn-lt"/>
              <a:cs typeface="+mn-lt"/>
            </a:rPr>
            <a:t>Valor (UYU constantes 2016)</a:t>
          </a:r>
          <a:r>
            <a:rPr lang="en-US" sz="1100" b="1" i="0" u="none" strike="noStrike">
              <a:solidFill>
                <a:srgbClr val="000000"/>
              </a:solidFill>
              <a:latin typeface="Aptos Narrow" panose="020B0004020202020204" pitchFamily="34" charset="0"/>
            </a:rPr>
            <a:t>/28,84</a:t>
          </a:r>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p>
        <a:p>
          <a:pPr marL="0" indent="0" algn="l"/>
          <a:r>
            <a:rPr lang="en-US" sz="1100" b="0" i="0" u="none" strike="noStrike">
              <a:solidFill>
                <a:srgbClr val="000000"/>
              </a:solidFill>
              <a:latin typeface="+mn-lt"/>
              <a:ea typeface="+mn-lt"/>
              <a:cs typeface="+mn-lt"/>
            </a:rPr>
            <a:t>Este procedimiento garantiza que todas las cifras económicas empleadas en los proxies y factores de emisión</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tanto de FAOSTAT como del BCU</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 estén expresadas en moneda constante y año base equivalente, manteniendo la comparabilidad y evitando distorsiones inflacionarias.</a:t>
          </a:r>
        </a:p>
      </xdr:txBody>
    </xdr:sp>
    <xdr:clientData/>
  </xdr:twoCellAnchor>
  <xdr:twoCellAnchor>
    <xdr:from>
      <xdr:col>1</xdr:col>
      <xdr:colOff>54261</xdr:colOff>
      <xdr:row>43</xdr:row>
      <xdr:rowOff>51199</xdr:rowOff>
    </xdr:from>
    <xdr:to>
      <xdr:col>7</xdr:col>
      <xdr:colOff>1081421</xdr:colOff>
      <xdr:row>62</xdr:row>
      <xdr:rowOff>23584</xdr:rowOff>
    </xdr:to>
    <xdr:sp macro="" textlink="">
      <xdr:nvSpPr>
        <xdr:cNvPr id="3" name="CuadroTexto 2">
          <a:extLst>
            <a:ext uri="{FF2B5EF4-FFF2-40B4-BE49-F238E27FC236}">
              <a16:creationId xmlns:a16="http://schemas.microsoft.com/office/drawing/2014/main" id="{5FCAC213-DA49-4019-884E-87D594D8C6DC}"/>
            </a:ext>
            <a:ext uri="{147F2762-F138-4A5C-976F-8EAC2B608ADB}">
              <a16:predDERef xmlns:a16="http://schemas.microsoft.com/office/drawing/2014/main" pred="{462BE586-FC29-2DE2-ADB8-1E6E1EE65198}"/>
            </a:ext>
          </a:extLst>
        </xdr:cNvPr>
        <xdr:cNvSpPr txBox="1"/>
      </xdr:nvSpPr>
      <xdr:spPr>
        <a:xfrm>
          <a:off x="299190" y="17395770"/>
          <a:ext cx="7313660" cy="3591885"/>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1" i="0" u="none" strike="noStrike">
              <a:solidFill>
                <a:srgbClr val="000000"/>
              </a:solidFill>
              <a:latin typeface="Aptos Narrow" panose="020B0004020202020204" pitchFamily="34" charset="0"/>
            </a:rPr>
            <a:t>Conversión entre pesos uruguayos y dólares constantes (base 2014-2016)</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Los valores del Banco Central del Uruguay (BCU) se presentan en millones de pesos uruguayos constantes base 2016, lo que significa que están ajustados por inflación y expresan precios reales del año 2016.</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Para mantener la coherencia metodológica con los valores económicos publicados por FAOSTAT, que se expresan en dólares constantes base 2014–2016, se utilizan los siguientes tipos de cambio de referencia: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FAOSTAT:</a:t>
          </a:r>
          <a:r>
            <a:rPr lang="en-US" sz="1100" b="0" i="0" u="none" strike="noStrike">
              <a:solidFill>
                <a:srgbClr val="000000"/>
              </a:solidFill>
              <a:latin typeface="+mn-lt"/>
              <a:ea typeface="+mn-lt"/>
              <a:cs typeface="+mn-lt"/>
            </a:rPr>
            <a:t> tipo de cambio implícito de 26,65 UYU/USD, derivado de las propias series (MLE/USD).</a:t>
          </a:r>
        </a:p>
        <a:p>
          <a:pPr marL="0" indent="0" algn="l"/>
          <a:r>
            <a:rPr lang="en-US" sz="1100" b="0" i="0" u="none" strike="noStrike">
              <a:solidFill>
                <a:srgbClr val="000000"/>
              </a:solidFill>
              <a:latin typeface="+mn-lt"/>
              <a:ea typeface="+mn-lt"/>
              <a:cs typeface="+mn-lt"/>
            </a:rPr>
            <a:t>• </a:t>
          </a:r>
          <a:r>
            <a:rPr lang="en-US" sz="1100" b="1" i="0" u="none" strike="noStrike">
              <a:solidFill>
                <a:srgbClr val="000000"/>
              </a:solidFill>
              <a:latin typeface="+mn-lt"/>
              <a:ea typeface="+mn-lt"/>
              <a:cs typeface="+mn-lt"/>
            </a:rPr>
            <a:t>BCU</a:t>
          </a:r>
          <a:r>
            <a:rPr lang="en-US" sz="1100" b="0" i="0" u="none" strike="noStrike">
              <a:solidFill>
                <a:srgbClr val="000000"/>
              </a:solidFill>
              <a:latin typeface="+mn-lt"/>
              <a:ea typeface="+mn-lt"/>
              <a:cs typeface="+mn-lt"/>
            </a:rPr>
            <a:t>: tipo de cambio promedio de 28,84 UYU/USD correspondiente a diciembre de 2016, publicado por el BCU (cotización interbancaria).</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La conversión se aplica mediante la siguiente fórmula:</a:t>
          </a:r>
          <a:endParaRPr lang="en-US" sz="1100" b="1" i="0" u="none" strike="noStrike">
            <a:solidFill>
              <a:srgbClr val="000000"/>
            </a:solidFill>
            <a:latin typeface="+mn-lt"/>
            <a:ea typeface="+mn-lt"/>
            <a:cs typeface="+mn-lt"/>
          </a:endParaRPr>
        </a:p>
        <a:p>
          <a:pPr marL="0" indent="0" algn="l"/>
          <a:endParaRPr lang="en-US" sz="1100" b="1" i="0" u="none" strike="noStrike">
            <a:solidFill>
              <a:srgbClr val="000000"/>
            </a:solidFill>
            <a:latin typeface="+mn-lt"/>
            <a:ea typeface="+mn-lt"/>
            <a:cs typeface="+mn-lt"/>
          </a:endParaRPr>
        </a:p>
        <a:p>
          <a:pPr marL="0" indent="0" algn="l"/>
          <a:r>
            <a:rPr lang="en-US" sz="1100" b="1" i="0" u="none" strike="noStrike">
              <a:solidFill>
                <a:srgbClr val="000000"/>
              </a:solidFill>
              <a:latin typeface="+mn-lt"/>
              <a:ea typeface="+mn-lt"/>
              <a:cs typeface="+mn-lt"/>
            </a:rPr>
            <a:t>Valor (USD constantes)=</a:t>
          </a:r>
          <a:r>
            <a:rPr lang="en-US" sz="1100" b="1" i="0" u="none" strike="noStrike">
              <a:solidFill>
                <a:srgbClr val="000000"/>
              </a:solidFill>
              <a:latin typeface="Aptos Narrow" panose="020B0004020202020204" pitchFamily="34" charset="0"/>
            </a:rPr>
            <a:t> </a:t>
          </a:r>
          <a:r>
            <a:rPr lang="en-US" sz="1100" b="1" i="0" u="none" strike="noStrike">
              <a:solidFill>
                <a:srgbClr val="000000"/>
              </a:solidFill>
              <a:latin typeface="+mn-lt"/>
              <a:ea typeface="+mn-lt"/>
              <a:cs typeface="+mn-lt"/>
            </a:rPr>
            <a:t>Valor (UYU constantes 2016)</a:t>
          </a:r>
          <a:r>
            <a:rPr lang="en-US" sz="1100" b="1" i="0" u="none" strike="noStrike">
              <a:solidFill>
                <a:srgbClr val="000000"/>
              </a:solidFill>
              <a:latin typeface="Aptos Narrow" panose="020B0004020202020204" pitchFamily="34" charset="0"/>
            </a:rPr>
            <a:t>/28,84</a:t>
          </a:r>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	</a:t>
          </a:r>
        </a:p>
        <a:p>
          <a:pPr marL="0" indent="0" algn="l"/>
          <a:r>
            <a:rPr lang="en-US" sz="1100" b="0" i="0" u="none" strike="noStrike">
              <a:solidFill>
                <a:srgbClr val="000000"/>
              </a:solidFill>
              <a:latin typeface="+mn-lt"/>
              <a:ea typeface="+mn-lt"/>
              <a:cs typeface="+mn-lt"/>
            </a:rPr>
            <a:t>Este procedimiento garantiza que todas las cifras económicas empleadas en los proxies y factores de emisión</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tanto de FAOSTAT como del BCU</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 estén expresadas en moneda constante y año base equivalente, manteniendo la comparabilidad y evitando distorsiones inflacionarias.</a:t>
          </a:r>
        </a:p>
      </xdr:txBody>
    </xdr:sp>
    <xdr:clientData/>
  </xdr:twoCellAnchor>
  <xdr:twoCellAnchor>
    <xdr:from>
      <xdr:col>0</xdr:col>
      <xdr:colOff>158750</xdr:colOff>
      <xdr:row>11</xdr:row>
      <xdr:rowOff>177427</xdr:rowOff>
    </xdr:from>
    <xdr:to>
      <xdr:col>9</xdr:col>
      <xdr:colOff>84045</xdr:colOff>
      <xdr:row>25</xdr:row>
      <xdr:rowOff>177209</xdr:rowOff>
    </xdr:to>
    <xdr:sp macro="" textlink="">
      <xdr:nvSpPr>
        <xdr:cNvPr id="4" name="CuadroTexto 3">
          <a:extLst>
            <a:ext uri="{FF2B5EF4-FFF2-40B4-BE49-F238E27FC236}">
              <a16:creationId xmlns:a16="http://schemas.microsoft.com/office/drawing/2014/main" id="{EA6A0492-8452-2D55-BBDD-3C83324A761E}"/>
            </a:ext>
          </a:extLst>
        </xdr:cNvPr>
        <xdr:cNvSpPr txBox="1"/>
      </xdr:nvSpPr>
      <xdr:spPr>
        <a:xfrm>
          <a:off x="158750" y="13349985"/>
          <a:ext cx="7973551" cy="26874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t>Valor</a:t>
          </a:r>
          <a:r>
            <a:rPr lang="es-PY" sz="1100" b="1" baseline="0"/>
            <a:t> económico Sector Transporte </a:t>
          </a:r>
        </a:p>
        <a:p>
          <a:endParaRPr lang="es-PY" sz="1100" b="0"/>
        </a:p>
        <a:p>
          <a:r>
            <a:rPr lang="es-PY" b="0"/>
            <a:t>El Banco Central del Uruguay (BCU) publica las Cuentas Nacionales desagregadas por industria según la Clasificación Industrial Uruguaya (CIU Rev.4). En estas cuentas, el Producto Interno Bruto (PIB) por industrias no presenta de forma separada al sector “</a:t>
          </a:r>
          <a:r>
            <a:rPr lang="es-PY" b="1"/>
            <a:t>H – Transporte y almacenamiento</a:t>
          </a:r>
          <a:r>
            <a:rPr lang="es-PY" b="0"/>
            <a:t>”, sino que lo agrupa de forma conjunta con </a:t>
          </a:r>
          <a:r>
            <a:rPr lang="es-PY" b="1"/>
            <a:t>el sector “J – Información y comunicaciones</a:t>
          </a:r>
          <a:r>
            <a:rPr lang="es-PY" b="0"/>
            <a:t>”.</a:t>
          </a:r>
        </a:p>
        <a:p>
          <a:endParaRPr lang="es-PY" b="0"/>
        </a:p>
        <a:p>
          <a:r>
            <a:rPr lang="es-PY" b="0"/>
            <a:t>Debido a esta agregación en el PIB por industrias, el valor económico específico del sector Transporte no puede obtenerse directamente de dicha serie. Por este motivo, se utiliza el </a:t>
          </a:r>
          <a:r>
            <a:rPr lang="es-PY" b="1"/>
            <a:t>Valor Agregado Bruto (VAB) del sector H – Transporte y almacenamiento (categorías H.1 a H.6), disponible en la Cuenta de Producción por Industrias</a:t>
          </a:r>
          <a:r>
            <a:rPr lang="es-PY" b="0"/>
            <a:t>.</a:t>
          </a:r>
        </a:p>
        <a:p>
          <a:r>
            <a:rPr lang="es-PY" b="0"/>
            <a:t>El VAB sectorial es el nivel más desagregado, consistente y trazable disponible en moneda constante (año base 2016), y constituye la única fuente oficial que permite aislar económicamente al sector Transporte sin mezclarlo con actividades ajenas. Actualmente, no existen datos más recientes con esta desagregación para años posteriores al año base 2016.</a:t>
          </a:r>
        </a:p>
        <a:p>
          <a:endParaRPr lang="es-PY" b="0"/>
        </a:p>
        <a:p>
          <a:r>
            <a:rPr lang="es-PY" b="0"/>
            <a:t>Para su comparabilidad con otros sectores del inventario (p. ej. Agricultura y Ganadería), el VAB en pesos constantes de 2016 se convierte a dólares constantes aplicando el tipo de cambio promedio anual de 2016 (28,84 UYU/USD)</a:t>
          </a:r>
        </a:p>
        <a:p>
          <a:endParaRPr lang="es-PY" sz="1100" b="0"/>
        </a:p>
      </xdr:txBody>
    </xdr:sp>
    <xdr:clientData/>
  </xdr:twoCellAnchor>
  <xdr:twoCellAnchor>
    <xdr:from>
      <xdr:col>0</xdr:col>
      <xdr:colOff>206743</xdr:colOff>
      <xdr:row>28</xdr:row>
      <xdr:rowOff>155648</xdr:rowOff>
    </xdr:from>
    <xdr:to>
      <xdr:col>8</xdr:col>
      <xdr:colOff>959882</xdr:colOff>
      <xdr:row>42</xdr:row>
      <xdr:rowOff>73837</xdr:rowOff>
    </xdr:to>
    <xdr:sp macro="" textlink="">
      <xdr:nvSpPr>
        <xdr:cNvPr id="5" name="CuadroTexto 4">
          <a:extLst>
            <a:ext uri="{FF2B5EF4-FFF2-40B4-BE49-F238E27FC236}">
              <a16:creationId xmlns:a16="http://schemas.microsoft.com/office/drawing/2014/main" id="{B5764A88-2AAA-8FB1-962D-08BD53372E77}"/>
            </a:ext>
          </a:extLst>
        </xdr:cNvPr>
        <xdr:cNvSpPr txBox="1"/>
      </xdr:nvSpPr>
      <xdr:spPr>
        <a:xfrm>
          <a:off x="206743" y="16591811"/>
          <a:ext cx="7797209" cy="2605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Y" b="1"/>
            <a:t>Asignación sectorial de emisiones y valor económico: Producción de electricidad y calor - Construcción- Textil y Cuero</a:t>
          </a:r>
          <a:r>
            <a:rPr lang="es-PY" b="1" baseline="0"/>
            <a:t> </a:t>
          </a:r>
          <a:endParaRPr lang="es-PY" b="1"/>
        </a:p>
        <a:p>
          <a:pPr marL="0" marR="0" lvl="0" indent="0" defTabSz="914400" eaLnBrk="1" fontAlgn="auto" latinLnBrk="0" hangingPunct="1">
            <a:lnSpc>
              <a:spcPct val="100000"/>
            </a:lnSpc>
            <a:spcBef>
              <a:spcPts val="0"/>
            </a:spcBef>
            <a:spcAft>
              <a:spcPts val="0"/>
            </a:spcAft>
            <a:buClrTx/>
            <a:buSzTx/>
            <a:buFontTx/>
            <a:buNone/>
            <a:tabLst/>
            <a:defRPr/>
          </a:pPr>
          <a:endParaRPr lang="es-PY" b="1">
            <a:effectLst/>
          </a:endParaRPr>
        </a:p>
        <a:p>
          <a:r>
            <a:rPr lang="es-PY"/>
            <a:t>En el Inventario Nacional de GEI (INGEI), las emisiones de los sectores de Energía e Industria se presentan agrupadas en categorías amplias, por lo que, para este análisis, fue necesario desagregar las subcategorías específicas (como </a:t>
          </a:r>
          <a:r>
            <a:rPr lang="es-PY" b="1"/>
            <a:t>1.A.1.a Producción de electricidad y calor</a:t>
          </a:r>
          <a:r>
            <a:rPr lang="es-PY"/>
            <a:t>, </a:t>
          </a:r>
          <a:r>
            <a:rPr lang="es-PY" b="1"/>
            <a:t>1.A.2.k Construcción</a:t>
          </a:r>
          <a:r>
            <a:rPr lang="es-PY"/>
            <a:t> y </a:t>
          </a:r>
          <a:r>
            <a:rPr lang="es-PY" b="1"/>
            <a:t>1.A.2.l Textil y cueros</a:t>
          </a:r>
          <a:r>
            <a:rPr lang="es-PY"/>
            <a:t>) a fin de obtener las emisiones correspondientes únicamente a las actividades económicas relevantes. Esta desagregación permitió alinear las fronteras de emisiones con los valores económicos efectivos reportados por el Banco Central del Uruguay (BCU).</a:t>
          </a:r>
        </a:p>
        <a:p>
          <a:endParaRPr lang="es-PY"/>
        </a:p>
        <a:p>
          <a:r>
            <a:rPr lang="es-PY"/>
            <a:t>El valor económico sectorial se obtuvo del </a:t>
          </a:r>
          <a:r>
            <a:rPr lang="es-PY" b="1"/>
            <a:t>Valor Agregado Bruto (VAB)</a:t>
          </a:r>
          <a:r>
            <a:rPr lang="es-PY"/>
            <a:t> desagregado por industria según la </a:t>
          </a:r>
          <a:r>
            <a:rPr lang="es-PY" b="1"/>
            <a:t>Clasificación Industrial Uruguaya (CIU Rev.4)</a:t>
          </a:r>
          <a:r>
            <a:rPr lang="es-PY"/>
            <a:t>, correspondiente a los sectores equivalentes del BCU: </a:t>
          </a:r>
          <a:r>
            <a:rPr lang="es-PY" b="1"/>
            <a:t>D1 y D2</a:t>
          </a:r>
          <a:r>
            <a:rPr lang="es-PY"/>
            <a:t> para Producción de electricidad y calor; </a:t>
          </a:r>
          <a:r>
            <a:rPr lang="es-PY" b="1"/>
            <a:t>F1 y F2</a:t>
          </a:r>
          <a:r>
            <a:rPr lang="es-PY"/>
            <a:t> para Construcción; y </a:t>
          </a:r>
          <a:r>
            <a:rPr lang="es-PY" b="1"/>
            <a:t>C16, C17 y C18</a:t>
          </a:r>
          <a:r>
            <a:rPr lang="es-PY"/>
            <a:t> para Textil y cueros.</a:t>
          </a:r>
        </a:p>
        <a:p>
          <a:endParaRPr lang="es-PY"/>
        </a:p>
        <a:p>
          <a:r>
            <a:rPr lang="es-PY"/>
            <a:t>Para su comparabilidad con otros sectores del inventario, el VAB en pesos constantes de 2016 se convierte a dólares constantes aplicando el tipo de cambio promedio anual de 2016 (</a:t>
          </a:r>
          <a:r>
            <a:rPr lang="es-PY" b="1"/>
            <a:t>28,84 UYU/USD</a:t>
          </a:r>
          <a:r>
            <a:rPr lang="es-PY"/>
            <a:t>).</a:t>
          </a:r>
        </a:p>
        <a:p>
          <a:endParaRPr lang="es-PY" sz="1100" b="1"/>
        </a:p>
        <a:p>
          <a:endParaRPr lang="es-PY" sz="1100" b="1"/>
        </a:p>
        <a:p>
          <a:endParaRPr lang="es-PY" sz="1100" b="1"/>
        </a:p>
      </xdr:txBody>
    </xdr:sp>
    <xdr:clientData/>
  </xdr:twoCellAnchor>
  <xdr:twoCellAnchor>
    <xdr:from>
      <xdr:col>9</xdr:col>
      <xdr:colOff>723733</xdr:colOff>
      <xdr:row>12</xdr:row>
      <xdr:rowOff>13098</xdr:rowOff>
    </xdr:from>
    <xdr:to>
      <xdr:col>12</xdr:col>
      <xdr:colOff>2612572</xdr:colOff>
      <xdr:row>27</xdr:row>
      <xdr:rowOff>145143</xdr:rowOff>
    </xdr:to>
    <xdr:sp macro="" textlink="">
      <xdr:nvSpPr>
        <xdr:cNvPr id="6" name="CuadroTexto 5">
          <a:extLst>
            <a:ext uri="{FF2B5EF4-FFF2-40B4-BE49-F238E27FC236}">
              <a16:creationId xmlns:a16="http://schemas.microsoft.com/office/drawing/2014/main" id="{71B6E387-C700-4663-B707-3E344630216A}"/>
            </a:ext>
            <a:ext uri="{147F2762-F138-4A5C-976F-8EAC2B608ADB}">
              <a16:predDERef xmlns:a16="http://schemas.microsoft.com/office/drawing/2014/main" pred="{462BE586-FC29-2DE2-ADB8-1E6E1EE65198}"/>
            </a:ext>
          </a:extLst>
        </xdr:cNvPr>
        <xdr:cNvSpPr txBox="1"/>
      </xdr:nvSpPr>
      <xdr:spPr>
        <a:xfrm>
          <a:off x="9377876" y="11452169"/>
          <a:ext cx="5054767" cy="2989545"/>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s-PY" b="1"/>
            <a:t>NOTA metodológica – Desagregación de emisiones 2022</a:t>
          </a:r>
        </a:p>
        <a:p>
          <a:r>
            <a:rPr lang="es-PY"/>
            <a:t>Para el año 2022, el análisis de emisiones sectoriales se realizó a partir de </a:t>
          </a:r>
          <a:r>
            <a:rPr lang="es-PY" b="1"/>
            <a:t>datos abiertos del Inventario Nacional de GEI</a:t>
          </a:r>
          <a:r>
            <a:rPr lang="es-PY"/>
            <a:t>, los cuales presentan un </a:t>
          </a:r>
          <a:r>
            <a:rPr lang="es-PY" b="1"/>
            <a:t>nivel de desagregación menor</a:t>
          </a:r>
          <a:r>
            <a:rPr lang="es-PY"/>
            <a:t> en comparación con los inventarios de años anteriores (2016–2017).</a:t>
          </a:r>
        </a:p>
        <a:p>
          <a:endParaRPr lang="es-PY"/>
        </a:p>
        <a:p>
          <a:r>
            <a:rPr lang="es-PY"/>
            <a:t>Si bien fue posible identificar y reclasificar emisiones asociadas a los sectores </a:t>
          </a:r>
          <a:r>
            <a:rPr lang="es-PY" b="1"/>
            <a:t>Ganadería</a:t>
          </a:r>
          <a:r>
            <a:rPr lang="es-PY"/>
            <a:t> y </a:t>
          </a:r>
          <a:r>
            <a:rPr lang="es-PY" b="1"/>
            <a:t>Agricultura</a:t>
          </a:r>
          <a:r>
            <a:rPr lang="es-PY"/>
            <a:t> utilizando las subcategorías </a:t>
          </a:r>
          <a:r>
            <a:rPr lang="es-PY" b="1"/>
            <a:t>3.A y 3.C del sector AFOLU</a:t>
          </a:r>
          <a:r>
            <a:rPr lang="es-PY"/>
            <a:t>, no se dispuso de información suficientemente desagregada a nivel de </a:t>
          </a:r>
          <a:r>
            <a:rPr lang="es-PY" b="1"/>
            <a:t>parámetros de actividad, factores de emisión o fuentes específicas</a:t>
          </a:r>
          <a:r>
            <a:rPr lang="es-PY"/>
            <a:t>, que permitiera profundizar la descomposición de las emisiones dentro de cada subcategoría.</a:t>
          </a:r>
        </a:p>
        <a:p>
          <a:endParaRPr lang="es-PY"/>
        </a:p>
        <a:p>
          <a:r>
            <a:rPr lang="es-PY"/>
            <a:t>En consecuencia, para el año 2022 se trabajó directamente con los </a:t>
          </a:r>
          <a:r>
            <a:rPr lang="es-PY" b="1"/>
            <a:t>valores de emisiones expresados en Gg CO₂-eq (GWP100, AR5)</a:t>
          </a:r>
          <a:r>
            <a:rPr lang="es-PY"/>
            <a:t> reportados en el inventario, manteniendo la coherencia metodológica con los ejercicios previos y evitando la introducción de supuestos adicionales que pudieran afectar la comparabilidad de los resultados.</a:t>
          </a:r>
        </a:p>
        <a:p>
          <a:pPr marL="0" indent="0" algn="l"/>
          <a:endParaRPr lang="en-US" sz="1100" b="1" i="0" u="none" strike="noStrike">
            <a:solidFill>
              <a:srgbClr val="000000"/>
            </a:solidFill>
            <a:latin typeface="+mn-lt"/>
            <a:ea typeface="+mn-lt"/>
            <a:cs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552450</xdr:colOff>
      <xdr:row>4</xdr:row>
      <xdr:rowOff>180975</xdr:rowOff>
    </xdr:from>
    <xdr:to>
      <xdr:col>4</xdr:col>
      <xdr:colOff>111125</xdr:colOff>
      <xdr:row>14</xdr:row>
      <xdr:rowOff>92075</xdr:rowOff>
    </xdr:to>
    <xdr:pic>
      <xdr:nvPicPr>
        <xdr:cNvPr id="4" name="Imagen 3">
          <a:extLst>
            <a:ext uri="{FF2B5EF4-FFF2-40B4-BE49-F238E27FC236}">
              <a16:creationId xmlns:a16="http://schemas.microsoft.com/office/drawing/2014/main" id="{FFBA0CDE-BC62-0F68-B3E8-41770681EA91}"/>
            </a:ext>
          </a:extLst>
        </xdr:cNvPr>
        <xdr:cNvPicPr>
          <a:picLocks noChangeAspect="1"/>
        </xdr:cNvPicPr>
      </xdr:nvPicPr>
      <xdr:blipFill>
        <a:blip xmlns:r="http://schemas.openxmlformats.org/officeDocument/2006/relationships" r:embed="rId1"/>
        <a:stretch>
          <a:fillRect/>
        </a:stretch>
      </xdr:blipFill>
      <xdr:spPr>
        <a:xfrm>
          <a:off x="552450" y="2219325"/>
          <a:ext cx="3902075" cy="1816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6</xdr:row>
      <xdr:rowOff>133350</xdr:rowOff>
    </xdr:from>
    <xdr:to>
      <xdr:col>5</xdr:col>
      <xdr:colOff>28575</xdr:colOff>
      <xdr:row>15</xdr:row>
      <xdr:rowOff>76200</xdr:rowOff>
    </xdr:to>
    <xdr:sp macro="" textlink="">
      <xdr:nvSpPr>
        <xdr:cNvPr id="4" name="CuadroTexto 1">
          <a:extLst>
            <a:ext uri="{FF2B5EF4-FFF2-40B4-BE49-F238E27FC236}">
              <a16:creationId xmlns:a16="http://schemas.microsoft.com/office/drawing/2014/main" id="{8C9873E6-8BF3-4F97-D968-3BEBCC306589}"/>
            </a:ext>
          </a:extLst>
        </xdr:cNvPr>
        <xdr:cNvSpPr txBox="1"/>
      </xdr:nvSpPr>
      <xdr:spPr>
        <a:xfrm>
          <a:off x="200025" y="2876550"/>
          <a:ext cx="4972050" cy="16573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ptos Narrow" panose="020B0004020202020204" pitchFamily="34" charset="0"/>
            </a:rPr>
            <a:t>Justificación Score</a:t>
          </a:r>
          <a:r>
            <a:rPr lang="en-US" sz="1100" b="0" i="0" u="none" strike="noStrike">
              <a:solidFill>
                <a:srgbClr val="000000"/>
              </a:solidFill>
              <a:latin typeface="Aptos Narrow" panose="020B0004020202020204" pitchFamily="34" charset="0"/>
            </a:rPr>
            <a:t>: </a:t>
          </a:r>
          <a:r>
            <a:rPr lang="en-US" sz="1100">
              <a:latin typeface="+mn-lt"/>
              <a:ea typeface="+mn-lt"/>
              <a:cs typeface="+mn-lt"/>
            </a:rPr>
            <a:t>Se estiman consumos a partir de intensidades energéticas por m² específicas por tipo de vivienda (casa/apartamento) y contexto país, no mediciones directas.</a:t>
          </a:r>
        </a:p>
        <a:p>
          <a:pPr marL="0" indent="0" algn="l"/>
          <a:endParaRPr lang="en-US" sz="1100">
            <a:latin typeface="+mn-lt"/>
            <a:ea typeface="+mn-lt"/>
            <a:cs typeface="+mn-lt"/>
          </a:endParaRPr>
        </a:p>
        <a:p>
          <a:pPr marL="0" indent="0" algn="l"/>
          <a:r>
            <a:rPr lang="en-US" sz="1100">
              <a:latin typeface="+mn-lt"/>
              <a:ea typeface="+mn-lt"/>
              <a:cs typeface="+mn-lt"/>
            </a:rPr>
            <a:t>Se desagrega por mix energético residencial (electricidad, GLP, gas natural) y se aplican factores de emisión nacionales.</a:t>
          </a:r>
        </a:p>
        <a:p>
          <a:pPr marL="0" indent="0" algn="l"/>
          <a:endParaRPr lang="en-US" sz="1100">
            <a:latin typeface="+mn-lt"/>
            <a:ea typeface="+mn-lt"/>
            <a:cs typeface="+mn-lt"/>
          </a:endParaRPr>
        </a:p>
        <a:p>
          <a:pPr marL="0" indent="0" algn="l"/>
          <a:r>
            <a:rPr lang="en-US" sz="1100">
              <a:latin typeface="+mn-lt"/>
              <a:ea typeface="+mn-lt"/>
              <a:cs typeface="+mn-lt"/>
            </a:rPr>
            <a:t>Se utilizan fuentes estadísticas y técnicas reconocidas (academia, ministerio, balances energéticos).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40</xdr:row>
      <xdr:rowOff>47625</xdr:rowOff>
    </xdr:from>
    <xdr:to>
      <xdr:col>5</xdr:col>
      <xdr:colOff>733425</xdr:colOff>
      <xdr:row>47</xdr:row>
      <xdr:rowOff>19050</xdr:rowOff>
    </xdr:to>
    <xdr:sp macro="" textlink="">
      <xdr:nvSpPr>
        <xdr:cNvPr id="12" name="CuadroTexto 1">
          <a:extLst>
            <a:ext uri="{FF2B5EF4-FFF2-40B4-BE49-F238E27FC236}">
              <a16:creationId xmlns:a16="http://schemas.microsoft.com/office/drawing/2014/main" id="{61964BEA-AE47-715E-DBA5-131B1E06623C}"/>
            </a:ext>
          </a:extLst>
        </xdr:cNvPr>
        <xdr:cNvSpPr txBox="1"/>
      </xdr:nvSpPr>
      <xdr:spPr>
        <a:xfrm>
          <a:off x="314325" y="9925050"/>
          <a:ext cx="6505575" cy="117157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ptos Narrow" panose="020B0004020202020204" pitchFamily="34" charset="0"/>
            </a:rPr>
            <a:t>Nota: </a:t>
          </a:r>
          <a:r>
            <a:rPr lang="en-US" sz="1100" b="0" i="0" u="none" strike="noStrike">
              <a:solidFill>
                <a:srgbClr val="000000"/>
              </a:solidFill>
              <a:latin typeface="Aptos Narrow" panose="020B0004020202020204" pitchFamily="34" charset="0"/>
            </a:rPr>
            <a:t>Según CEPAL (2024) a partir de datos de OLADE (2023), el sector comercial y de servicios en América Latina utiliza principalmente electricidad (73%), GLP (10%) y gas natural (7%), con una fracción menor de otros combustibles fósiles. se redistribuyó proporcionalmente entre electricidad y GLP, manteniendo el gas natural en 7%. </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Así, para los cálculos se adoptó la siguiente mezcla proxy: 80% electricidad, 13% GLP y 7% gas natural</a:t>
          </a:r>
        </a:p>
      </xdr:txBody>
    </xdr:sp>
    <xdr:clientData/>
  </xdr:twoCellAnchor>
  <xdr:twoCellAnchor>
    <xdr:from>
      <xdr:col>1</xdr:col>
      <xdr:colOff>9525</xdr:colOff>
      <xdr:row>6</xdr:row>
      <xdr:rowOff>142875</xdr:rowOff>
    </xdr:from>
    <xdr:to>
      <xdr:col>5</xdr:col>
      <xdr:colOff>914400</xdr:colOff>
      <xdr:row>17</xdr:row>
      <xdr:rowOff>57150</xdr:rowOff>
    </xdr:to>
    <xdr:sp macro="" textlink="">
      <xdr:nvSpPr>
        <xdr:cNvPr id="11" name="CuadroTexto 2">
          <a:extLst>
            <a:ext uri="{FF2B5EF4-FFF2-40B4-BE49-F238E27FC236}">
              <a16:creationId xmlns:a16="http://schemas.microsoft.com/office/drawing/2014/main" id="{95B19FCC-6F91-4418-9493-68481B06B1BE}"/>
            </a:ext>
            <a:ext uri="{147F2762-F138-4A5C-976F-8EAC2B608ADB}">
              <a16:predDERef xmlns:a16="http://schemas.microsoft.com/office/drawing/2014/main" pred="{61964BEA-AE47-715E-DBA5-131B1E06623C}"/>
            </a:ext>
          </a:extLst>
        </xdr:cNvPr>
        <xdr:cNvSpPr txBox="1"/>
      </xdr:nvSpPr>
      <xdr:spPr>
        <a:xfrm>
          <a:off x="285750" y="3648075"/>
          <a:ext cx="6505575" cy="1800225"/>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1" i="0" u="none" strike="noStrike">
              <a:solidFill>
                <a:srgbClr val="000000"/>
              </a:solidFill>
              <a:latin typeface="Aptos Narrow" panose="020B0004020202020204" pitchFamily="34" charset="0"/>
            </a:rPr>
            <a:t>Justificación Score</a:t>
          </a:r>
          <a:r>
            <a:rPr lang="en-US" sz="1100" b="0" i="0" u="none" strike="noStrike">
              <a:solidFill>
                <a:srgbClr val="000000"/>
              </a:solidFill>
              <a:latin typeface="Aptos Narrow" panose="020B0004020202020204" pitchFamily="34" charset="0"/>
            </a:rPr>
            <a:t>: Estimación intencidad de emisiones se basó en intesidades energéticas internacionales por tipología edilicia  (ENERGY STAR/CBECS), y en la composición energética del sector comercial y de servicios de América Latina reportada por CEPAL (2024) a partir de datos de OLADE (2023).</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Se utilizaron valores estadísticos representativos por tipología edilicia combinados con factores de emisión locales para Uruguay.</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Dado que no se cuenta con consumo real del edificio, la metodología corresponde al score 4 de PCAF, que aplica cuando las emisiones se estiman a partir del tipo de edificio y estadísticas energéticas específicas de la región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4302</xdr:colOff>
      <xdr:row>4</xdr:row>
      <xdr:rowOff>180768</xdr:rowOff>
    </xdr:from>
    <xdr:to>
      <xdr:col>4</xdr:col>
      <xdr:colOff>1360544</xdr:colOff>
      <xdr:row>17</xdr:row>
      <xdr:rowOff>96479</xdr:rowOff>
    </xdr:to>
    <xdr:sp macro="" textlink="">
      <xdr:nvSpPr>
        <xdr:cNvPr id="4" name="CuadroTexto 2">
          <a:extLst>
            <a:ext uri="{FF2B5EF4-FFF2-40B4-BE49-F238E27FC236}">
              <a16:creationId xmlns:a16="http://schemas.microsoft.com/office/drawing/2014/main" id="{A71B41EC-65A4-48AB-A626-F864A2CF96B1}"/>
            </a:ext>
            <a:ext uri="{147F2762-F138-4A5C-976F-8EAC2B608ADB}">
              <a16:predDERef xmlns:a16="http://schemas.microsoft.com/office/drawing/2014/main" pred="{710D751B-4631-48A0-B35D-5412314257F9}"/>
            </a:ext>
          </a:extLst>
        </xdr:cNvPr>
        <xdr:cNvSpPr txBox="1"/>
      </xdr:nvSpPr>
      <xdr:spPr>
        <a:xfrm>
          <a:off x="261477" y="1876218"/>
          <a:ext cx="5356742" cy="2392211"/>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ptos Narrow" panose="020B0004020202020204" pitchFamily="34" charset="0"/>
            </a:rPr>
            <a:t>Justificación Score</a:t>
          </a:r>
          <a:r>
            <a:rPr lang="en-US" sz="1100" b="0" i="0" u="none" strike="noStrike">
              <a:solidFill>
                <a:srgbClr val="000000"/>
              </a:solidFill>
              <a:latin typeface="Aptos Narrow" panose="020B0004020202020204" pitchFamily="34" charset="0"/>
            </a:rPr>
            <a:t>: El valor corresponde al promedio regional de dos de los mayores grupos retail de América Latina (Cencosud y Falabella), con operaciones en Argentina, Brasil, Chile, Colombia, Perú, Uruguay y EE. UU.</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Los datos se basan en información pública de consumo energético y emisiones consolidadas (Scope 1+2 MB) expresadas por superficie construida. Las</a:t>
          </a:r>
          <a:r>
            <a:rPr lang="en-US" sz="1100" b="0" i="0" u="none" strike="noStrike" baseline="0">
              <a:solidFill>
                <a:srgbClr val="000000"/>
              </a:solidFill>
              <a:latin typeface="Aptos Narrow" panose="020B0004020202020204" pitchFamily="34" charset="0"/>
            </a:rPr>
            <a:t> mismas considerando los subsectores de ambos grupos </a:t>
          </a:r>
          <a:r>
            <a:rPr lang="en-US" sz="1100" b="0" i="0">
              <a:effectLst/>
              <a:latin typeface="+mn-lt"/>
              <a:ea typeface="+mn-ea"/>
              <a:cs typeface="+mn-cs"/>
            </a:rPr>
            <a:t>: supermercados, tiendas por departamento, mejoramiento del hogar y centros comerciales</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Se calculó un promedio regional.</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Se clasifica con DQS 3, al tratarse de un promedio estimado basado en reportes corporativos y no en mediciones directas por establecimiento.</a:t>
          </a:r>
          <a:endParaRPr lang="en-US" sz="1100">
            <a:latin typeface="+mn-lt"/>
            <a:ea typeface="+mn-lt"/>
            <a:cs typeface="+mn-l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xdr:row>
      <xdr:rowOff>161925</xdr:rowOff>
    </xdr:from>
    <xdr:to>
      <xdr:col>4</xdr:col>
      <xdr:colOff>0</xdr:colOff>
      <xdr:row>16</xdr:row>
      <xdr:rowOff>314325</xdr:rowOff>
    </xdr:to>
    <xdr:sp macro="" textlink="">
      <xdr:nvSpPr>
        <xdr:cNvPr id="2" name="CuadroTexto 2">
          <a:extLst>
            <a:ext uri="{FF2B5EF4-FFF2-40B4-BE49-F238E27FC236}">
              <a16:creationId xmlns:a16="http://schemas.microsoft.com/office/drawing/2014/main" id="{B4C8E823-5E02-4291-81D4-038DF0554202}"/>
            </a:ext>
            <a:ext uri="{147F2762-F138-4A5C-976F-8EAC2B608ADB}">
              <a16:predDERef xmlns:a16="http://schemas.microsoft.com/office/drawing/2014/main" pred="{61964BEA-AE47-715E-DBA5-131B1E06623C}"/>
            </a:ext>
          </a:extLst>
        </xdr:cNvPr>
        <xdr:cNvSpPr txBox="1"/>
      </xdr:nvSpPr>
      <xdr:spPr>
        <a:xfrm>
          <a:off x="333375" y="5162550"/>
          <a:ext cx="4257675" cy="1962150"/>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1" i="0" u="none" strike="noStrike">
              <a:solidFill>
                <a:srgbClr val="000000"/>
              </a:solidFill>
              <a:latin typeface="Aptos Narrow" panose="020B0004020202020204" pitchFamily="34" charset="0"/>
            </a:rPr>
            <a:t>Justificación Score</a:t>
          </a:r>
          <a:r>
            <a:rPr lang="en-US" sz="1100" b="0" i="0" u="none" strike="noStrike">
              <a:solidFill>
                <a:srgbClr val="000000"/>
              </a:solidFill>
              <a:latin typeface="Aptos Narrow" panose="020B0004020202020204" pitchFamily="34" charset="0"/>
            </a:rPr>
            <a:t>: </a:t>
          </a:r>
          <a:r>
            <a:rPr lang="es-PY"/>
            <a:t>Las emisiones estimadas para cada categoría de vehículo se basan en datos estadísticos locales y regionales de distancia anual recorrida por tipo de vehículo, eficiencia del combustible (L/km) y rendimiento  (km/L) provenientes del Observatorio de Movilidad de Montevideo (Uruguay) y del Plan Maestro de Movilidad Eléctrica (Paraguay). </a:t>
          </a:r>
          <a:r>
            <a:rPr lang="en-US" sz="1100" b="0" i="0" u="none" strike="noStrike" baseline="0">
              <a:solidFill>
                <a:srgbClr val="000000"/>
              </a:solidFill>
              <a:latin typeface="Aptos Narrow" panose="020B0004020202020204" pitchFamily="34" charset="0"/>
            </a:rPr>
            <a:t> </a:t>
          </a:r>
        </a:p>
        <a:p>
          <a:pPr marL="0" indent="0" algn="l"/>
          <a:endParaRPr lang="es-PY"/>
        </a:p>
        <a:p>
          <a:pPr marL="0" indent="0" algn="l"/>
          <a:r>
            <a:rPr lang="es-PY"/>
            <a:t>Dado que se dispone de datos estadísticos locales por tipo de vehículo las estimaciones se realizan a nivel de tipo vehicular conocido, corresponde asignar </a:t>
          </a:r>
          <a:r>
            <a:rPr lang="es-PY" b="1"/>
            <a:t>DQS = 4</a:t>
          </a:r>
          <a:r>
            <a:rPr lang="es-PY"/>
            <a:t>, conforme al marco PCAF para la Opción 3a.</a:t>
          </a:r>
          <a:endParaRPr lang="en-US" sz="1100" b="0" i="0" u="none" strike="noStrike">
            <a:solidFill>
              <a:srgbClr val="000000"/>
            </a:solidFill>
            <a:latin typeface="Aptos Narrow" panose="020B0004020202020204" pitchFamily="34" charset="0"/>
          </a:endParaRPr>
        </a:p>
      </xdr:txBody>
    </xdr:sp>
    <xdr:clientData/>
  </xdr:twoCellAnchor>
  <xdr:twoCellAnchor>
    <xdr:from>
      <xdr:col>1</xdr:col>
      <xdr:colOff>0</xdr:colOff>
      <xdr:row>32</xdr:row>
      <xdr:rowOff>47625</xdr:rowOff>
    </xdr:from>
    <xdr:to>
      <xdr:col>4</xdr:col>
      <xdr:colOff>276225</xdr:colOff>
      <xdr:row>37</xdr:row>
      <xdr:rowOff>142875</xdr:rowOff>
    </xdr:to>
    <xdr:sp macro="" textlink="">
      <xdr:nvSpPr>
        <xdr:cNvPr id="3" name="CuadroTexto 2">
          <a:extLst>
            <a:ext uri="{FF2B5EF4-FFF2-40B4-BE49-F238E27FC236}">
              <a16:creationId xmlns:a16="http://schemas.microsoft.com/office/drawing/2014/main" id="{4AA1CCC1-EC5D-0362-BC03-2768F01E2297}"/>
            </a:ext>
            <a:ext uri="{147F2762-F138-4A5C-976F-8EAC2B608ADB}">
              <a16:predDERef xmlns:a16="http://schemas.microsoft.com/office/drawing/2014/main" pred="{B4C8E823-5E02-4291-81D4-038DF0554202}"/>
            </a:ext>
          </a:extLst>
        </xdr:cNvPr>
        <xdr:cNvSpPr txBox="1"/>
      </xdr:nvSpPr>
      <xdr:spPr>
        <a:xfrm>
          <a:off x="333375" y="14344650"/>
          <a:ext cx="468630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i="0" u="none" strike="noStrike">
              <a:solidFill>
                <a:schemeClr val="dk1"/>
              </a:solidFill>
              <a:effectLst/>
              <a:latin typeface="+mn-lt"/>
              <a:ea typeface="+mn-ea"/>
              <a:cs typeface="+mn-cs"/>
            </a:rPr>
            <a:t>Notas: </a:t>
          </a:r>
        </a:p>
        <a:p>
          <a:r>
            <a:rPr lang="es-PY" sz="1100" b="1" i="0" u="none" strike="noStrike">
              <a:solidFill>
                <a:schemeClr val="dk1"/>
              </a:solidFill>
              <a:effectLst/>
              <a:latin typeface="+mn-lt"/>
              <a:ea typeface="+mn-ea"/>
              <a:cs typeface="+mn-cs"/>
            </a:rPr>
            <a:t>Emisiones: </a:t>
          </a:r>
          <a:r>
            <a:rPr lang="es-PY" sz="1100" b="0" i="0" u="none" strike="noStrike">
              <a:solidFill>
                <a:schemeClr val="dk1"/>
              </a:solidFill>
              <a:effectLst/>
              <a:latin typeface="+mn-lt"/>
              <a:ea typeface="+mn-ea"/>
              <a:cs typeface="+mn-cs"/>
            </a:rPr>
            <a:t>distancia recorrida x Consumo por Km x Factor de emisión </a:t>
          </a:r>
          <a:r>
            <a:rPr lang="es-PY" b="0">
              <a:effectLst/>
            </a:rPr>
            <a:t> </a:t>
          </a:r>
        </a:p>
        <a:p>
          <a:r>
            <a:rPr lang="es-PY" sz="1100" b="1" i="0" u="none" strike="noStrike">
              <a:solidFill>
                <a:schemeClr val="dk1"/>
              </a:solidFill>
              <a:effectLst/>
              <a:latin typeface="+mn-lt"/>
              <a:ea typeface="+mn-ea"/>
              <a:cs typeface="+mn-cs"/>
            </a:rPr>
            <a:t>Rendimiento</a:t>
          </a:r>
          <a:r>
            <a:rPr lang="es-PY" sz="1100" b="0" i="0" u="none" strike="noStrike">
              <a:solidFill>
                <a:schemeClr val="dk1"/>
              </a:solidFill>
              <a:effectLst/>
              <a:latin typeface="+mn-lt"/>
              <a:ea typeface="+mn-ea"/>
              <a:cs typeface="+mn-cs"/>
            </a:rPr>
            <a:t>: distancia que un vehículo recorre con una cantidad específica de combustible (km/l)</a:t>
          </a:r>
          <a:r>
            <a:rPr lang="es-PY">
              <a:effectLst/>
            </a:rPr>
            <a:t> </a:t>
          </a:r>
        </a:p>
        <a:p>
          <a:r>
            <a:rPr lang="es-PY" sz="1100" b="1" i="0" u="none" strike="noStrike">
              <a:solidFill>
                <a:schemeClr val="dk1"/>
              </a:solidFill>
              <a:effectLst/>
              <a:latin typeface="+mn-lt"/>
              <a:ea typeface="+mn-ea"/>
              <a:cs typeface="+mn-cs"/>
            </a:rPr>
            <a:t>Eficiencia: </a:t>
          </a:r>
          <a:r>
            <a:rPr lang="es-PY" sz="1100" b="0" i="0" u="none" strike="noStrike">
              <a:solidFill>
                <a:schemeClr val="dk1"/>
              </a:solidFill>
              <a:effectLst/>
              <a:latin typeface="+mn-lt"/>
              <a:ea typeface="+mn-ea"/>
              <a:cs typeface="+mn-cs"/>
            </a:rPr>
            <a:t>que tan bien un vehículo utiliza energía del combustible </a:t>
          </a:r>
          <a:r>
            <a:rPr lang="es-PY">
              <a:effectLst/>
            </a:rPr>
            <a:t> </a:t>
          </a:r>
        </a:p>
        <a:p>
          <a:endParaRPr lang="es-PY"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20S%20U%20A%20R%20I%20O/Downloads/HdC%20PY_P2%20Gu&#237;a%20t&#233;cnica_UTCUTS_v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sole/OneDrive/Escritorio/DEUMAN/HdC%20Uruguay/Herramienta%20de%20c&#225;lculo%20-%20HdC%20Uruguay%200.1%20S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F-TF"/>
      <sheetName val="Hoja1"/>
      <sheetName val="OtraTierra (no TF)"/>
      <sheetName val="UTCUTS"/>
      <sheetName val="INGEI-PY"/>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la organización"/>
      <sheetName val="A1-Fuentes móviles"/>
      <sheetName val="A1-Fuentes fijas"/>
      <sheetName val="A1-IPPU"/>
      <sheetName val="A1- Otros procesos"/>
      <sheetName val="A1-Refrigerantes"/>
      <sheetName val="A1-Gestión de residuos y aguas "/>
      <sheetName val="A1-Equipos eléctricos"/>
      <sheetName val="A3-Transporte de empleados"/>
      <sheetName val="A3-Viajes de negocio"/>
      <sheetName val="A3-Transporte de carga"/>
      <sheetName val="A3-Bienes y servicios comprados"/>
      <sheetName val="A3-Otras fuentes"/>
      <sheetName val="A3-R. generados en operaciones"/>
      <sheetName val="UTCUTS"/>
      <sheetName val="A1-Valores por defecto"/>
      <sheetName val="A3-Valores por defecto"/>
      <sheetName val="UTCUTS-Valores por def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DEUMAN" id="{B1A286E5-620A-45AA-BF15-72C744A30C29}" userId="DEUMAN" providerId="None"/>
  <person displayName="Sol Leguizamon" id="{F263912B-4EBF-4A97-AB7A-D921E8A27561}" userId="sleguizamon@deuman.com" providerId="PeoplePicker"/>
  <person displayName="Victoria Rosarito Blasco Domínguez" id="{9357A8D7-6E5F-4DE9-B1E3-9544A95CB2AF}" userId="S::vblasco@deuman.com::b71644a2-8fdd-48b1-9cb9-fb11136292d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659ACD-899B-4FAA-8235-6C00F6C5D355}" name="Tabla3" displayName="Tabla3" ref="B3:E10" totalsRowShown="0" headerRowDxfId="371" dataDxfId="370">
  <autoFilter ref="B3:E10" xr:uid="{78659ACD-899B-4FAA-8235-6C00F6C5D355}"/>
  <tableColumns count="4">
    <tableColumn id="1" xr3:uid="{28979C8F-B456-4466-B3DB-0B8BD160675D}" name="Fuente" dataDxfId="369"/>
    <tableColumn id="2" xr3:uid="{3086C11F-E6BB-4947-8F8F-DC6AA4F41373}" name="Tipo de información disponible " dataDxfId="368"/>
    <tableColumn id="3" xr3:uid="{D805F2DC-D0EA-4035-9D46-8F64C6252C82}" name="Ejemplo de uso " dataDxfId="367"/>
    <tableColumn id="4" xr3:uid="{8E2D3A72-5F71-42B5-A67D-BC8616122AE4}" name="Enlace de referencia" dataDxfId="36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CEBFF18-1711-45CC-AA08-9DB046C29ABC}" name="Tabla15" displayName="Tabla15" ref="B33:D37" totalsRowShown="0" headerRowDxfId="254" dataDxfId="252" headerRowBorderDxfId="253" tableBorderDxfId="251" totalsRowBorderDxfId="250">
  <autoFilter ref="B33:D37" xr:uid="{0CEBFF18-1711-45CC-AA08-9DB046C29ABC}"/>
  <tableColumns count="3">
    <tableColumn id="1" xr3:uid="{F4EFCB40-2066-456A-9243-42CD176DAFB2}" name="Fuente energética  " dataDxfId="249"/>
    <tableColumn id="2" xr3:uid="{0F820D7A-9BE3-4CBE-A0A5-C47AF2E6804F}" name="Proporcion " dataDxfId="248"/>
    <tableColumn id="3" xr3:uid="{FFAD4E86-82C4-45EC-9369-5A494A9BB150}" name="Porcentaje " dataDxfId="24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11736A5-EC9D-4A3F-AE36-119617985D29}" name="Tabla17" displayName="Tabla17" ref="B24:O29" totalsRowShown="0" headerRowDxfId="246" dataDxfId="244" headerRowBorderDxfId="245" tableBorderDxfId="243" totalsRowBorderDxfId="242">
  <autoFilter ref="B24:O29" xr:uid="{211736A5-EC9D-4A3F-AE36-119617985D29}"/>
  <tableColumns count="14">
    <tableColumn id="1" xr3:uid="{D6F55523-E079-445C-AE96-7DDCCE90F438}" name="Empresa" dataDxfId="241"/>
    <tableColumn id="2" xr3:uid="{C7A43F7F-F5B8-49AF-BCB6-38884A4E441D}" name="País" dataDxfId="240"/>
    <tableColumn id="3" xr3:uid="{BFE90BA8-FB17-415C-AF06-F822A40E7B82}" name="Año" dataDxfId="239"/>
    <tableColumn id="4" xr3:uid="{E4F88315-1471-41CF-B480-B1CAA2F7639D}" name="Alcance 1 (tCO₂e)" dataDxfId="238"/>
    <tableColumn id="5" xr3:uid="{775C73B8-5875-4C9D-96E7-E152348C82BD}" name="Alcance 2 LB (tCO₂e)" dataDxfId="237"/>
    <tableColumn id="6" xr3:uid="{F370C966-C93C-47BC-892C-7E1F1F8BD86F}" name="Alcance 2 MB (tCO₂e)" dataDxfId="236"/>
    <tableColumn id="7" xr3:uid="{6FD169CB-0217-490B-A1FD-39B904C9C156}" name="Alcance 3 (tCO₂e)" dataDxfId="235"/>
    <tableColumn id="8" xr3:uid="{3C9A7930-951E-409A-A720-E8FC3B1B1496}" name="Total S1+S2 MB (tCO₂e)" dataDxfId="234"/>
    <tableColumn id="9" xr3:uid="{6DE68D7A-AF5F-472B-97CE-2F4552024312}" name="Intensidad de emisiones (tCO₂e/m²)" dataDxfId="233"/>
    <tableColumn id="10" xr3:uid="{0C3B2CD5-DF57-4B3E-AF9E-802167265656}" name="Consumo total (kWh)" dataDxfId="232"/>
    <tableColumn id="11" xr3:uid="{8CBFF7F0-06CD-49B3-B081-F44A14C1131C}" name="Energía renovable (kWh)" dataDxfId="231"/>
    <tableColumn id="12" xr3:uid="{A47BDD52-B892-4101-A483-85466775B5B2}" name="Energía no renovable (kWh)" dataDxfId="230"/>
    <tableColumn id="13" xr3:uid="{CCAAD9D5-D2B0-4B57-81BE-D747FF4072DA}" name="Intensidad energética (kWh/m²)" dataDxfId="229"/>
    <tableColumn id="14" xr3:uid="{DA94D9C5-78A3-4F21-82B9-252E35C002DB}" name="% energía renovable" dataDxfId="228"/>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82F7395-9E57-45CA-A2CB-75A3B645FAA1}" name="Tabla30" displayName="Tabla30" ref="B33:N34" totalsRowShown="0" headerRowDxfId="227" dataDxfId="225" headerRowBorderDxfId="226" tableBorderDxfId="224" totalsRowBorderDxfId="223">
  <autoFilter ref="B33:N34" xr:uid="{282F7395-9E57-45CA-A2CB-75A3B645FAA1}"/>
  <tableColumns count="13">
    <tableColumn id="1" xr3:uid="{7E83225B-D4C3-45CC-A2A4-B2CE74032AE3}" name="Paises " dataDxfId="222"/>
    <tableColumn id="2" xr3:uid="{A419417D-0D01-4AE9-B0F1-B4CBD212D21B}" name="Año" dataDxfId="221"/>
    <tableColumn id="3" xr3:uid="{6EB6B6E7-67DF-4B34-9CD6-4E8B73ADEB6F}" name="Alcance 1 (ktCO₂e)" dataDxfId="220"/>
    <tableColumn id="4" xr3:uid="{0390E205-4820-43C0-B197-31185C86DC1E}" name="Alcance 2 LB (ktCO₂e)" dataDxfId="219"/>
    <tableColumn id="5" xr3:uid="{BD83116B-C870-4B48-BC9A-C085B0552C03}" name="Alcance 2 MB (ktCO₂e)" dataDxfId="218"/>
    <tableColumn id="6" xr3:uid="{E14FD126-4E16-4FE6-8442-89B35EE4F600}" name="Alcance 3 (residuos+agua) (ktCO₂e)" dataDxfId="217"/>
    <tableColumn id="7" xr3:uid="{7F20C608-3110-4186-9A6F-706F77BD07D7}" name="Total S1+S2 LB (ktCO₂e)" dataDxfId="216"/>
    <tableColumn id="8" xr3:uid="{BC62AD2D-9D37-4284-9E5D-2B637FFD8165}" name="Intensidad emisiones (tCO₂e/m²)" dataDxfId="215"/>
    <tableColumn id="9" xr3:uid="{5C5E4FC9-763C-4CCA-9179-EF899CB6FCB0}" name="Consumo total (MWh)" dataDxfId="214"/>
    <tableColumn id="10" xr3:uid="{2F3C1BDA-F8AB-4E88-A0B3-22F7018B63CC}" name="Energía renovable (MWh)" dataDxfId="213"/>
    <tableColumn id="11" xr3:uid="{940EE051-561D-49A5-8092-25DEFB8C71E7}" name="Energía no renovable (MWh)" dataDxfId="212"/>
    <tableColumn id="12" xr3:uid="{2A448A01-DAFE-40B3-9C4B-5796E0B33411}" name="Intensidad energética (MWh/m²)" dataDxfId="211"/>
    <tableColumn id="13" xr3:uid="{BC87E5A2-9359-4D6A-8502-78CEDC0D6F25}" name="% energía renovable" dataDxfId="21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80C131D-C85F-4909-AF9C-B9595BB0144A}" name="Tabla31" displayName="Tabla31" ref="B38:L41" totalsRowShown="0" headerRowDxfId="209" dataDxfId="207" headerRowBorderDxfId="208" tableBorderDxfId="206" totalsRowBorderDxfId="205">
  <autoFilter ref="B38:L41" xr:uid="{380C131D-C85F-4909-AF9C-B9595BB0144A}"/>
  <tableColumns count="11">
    <tableColumn id="1" xr3:uid="{316DBF95-559E-47C3-8DB2-79DCB2191936}" name="Paises " dataDxfId="204"/>
    <tableColumn id="2" xr3:uid="{A3BF2D24-8DDC-4895-9327-4EF6D06144F8}" name="Año " dataDxfId="203"/>
    <tableColumn id="3" xr3:uid="{5C794215-858E-4BDB-BF7E-306D84F0FBBE}" name="Alcance 1 tCO2 eq " dataDxfId="202"/>
    <tableColumn id="4" xr3:uid="{699C94D9-9796-41D6-B921-CC19B306A1EC}" name="Alcance 2 tCO2 eq MB " dataDxfId="201"/>
    <tableColumn id="5" xr3:uid="{55B24E4A-7972-47DB-80AF-1DED43E80A7C}" name="Alcance 3 tCO2 eq" dataDxfId="200"/>
    <tableColumn id="6" xr3:uid="{CB4A2391-257C-4F6D-8E15-7F37C76027B3}" name="Total S1+s2 MB" dataDxfId="199">
      <calculatedColumnFormula>D39+E39</calculatedColumnFormula>
    </tableColumn>
    <tableColumn id="7" xr3:uid="{7CAEE726-7026-4237-B40F-C6D8EBE4030F}" name="Intensidad de emisiones (ton CO2eq/m2)" dataDxfId="198">
      <calculatedColumnFormula>0.0117+0.0171</calculatedColumnFormula>
    </tableColumn>
    <tableColumn id="8" xr3:uid="{FDBBECAD-F865-462A-A8FB-5E40784B974C}" name="Consumo total (GWH)" dataDxfId="197"/>
    <tableColumn id="9" xr3:uid="{2EEEA538-8FCC-4C08-B6BF-4C1FD695F1C9}" name="Energía Renovable " dataDxfId="196"/>
    <tableColumn id="10" xr3:uid="{3ECEE464-BE62-4A6B-8282-5347B51864FC}" name="Energía no Renovable (GWh)" dataDxfId="195"/>
    <tableColumn id="11" xr3:uid="{2F13070F-E811-4258-9ED7-D8DB5545649F}" name="Intensidad energética (GWh/m²)" dataDxfId="19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13E48A2-B12C-4380-A4E1-A51B64083C98}" name="Tabla32" displayName="Tabla32" ref="B3:H4" totalsRowShown="0" headerRowDxfId="193" dataDxfId="191" headerRowBorderDxfId="192" tableBorderDxfId="190" totalsRowBorderDxfId="189">
  <autoFilter ref="B3:H4" xr:uid="{813E48A2-B12C-4380-A4E1-A51B64083C98}"/>
  <tableColumns count="7">
    <tableColumn id="1" xr3:uid="{1FEBDE2E-CCD1-426D-A2DA-DBC9103B1010}" name="Tipo de edificio" dataDxfId="188"/>
    <tableColumn id="2" xr3:uid="{39E68090-316D-4EBD-B399-F7744C059004}" name="Emisiones totales promedio (tCO₂e/año)" dataDxfId="187">
      <calculatedColumnFormula>I29</calculatedColumnFormula>
    </tableColumn>
    <tableColumn id="3" xr3:uid="{5AA1D47F-D58D-405C-8E87-1B7BA71BA857}" name="Consumo energético total promedio (kWh/año)" dataDxfId="186">
      <calculatedColumnFormula>K29</calculatedColumnFormula>
    </tableColumn>
    <tableColumn id="4" xr3:uid="{4AA3EDD1-FAB4-4163-9AD0-AC706F38644C}" name="Intensidad de emisiones (tCO₂e/m²·año)" dataDxfId="185">
      <calculatedColumnFormula>J29</calculatedColumnFormula>
    </tableColumn>
    <tableColumn id="5" xr3:uid="{08A32972-52ED-4B40-96E9-8074EA33BC5E}" name="Intensidad energética (kWh/m²·año)" dataDxfId="184">
      <calculatedColumnFormula>N29</calculatedColumnFormula>
    </tableColumn>
    <tableColumn id="6" xr3:uid="{44602FF6-0327-41D3-B768-56755093A8CB}" name="Nivel de calidad de datos (DQS)" dataDxfId="183"/>
    <tableColumn id="7" xr3:uid="{4D003101-B63E-4B29-81E2-25093D1C6BF9}" name="Fuente" dataDxfId="18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8B319A8-E16C-43A4-8BC6-4B53CDE9D361}" name="Tabla12" displayName="Tabla12" ref="B3:K11" totalsRowShown="0" headerRowDxfId="181" dataDxfId="179" headerRowBorderDxfId="180" tableBorderDxfId="178" totalsRowBorderDxfId="177">
  <autoFilter ref="B3:K11" xr:uid="{48B319A8-E16C-43A4-8BC6-4B53CDE9D361}"/>
  <tableColumns count="10">
    <tableColumn id="1" xr3:uid="{2F229A30-0E9C-4803-AC58-C0D0531F50B5}" name="Tipo de vehículo " dataDxfId="176"/>
    <tableColumn id="2" xr3:uid="{47DC284E-ED56-4CB5-B4DF-5ABFCC787DF1}" name="Combustible " dataDxfId="175"/>
    <tableColumn id="3" xr3:uid="{85EFB9E4-D07B-4AFB-AB4D-496EAB29C07A}" name="Promedio distancia anual (km/año/veh)" dataDxfId="174"/>
    <tableColumn id="4" xr3:uid="{ECEE25EE-1269-4D2F-A5E3-F80B9302FEC7}" name="Eficiencia (L/km)" dataDxfId="173"/>
    <tableColumn id="5" xr3:uid="{FE42578C-B085-4433-8908-8D52A24C9EB5}" name="Consumo anual (L/año(veh)" dataDxfId="172">
      <calculatedColumnFormula>$D4*$E4</calculatedColumnFormula>
    </tableColumn>
    <tableColumn id="6" xr3:uid="{2D18BC3E-7F6A-4364-8B92-D12B9014339D}" name="FE CO2e (kgCO₂e/L)" dataDxfId="171"/>
    <tableColumn id="7" xr3:uid="{B2F18202-754D-40B8-B301-C299AF9D60C3}" name="Emisiones (kgCO₂e/año/veh)" dataDxfId="170">
      <calculatedColumnFormula>$F4*$G4</calculatedColumnFormula>
    </tableColumn>
    <tableColumn id="8" xr3:uid="{75CBA982-4A4C-46CB-A6D1-5AEA62B455C4}" name="Emisiones (tCO₂e/año/veh)" dataDxfId="169">
      <calculatedColumnFormula>$H4/1000</calculatedColumnFormula>
    </tableColumn>
    <tableColumn id="9" xr3:uid="{C9A45DE6-4772-4100-ACEF-FB08AEAF7B0D}" name="Nivel de Calidad " dataDxfId="168"/>
    <tableColumn id="10" xr3:uid="{BB6C8FBB-BAE2-4063-921E-15128F56FE6D}" name="Fuente " dataDxfId="167"/>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21C8CB6-A1D8-4A32-BBE5-8CB1CB3241BB}" name="Tabla16" displayName="Tabla16" ref="B23:H31" totalsRowShown="0" headerRowDxfId="166" dataDxfId="164" headerRowBorderDxfId="165" tableBorderDxfId="163" totalsRowBorderDxfId="162">
  <autoFilter ref="B23:H31" xr:uid="{A21C8CB6-A1D8-4A32-BBE5-8CB1CB3241BB}"/>
  <tableColumns count="7">
    <tableColumn id="1" xr3:uid="{D89800A9-3C81-41D4-ACF0-CCA4FB7FC869}" name="Tipo de Vehículos " dataDxfId="161"/>
    <tableColumn id="2" xr3:uid="{3B3BB938-DDC3-4C64-ADC6-C69D17712B08}" name="Rendimiento combusible  " dataDxfId="160"/>
    <tableColumn id="3" xr3:uid="{8C903884-566A-4E23-B811-CE902B7061FB}" name="Unidad de medida " dataDxfId="159"/>
    <tableColumn id="4" xr3:uid="{6AEE635A-37B8-4CF8-AF3E-3E9CB0DF6DA9}" name="km recorridos (km/año/vehículo)" dataDxfId="158"/>
    <tableColumn id="5" xr3:uid="{1200CF53-7797-42B6-AACD-85FF6DA71E1A}" name="País " dataDxfId="157"/>
    <tableColumn id="6" xr3:uid="{89C1947C-1F96-42E6-88BF-6C1A8E05CE23}" name="Eficiencia (l/km)" dataDxfId="156"/>
    <tableColumn id="7" xr3:uid="{664331E4-EC29-4138-ACB4-5747B6EE48FF}" name="Fuente " dataDxfId="15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F3C8D5E9-996B-45B6-9815-491F87052F43}" name="Tabla33" displayName="Tabla33" ref="B42:AA46" totalsRowShown="0" headerRowDxfId="154" dataDxfId="153" tableBorderDxfId="152">
  <autoFilter ref="B42:AA46" xr:uid="{F3C8D5E9-996B-45B6-9815-491F87052F43}"/>
  <tableColumns count="26">
    <tableColumn id="1" xr3:uid="{E40F2E09-1C9C-4772-B841-1026E408CD29}" name="Tipo de Combustible" dataDxfId="151"/>
    <tableColumn id="2" xr3:uid="{23B35885-1326-48D6-BDF7-117140E202FD}" name="Unidad de consumo" dataDxfId="150"/>
    <tableColumn id="3" xr3:uid="{1F87C5B5-27CE-4064-B16A-12B74F071A47}" name="F.E. CO₂-eq" dataDxfId="149"/>
    <tableColumn id="4" xr3:uid="{BBED2151-EA13-40BA-A11A-7AFD0338792E}" name="Unidad FE" dataDxfId="148"/>
    <tableColumn id="5" xr3:uid="{C01C2F47-71FF-473C-AB5F-FF1FBC2648DC}" name="Densidad (kg/lt))" dataDxfId="147"/>
    <tableColumn id="6" xr3:uid="{5641FBEE-CB6A-4337-B6A1-FD1B84E2FA33}" name="VCN (TJ/Gg)" dataDxfId="146"/>
    <tableColumn id="7" xr3:uid="{D070E302-A614-47C0-9934-72221B837753}" name="Unidad de consumo2" dataDxfId="145"/>
    <tableColumn id="8" xr3:uid="{676C005A-2E6B-4341-8250-2971A3AE1838}" name="F.E. CO₂-eq3" dataDxfId="144">
      <calculatedColumnFormula>($D43*$G43*$F43)/(1000000)</calculatedColumnFormula>
    </tableColumn>
    <tableColumn id="9" xr3:uid="{84C99D5A-05BB-4236-B399-C2689D3D76CD}" name="Unidad FE4" dataDxfId="143"/>
    <tableColumn id="11" xr3:uid="{7824CFB5-1BA8-4EFB-B513-A7DFB65060FE}" name="F.E. CH4" dataDxfId="142"/>
    <tableColumn id="12" xr3:uid="{AFB5DE1C-86F1-491B-823F-C65DC5E909C7}" name="Unidad FE5" dataDxfId="141"/>
    <tableColumn id="13" xr3:uid="{DBEDACB3-7F92-48C5-9EA3-FE1185351BD2}" name="F.E. CH46" dataDxfId="140">
      <calculatedColumnFormula>($K43*$G43*$F43)/(1000000)</calculatedColumnFormula>
    </tableColumn>
    <tableColumn id="14" xr3:uid="{A96DFF1C-A21A-45EC-9B17-B7E01249F7A1}" name="Unidad FE7" dataDxfId="139"/>
    <tableColumn id="15" xr3:uid="{120FD563-4872-458D-98FA-D51DF862046A}" name="Incertidumbre (+/- %)8" dataDxfId="138"/>
    <tableColumn id="16" xr3:uid="{955C3783-3E4E-434E-AA2D-F427CA630AC2}" name="Incertidumbre (+/- %)9" dataDxfId="137"/>
    <tableColumn id="17" xr3:uid="{084D126A-C9E3-42BE-8E32-A9019E91F509}" name="F.E. N2O" dataDxfId="136"/>
    <tableColumn id="18" xr3:uid="{96E54C48-2631-423B-B585-0618CC551A6D}" name="Unidad FE10" dataDxfId="135"/>
    <tableColumn id="19" xr3:uid="{38C1A665-4F8A-452C-9E69-181925B23E04}" name="F.E. N2O11" dataDxfId="134"/>
    <tableColumn id="20" xr3:uid="{452B9E3B-F192-41B4-BBF5-D8893951D712}" name="Unidad FE12" dataDxfId="133"/>
    <tableColumn id="21" xr3:uid="{2AD55094-3D48-4F1D-805B-7D42E473942C}" name="Incertidumbre (+/- %)13" dataDxfId="132"/>
    <tableColumn id="22" xr3:uid="{96DC4CF5-8330-43A6-A9F2-BD7495BFEC07}" name="Incertidumbre (+/- %)14" dataDxfId="131"/>
    <tableColumn id="23" xr3:uid="{80147C4E-C21E-4912-A3FF-5CA7C2D0F4B5}" name="% biocombustible" dataDxfId="130"/>
    <tableColumn id="24" xr3:uid="{59620286-74A9-4CC7-8193-CDCB1DAD2674}" name="F.E. CO₂" dataDxfId="129"/>
    <tableColumn id="25" xr3:uid="{7B839DE0-ECC8-4A70-B6C1-A4BBA70839FD}" name="Unidad FE15" dataDxfId="128"/>
    <tableColumn id="26" xr3:uid="{61A57AB1-9EE7-4E4F-8733-68D110313063}" name="%combustible" dataDxfId="127"/>
    <tableColumn id="27" xr3:uid="{79563C24-DA0E-45FD-B8FD-C60579CD2F43}" name="Fuente" dataDxfId="126"/>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C9CEA71-A2CB-4944-8CD6-19EA08E8551A}" name="Tabla34" displayName="Tabla34" ref="B3:E7" totalsRowShown="0" headerRowDxfId="125" headerRowBorderDxfId="124" tableBorderDxfId="123" totalsRowBorderDxfId="122">
  <autoFilter ref="B3:E7" xr:uid="{5C9CEA71-A2CB-4944-8CD6-19EA08E8551A}"/>
  <tableColumns count="4">
    <tableColumn id="1" xr3:uid="{291906E9-C1C8-4F18-937C-303189033E90}" name="Categoría de dato" dataDxfId="121"/>
    <tableColumn id="2" xr3:uid="{E28A27D2-59BA-4615-A21F-1B4D90F37DE5}" name="Descripción" dataDxfId="120"/>
    <tableColumn id="3" xr3:uid="{D7C278CA-65A6-47C0-8B9F-0187CDC54CD5}" name="Fuente" dataDxfId="119" dataCellStyle="Hipervínculo"/>
    <tableColumn id="4" xr3:uid="{50CAE7F8-338F-4B80-8FF1-D1ABB9EF51E1}" name="Alcance" dataDxfId="118"/>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F1B567E-AE8B-467A-9C70-11553EEDEBEA}" name="Tabla35" displayName="Tabla35" ref="B15:H16" totalsRowShown="0" headerRowDxfId="117" dataDxfId="115" headerRowBorderDxfId="116" tableBorderDxfId="114" totalsRowBorderDxfId="113">
  <autoFilter ref="B15:H16" xr:uid="{FF1B567E-AE8B-467A-9C70-11553EEDEBEA}"/>
  <tableColumns count="7">
    <tableColumn id="1" xr3:uid="{A977636B-2BBF-4E45-ABC4-27FBE62E1284}" name="Año" dataDxfId="112"/>
    <tableColumn id="2" xr3:uid="{F16902EB-E96A-45BB-966D-A36458B48CE9}" name="Alcance 1 – Emisiones territoriales (incluyeAFOLU) Gg de CO2 eq " dataDxfId="111"/>
    <tableColumn id="3" xr3:uid="{1D0D6A07-2D1F-4F49-B3E2-94C8087B7069}" name="Alcance 1 – Emisiones territoriales (excluye AFOLU) Gg de CO2 eq " dataDxfId="110"/>
    <tableColumn id="4" xr3:uid="{70A72CD1-BE4B-4052-BD0A-627F6B7908EA}" name="Fuente Alcance 1" dataDxfId="109"/>
    <tableColumn id="5" xr3:uid="{B6EED297-FEE0-4AC3-A19C-B76625483EFE}" name="GDP PPP (current international $)" dataDxfId="108"/>
    <tableColumn id="6" xr3:uid="{FD7AF464-7C96-4D74-8E5D-A834A475F120}" name="Fuente GDP PPP" dataDxfId="107"/>
    <tableColumn id="7" xr3:uid="{5898FD78-7446-4E94-A975-6D0046572C6D}" name="Comentarios / Limitaciones" dataDxfId="10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873F0EF-5482-4FE2-BB6E-CDDDFDDDD5A0}" name="Tabla47" displayName="Tabla47" ref="C3:N9" totalsRowShown="0" headerRowDxfId="365" dataDxfId="364">
  <autoFilter ref="C3:N9" xr:uid="{7EEA9E4A-2A59-4FBB-9AAB-C52D28ADDFAD}"/>
  <tableColumns count="12">
    <tableColumn id="1" xr3:uid="{55B7F50B-2214-43BB-AE50-6C6F04A939A5}" name="Sector " dataDxfId="363"/>
    <tableColumn id="3" xr3:uid="{134B310D-B74F-48F1-BE56-D655F7A67BBC}" name="Emisiones (tCO₂e)" dataDxfId="362"/>
    <tableColumn id="4" xr3:uid="{B27C3955-ADC0-46B6-B170-F03F59F7A6CA}" name="Fuente  y año" dataDxfId="361"/>
    <tableColumn id="12" xr3:uid="{CB0D5B47-BA98-47DA-9B39-FC5DE7E5FA14}" name="Valor económico (UYU)" dataDxfId="360"/>
    <tableColumn id="5" xr3:uid="{89160403-077A-4471-8896-AFCF2C32F291}" name="Valor económico ( USD)" dataDxfId="359"/>
    <tableColumn id="6" xr3:uid="{3815A5B6-A995-43F0-9B3E-A03D32ABA699}" name="Fuente y año " dataDxfId="358"/>
    <tableColumn id="10" xr3:uid="{B7CAF977-0F52-472A-B6E8-B017D7194B43}" name="Proxy (tCO2/UYU)" dataDxfId="357">
      <calculatedColumnFormula>Tabla47[[#This Row],[Emisiones (tCO₂e)]]/Tabla47[[#This Row],[Valor económico (UYU)]]</calculatedColumnFormula>
    </tableColumn>
    <tableColumn id="14" xr3:uid="{47383D0F-80BE-4D17-8DF8-1599E733958C}" name="Proxy (tCO2/1000 UYU)" dataDxfId="356">
      <calculatedColumnFormula>Tabla47[[#This Row],[Proxy (tCO2/UYU)]]*1000</calculatedColumnFormula>
    </tableColumn>
    <tableColumn id="9" xr3:uid="{EA987FAE-6DDE-4AE4-9C78-1E0152AFE2D0}" name="Proxy (tCO2/USD)" dataDxfId="355">
      <calculatedColumnFormula>Tabla47[[#This Row],[Emisiones (tCO₂e)]]/Tabla47[[#This Row],[Valor económico ( USD)]]</calculatedColumnFormula>
    </tableColumn>
    <tableColumn id="7" xr3:uid="{D05D785E-B452-4C3E-97F7-69CEA2E9E8E6}" name="Proxy (tCO2/1000 USD)" dataDxfId="354">
      <calculatedColumnFormula>Tabla47[[#This Row],[Emisiones (tCO₂e)]]/Tabla47[[#This Row],[Valor económico ( USD)]]*1000</calculatedColumnFormula>
    </tableColumn>
    <tableColumn id="8" xr3:uid="{41CC7846-3CC2-4C74-B583-9DB15BF0C672}" name="Comentario " dataDxfId="353"/>
    <tableColumn id="11" xr3:uid="{8BE1D62A-175F-4628-ABD2-48F5334AFD28}" name="Data quality score " dataDxfId="35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4E5BDC2-DB8C-4687-A389-7AF09E48A38C}" name="Tabla29" displayName="Tabla29" ref="B2:N9" totalsRowShown="0" headerRowDxfId="105" dataDxfId="104">
  <autoFilter ref="B2:N9" xr:uid="{44E5BDC2-DB8C-4687-A389-7AF09E48A38C}"/>
  <tableColumns count="13">
    <tableColumn id="1" xr3:uid="{CB179D77-0319-49BD-BA01-E004D4440E36}" name="Tipo de proyecto " dataDxfId="103"/>
    <tableColumn id="2" xr3:uid="{376125D5-E349-4D79-BB08-5DFC8306FEDE}" name="Proyecto fuente real " dataDxfId="102"/>
    <tableColumn id="3" xr3:uid="{81B77987-6AF9-460F-A1DD-5E5132E2C67D}" name="País " dataDxfId="101"/>
    <tableColumn id="4" xr3:uid="{ED5B8E90-D174-4CB9-A996-4AB31CFBE96F}" name="Año/fase " dataDxfId="100"/>
    <tableColumn id="5" xr3:uid="{2729FCAE-6B2D-45BB-9F0A-41054A6BF2F9}" name="Emisiones anuales (tCO₂e/año)" dataDxfId="99"/>
    <tableColumn id="6" xr3:uid="{791871F1-0125-4FC6-B4E9-E4B005034A93}" name="Alcances incluidos " dataDxfId="98"/>
    <tableColumn id="7" xr3:uid="{07D265B6-56CC-4855-A444-BF591C6EF85D}" name="Actividad utilizada " dataDxfId="97"/>
    <tableColumn id="17" xr3:uid="{458B75E8-195D-4CBD-9989-97CABDAC387E}" name="Unidad de Actividad " dataDxfId="96"/>
    <tableColumn id="8" xr3:uid="{0696E358-CFEA-4B11-89C1-1AF110DECB30}" name="Intesidad de emisiones por actividad " dataDxfId="95">
      <calculatedColumnFormula>F3/Tabla29[[#This Row],[Actividad utilizada ]]</calculatedColumnFormula>
    </tableColumn>
    <tableColumn id="9" xr3:uid="{E0DDD7ED-E5D9-4EF5-938E-4EA8AE4BD3A0}" name="Unidad de medida " dataDxfId="94"/>
    <tableColumn id="10" xr3:uid="{F7435D59-E8BA-4F5A-B0F3-42E65A72B3C8}" name="Nivel de calidad" dataDxfId="93"/>
    <tableColumn id="11" xr3:uid="{23190198-090F-423D-B2F8-46FFFADF003C}" name="Cómo aplicarlo según PCAF" dataDxfId="92"/>
    <tableColumn id="12" xr3:uid="{6A1EC464-363A-4C56-845E-D8A93EB9F611}" name="Fuente " dataDxfId="9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20C0087-C62B-40E4-B2DB-42AF9697D9D9}" name="Tabla36" displayName="Tabla36" ref="B5:F13" totalsRowShown="0" headerRowDxfId="90" dataDxfId="88" headerRowBorderDxfId="89" tableBorderDxfId="87" totalsRowBorderDxfId="86">
  <autoFilter ref="B5:F13" xr:uid="{D20C0087-C62B-40E4-B2DB-42AF9697D9D9}"/>
  <tableColumns count="5">
    <tableColumn id="1" xr3:uid="{7E572555-DBF3-4C31-9B79-9545B574FE55}" name="Fuente energética" dataDxfId="85"/>
    <tableColumn id="2" xr3:uid="{B6B80B64-EF5B-47EA-8A07-5F35ABAE6267}" name="Participación (%)" dataDxfId="84"/>
    <tableColumn id="3" xr3:uid="{FB1CA039-4B9B-4548-A4AC-7CDC614F950C}" name="Descripción / uso principal" dataDxfId="83"/>
    <tableColumn id="4" xr3:uid="{CF8CD21C-9E48-4CBC-9907-3E2612EFD2DC}" name="Tipo de alcance PCAF" dataDxfId="82"/>
    <tableColumn id="5" xr3:uid="{C40A4767-719D-4B5A-9295-600D1BE43BCF}" name="Observaciones" dataDxfId="81"/>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CC96049-348A-440F-89C7-BA21D11F64F5}" name="Tabla37" displayName="Tabla37" ref="H5:J8" totalsRowShown="0" headerRowDxfId="80" dataDxfId="78" headerRowBorderDxfId="79" tableBorderDxfId="77" totalsRowBorderDxfId="76">
  <autoFilter ref="H5:J8" xr:uid="{ECC96049-348A-440F-89C7-BA21D11F64F5}"/>
  <tableColumns count="3">
    <tableColumn id="1" xr3:uid="{BE4FD089-B849-4EA0-ABEC-32AB488D3398}" name="Indicador" dataDxfId="75"/>
    <tableColumn id="2" xr3:uid="{46218938-FD08-4C7F-9C31-690EEA979A20}" name="Valor" dataDxfId="74"/>
    <tableColumn id="3" xr3:uid="{CBC024E1-ACFE-49A9-BEE6-D2A4FEDD0308}" name="Fuente / Comentario" dataDxfId="7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D37161D-1A36-4D8C-AA16-32E9C2420E50}" name="Tabla38" displayName="Tabla38" ref="L5:O9" totalsRowShown="0" headerRowDxfId="72" dataDxfId="70" headerRowBorderDxfId="71" tableBorderDxfId="69" totalsRowBorderDxfId="68">
  <autoFilter ref="L5:O9" xr:uid="{2D37161D-1A36-4D8C-AA16-32E9C2420E50}"/>
  <tableColumns count="4">
    <tableColumn id="1" xr3:uid="{893A4DED-2957-47AE-B552-8D96436F8EBE}" name="Fuente" dataDxfId="67"/>
    <tableColumn id="2" xr3:uid="{A3CDFD3C-6F80-481A-996A-E1D9F91FB0FD}" name="% del 60% relevante " dataDxfId="66"/>
    <tableColumn id="3" xr3:uid="{D58C3EE8-1097-4EC8-8A51-BB06C629C513}" name="kWh/vivienda·año" dataDxfId="65"/>
    <tableColumn id="4" xr3:uid="{7E80791B-8749-42A7-9036-8AE96F2E6F78}" name="Alcance" dataDxfId="64"/>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9CAAB82-5B1C-4D83-B92C-7BF2599E99FE}" name="Tabla39" displayName="Tabla39" ref="B17:E30" totalsRowShown="0" headerRowDxfId="63" dataDxfId="61" headerRowBorderDxfId="62" tableBorderDxfId="60" totalsRowBorderDxfId="59">
  <autoFilter ref="B17:E30" xr:uid="{09CAAB82-5B1C-4D83-B92C-7BF2599E99FE}"/>
  <tableColumns count="4">
    <tableColumn id="1" xr3:uid="{B7BEF1A3-CAB9-4C89-B39B-5A6CAA964E93}" name="Constante" dataDxfId="58"/>
    <tableColumn id="2" xr3:uid="{B9A1C3FF-E74A-4013-BBF5-2113C27A64F3}" name="Valor" dataDxfId="57"/>
    <tableColumn id="3" xr3:uid="{371EDDB8-F846-48C8-B470-437EB579E922}" name="Unidad" dataDxfId="56"/>
    <tableColumn id="4" xr3:uid="{E0503B47-D574-4A10-A67E-6BBA7950D0C0}" name="Fuente/Nota" dataDxfId="55"/>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B9C4DBE-A3E0-4E10-8F38-574702CE3F94}" name="Tabla40" displayName="Tabla40" ref="G17:L19" totalsRowShown="0" headerRowDxfId="54" dataDxfId="52" headerRowBorderDxfId="53" tableBorderDxfId="51" totalsRowBorderDxfId="50">
  <autoFilter ref="G17:L19" xr:uid="{7B9C4DBE-A3E0-4E10-8F38-574702CE3F94}"/>
  <tableColumns count="6">
    <tableColumn id="1" xr3:uid="{8A279DA6-DEA4-4AEF-BF8E-91E89A1E9048}" name="Combustible" dataDxfId="49"/>
    <tableColumn id="2" xr3:uid="{2497DFE6-EA76-4F17-941F-5AA85D5D4FB8}" name="CO2 (kg/kWh)" dataDxfId="48">
      <calculatedColumnFormula>#REF!/#REF!</calculatedColumnFormula>
    </tableColumn>
    <tableColumn id="3" xr3:uid="{E52BC133-FD0C-4398-8CF5-B86D441E7C90}" name="CH4 (kg/kWh)" dataDxfId="47">
      <calculatedColumnFormula>#REF!/#REF!</calculatedColumnFormula>
    </tableColumn>
    <tableColumn id="4" xr3:uid="{539BA3FA-0AEE-4FAA-A508-AB90DF087D85}" name="N2O (kg/kWh)" dataDxfId="46">
      <calculatedColumnFormula>#REF!/#REF!</calculatedColumnFormula>
    </tableColumn>
    <tableColumn id="5" xr3:uid="{4D3EE48F-FA62-474E-B51E-C4D526DEC14C}" name="kgCO2ekWh" dataDxfId="45">
      <calculatedColumnFormula>SUM(H18:J18)</calculatedColumnFormula>
    </tableColumn>
    <tableColumn id="6" xr3:uid="{E0838B43-D4A4-4353-8C78-70FFD32C520E}" name="tCO2ekWh" dataDxfId="44">
      <calculatedColumnFormula>K18/1000</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438E7236-335D-4751-B29A-64D26E6D71F6}" name="Tabla41" displayName="Tabla41" ref="B35:F38" totalsRowShown="0" headerRowDxfId="43" dataDxfId="41" headerRowBorderDxfId="42" tableBorderDxfId="40" totalsRowBorderDxfId="39">
  <autoFilter ref="B35:F38" xr:uid="{438E7236-335D-4751-B29A-64D26E6D71F6}"/>
  <tableColumns count="5">
    <tableColumn id="1" xr3:uid="{F3671509-F103-4B8D-AD53-C49842169773}" name="Tipo de vivienda" dataDxfId="38"/>
    <tableColumn id="2" xr3:uid="{967A4997-C12C-4151-B464-9E25F58F8293}" name="Refrigeración (kWh/m²·año)" dataDxfId="37"/>
    <tableColumn id="3" xr3:uid="{54357F21-D80D-452A-8C02-BB28768F3A79}" name="Calefacción (kWh/m²·año)" dataDxfId="36"/>
    <tableColumn id="4" xr3:uid="{07970387-1A27-4BD9-B74F-32187EE06988}" name="Total (kWh/m²·año)" dataDxfId="35"/>
    <tableColumn id="5" xr3:uid="{2DA35001-404F-41C8-ADBF-B954FB25499A}" name="Área ocupada / total (%)" dataDxfId="34"/>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ADF695B-7ECF-4D7E-B255-D17238CA4631}" name="Tabla42" displayName="Tabla42" ref="H35:L38" totalsRowShown="0" headerRowDxfId="33" dataDxfId="31" headerRowBorderDxfId="32" tableBorderDxfId="30" totalsRowBorderDxfId="29">
  <autoFilter ref="H35:L38" xr:uid="{6ADF695B-7ECF-4D7E-B255-D17238CA4631}"/>
  <tableColumns count="5">
    <tableColumn id="1" xr3:uid="{6A9ADFC1-80C1-4156-9855-8483973094A2}" name="Tipo de vivienda" dataDxfId="28"/>
    <tableColumn id="2" xr3:uid="{7188620B-8AAD-465F-8B47-F4709A9E05F0}" name="Refrigeración (kWh/persona·año)" dataDxfId="27"/>
    <tableColumn id="3" xr3:uid="{C7FAF30A-8DEB-42C6-8255-B953EF497D1F}" name="Calefacción (kWh/persona·año)" dataDxfId="26"/>
    <tableColumn id="4" xr3:uid="{A6E37097-9EEF-48FA-840E-6A7619A1549F}" name="Total (kWh/persona·año)" dataDxfId="25"/>
    <tableColumn id="5" xr3:uid="{E265DAE1-430E-4AD7-AF7F-E30A7CCBFC25}" name="Promedio de ocupantes" dataDxfId="24"/>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A92A1A3-2622-475A-805F-1ADBF935A00D}" name="Tabla43" displayName="Tabla43" ref="B46:F53" totalsRowShown="0" headerRowDxfId="23" dataDxfId="21" headerRowBorderDxfId="22" tableBorderDxfId="20" totalsRowBorderDxfId="19">
  <autoFilter ref="B46:F53" xr:uid="{AA92A1A3-2622-475A-805F-1ADBF935A00D}"/>
  <tableColumns count="5">
    <tableColumn id="1" xr3:uid="{C53C5796-4F82-4696-B5CA-5D848FA3EB24}" name="Tipo de vivienda" dataDxfId="18"/>
    <tableColumn id="2" xr3:uid="{720B4D97-898A-4504-B6F2-4D5F80254454}" name="m2" dataDxfId="17"/>
    <tableColumn id="3" xr3:uid="{44CCDC42-830D-46C7-A6BC-75CDEBA579EF}" name="Fuentes " dataDxfId="16"/>
    <tableColumn id="4" xr3:uid="{22DB6FCE-2482-4E0A-B5F9-E4CADBBC439F}" name="Enlace " dataDxfId="15" dataCellStyle="Hyperlink"/>
    <tableColumn id="5" xr3:uid="{B9FC01CA-01EC-48F6-B9AF-BBACE14A56BE}" name="Comentarios" dataDxfId="14"/>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9A98735-07E2-409C-B5EE-B0A2791ED900}" name="Tabla44" displayName="Tabla44" ref="B56:J61" totalsRowShown="0" headerRowDxfId="13" dataDxfId="11" headerRowBorderDxfId="12" tableBorderDxfId="10" totalsRowBorderDxfId="9">
  <autoFilter ref="B56:J61" xr:uid="{F9A98735-07E2-409C-B5EE-B0A2791ED900}"/>
  <tableColumns count="9">
    <tableColumn id="1" xr3:uid="{5D49DCAE-53C5-44F0-84A1-4AC17A7B72CB}" name="Fuente / Norma" dataDxfId="8"/>
    <tableColumn id="2" xr3:uid="{70D56910-2C02-4E40-83CF-2C4188A7F80A}" name="Nivel" dataDxfId="7"/>
    <tableColumn id="3" xr3:uid="{FC9A758C-442D-4A67-A351-F32A13D80AE7}" name="Qué regula" dataDxfId="6"/>
    <tableColumn id="4" xr3:uid="{176B6555-B6CC-4750-BDAB-4A401BC34228}" name="1 Dorm. (m²)" dataDxfId="5"/>
    <tableColumn id="5" xr3:uid="{3B558A04-B32C-4892-800C-E5C9AFAF5F01}" name="2 Dorm. (m²)" dataDxfId="4"/>
    <tableColumn id="6" xr3:uid="{7C6D7CF3-CED9-4368-A82C-4D12B25C3141}" name="3 Dorm. (m²)" dataDxfId="3"/>
    <tableColumn id="7" xr3:uid="{1C73DE1F-C0FD-4D32-B31A-EA9620C1AC61}" name="4 Dorm. (m²)" dataDxfId="2"/>
    <tableColumn id="8" xr3:uid="{93BF62D4-7D7D-4DDF-867F-5A3557053D56}" name="Observaciones / Comentarios" dataDxfId="1"/>
    <tableColumn id="9" xr3:uid="{AA0B4AA4-9D87-4D17-AD73-7B7DE654A310}" name="Fuentes"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D1C166E-2C96-4766-9E5B-90251E7D3F05}" name="Tabla479" displayName="Tabla479" ref="C3:N9" totalsRowShown="0" headerRowDxfId="351" dataDxfId="350">
  <autoFilter ref="C3:N9" xr:uid="{7EEA9E4A-2A59-4FBB-9AAB-C52D28ADDFAD}"/>
  <tableColumns count="12">
    <tableColumn id="1" xr3:uid="{505B81D1-1AE5-46C7-9D75-AE8D99F5BCCB}" name="Sector " dataDxfId="349"/>
    <tableColumn id="3" xr3:uid="{13612D64-86DA-4A17-BD06-737D23FE3395}" name="Emisiones (tCO₂e)" dataDxfId="348"/>
    <tableColumn id="4" xr3:uid="{1EF53C23-EA1E-4D49-B012-2A7295EE51EA}" name="Fuente  y año" dataDxfId="347"/>
    <tableColumn id="12" xr3:uid="{DE59F0C1-04E1-4A02-BB8B-55F796F26AE6}" name="Valor económico (UYU)" dataDxfId="346"/>
    <tableColumn id="5" xr3:uid="{F2764C21-69BE-4263-8C5D-52F1E552E27B}" name="Valor económico ( USD)" dataDxfId="345"/>
    <tableColumn id="6" xr3:uid="{1F7F1FAA-1383-4206-8502-A206A8D598B7}" name="Fuente y año " dataDxfId="344"/>
    <tableColumn id="10" xr3:uid="{461930AA-F184-4CC5-A88F-C24FFC530F8A}" name="Proxy (tCO2/UYU)" dataDxfId="343">
      <calculatedColumnFormula>Tabla479[[#This Row],[Emisiones (tCO₂e)]]/Tabla479[[#This Row],[Valor económico (UYU)]]</calculatedColumnFormula>
    </tableColumn>
    <tableColumn id="14" xr3:uid="{4B79DCC1-4F4A-4515-BA21-CBBD3891EE39}" name="Proxy (tCO2/1000 UYU)" dataDxfId="342">
      <calculatedColumnFormula>Tabla479[[#This Row],[Proxy (tCO2/UYU)]]*1000</calculatedColumnFormula>
    </tableColumn>
    <tableColumn id="9" xr3:uid="{A8DFAE86-AB88-42A1-A538-9149C075B57A}" name="Proxy (tCO2/USD)" dataDxfId="341">
      <calculatedColumnFormula>Tabla479[[#This Row],[Emisiones (tCO₂e)]]/Tabla479[[#This Row],[Valor económico ( USD)]]</calculatedColumnFormula>
    </tableColumn>
    <tableColumn id="7" xr3:uid="{2460CF8C-98F9-45EF-ABD9-CB7B5AC59141}" name="Proxy (tCO2/1000 USD)" dataDxfId="340">
      <calculatedColumnFormula>Tabla479[[#This Row],[Emisiones (tCO₂e)]]/Tabla479[[#This Row],[Valor económico ( USD)]]*1000</calculatedColumnFormula>
    </tableColumn>
    <tableColumn id="8" xr3:uid="{E7AE705E-D100-42BE-BFBC-CBDDCEB94DE2}" name="Comentario " dataDxfId="339"/>
    <tableColumn id="11" xr3:uid="{38700BC7-6894-4D5F-ACA1-8E18BE24934F}" name="Data quality score " dataDxfId="33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EEA9E4A-2A59-4FBB-9AAB-C52D28ADDFAD}" name="Tabla4" displayName="Tabla4" ref="C3:N9" totalsRowShown="0" headerRowDxfId="337" dataDxfId="336">
  <autoFilter ref="C3:N9" xr:uid="{7EEA9E4A-2A59-4FBB-9AAB-C52D28ADDFAD}"/>
  <tableColumns count="12">
    <tableColumn id="1" xr3:uid="{78821269-D8F2-4684-BB58-F24382EE568C}" name="Sector " dataDxfId="335"/>
    <tableColumn id="3" xr3:uid="{043A69FE-3D44-44EA-B8E4-62D273F5F40F}" name="Emisiones (tCO₂e)" dataDxfId="334"/>
    <tableColumn id="4" xr3:uid="{28B1F46A-00B5-43DA-9D28-CB67653F01E0}" name="Fuente  y año" dataDxfId="333"/>
    <tableColumn id="12" xr3:uid="{97BE2314-71FE-46B9-8286-F338F4CCFD60}" name="Valor económico (UYU)" dataDxfId="332"/>
    <tableColumn id="5" xr3:uid="{20881D6F-A9C0-48C0-8398-19F5DA6C30D0}" name="Valor económico ( USD)" dataDxfId="331"/>
    <tableColumn id="6" xr3:uid="{2788B2B8-D16F-4667-A591-7271661EC7CE}" name="Fuente y año " dataDxfId="330"/>
    <tableColumn id="10" xr3:uid="{F783AC86-B561-4CD0-95D2-EAF9CCB31E79}" name="Proxy (tCO2/UYU)" dataDxfId="329">
      <calculatedColumnFormula>Tabla4[[#This Row],[Emisiones (tCO₂e)]]/Tabla4[[#This Row],[Valor económico (UYU)]]</calculatedColumnFormula>
    </tableColumn>
    <tableColumn id="14" xr3:uid="{36F5EBDF-DD4F-48B6-B87B-A2FA69F5BCCF}" name="Proxy (tCO2/1000 UYU)" dataDxfId="328">
      <calculatedColumnFormula>Tabla4[[#This Row],[Proxy (tCO2/UYU)]]*1000</calculatedColumnFormula>
    </tableColumn>
    <tableColumn id="9" xr3:uid="{1D817D7A-837D-4C90-9D1E-E2EDAB978CA3}" name="Proxy (tCO2/USD)" dataDxfId="327">
      <calculatedColumnFormula>Tabla4[[#This Row],[Emisiones (tCO₂e)]]/Tabla4[[#This Row],[Valor económico ( USD)]]</calculatedColumnFormula>
    </tableColumn>
    <tableColumn id="7" xr3:uid="{AA58A524-59BF-4069-B49D-901CE80CA99B}" name="Proxy (tCO2/1000 USD)" dataDxfId="326">
      <calculatedColumnFormula>Tabla4[[#This Row],[Emisiones (tCO₂e)]]/Tabla4[[#This Row],[Valor económico ( USD)]]*1000</calculatedColumnFormula>
    </tableColumn>
    <tableColumn id="8" xr3:uid="{36CE66FD-5203-4307-BA4A-614FB4DDC543}" name="Comentario " dataDxfId="325"/>
    <tableColumn id="11" xr3:uid="{FB60FE9D-1426-46A6-A9D6-8634F2D517FD}" name="Data quality score " dataDxfId="3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5BEB23C-9725-47CD-AE42-26E224327835}" name="Tabla27" displayName="Tabla27" ref="B3:F4" totalsRowShown="0" headerRowDxfId="323" dataDxfId="321" headerRowBorderDxfId="322" tableBorderDxfId="320">
  <autoFilter ref="B3:F4" xr:uid="{35BEB23C-9725-47CD-AE42-26E224327835}"/>
  <tableColumns count="5">
    <tableColumn id="1" xr3:uid="{22DFC613-0652-4206-B1AC-049BD8727B57}" name="Tipo de edificio" dataDxfId="319"/>
    <tableColumn id="2" xr3:uid="{BE29F562-4EBD-4728-8A3C-38096B78C5B4}" name="Intensidad de emisiones (tCO₂e/m²)" dataDxfId="318">
      <calculatedColumnFormula>H24</calculatedColumnFormula>
    </tableColumn>
    <tableColumn id="3" xr3:uid="{B68E4362-D5B4-43FB-A10C-FA32AB27A0F5}" name="Intensidad energética (kWh/m²)" dataDxfId="317">
      <calculatedColumnFormula>L24</calculatedColumnFormula>
    </tableColumn>
    <tableColumn id="4" xr3:uid="{C07DF0A8-3EC0-4A56-A180-EB192E31F069}" name="Nivel de calidad (DQS)" dataDxfId="316"/>
    <tableColumn id="5" xr3:uid="{4900B835-1147-4389-8DF1-0DE326AF2CCF}" name="Fuente" dataDxfId="3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B0B77C9-AB19-4EDF-9CFF-6C2B3D450DDB}" name="Tabla28" displayName="Tabla28" ref="B19:L24" totalsRowShown="0" headerRowDxfId="314" dataDxfId="312" headerRowBorderDxfId="313" tableBorderDxfId="311" totalsRowBorderDxfId="310">
  <autoFilter ref="B19:L24" xr:uid="{7B0B77C9-AB19-4EDF-9CFF-6C2B3D450DDB}"/>
  <tableColumns count="11">
    <tableColumn id="1" xr3:uid="{24DCA0D9-74FB-4F14-8664-54F6DA19FA0C}" name="Hotel" dataDxfId="309"/>
    <tableColumn id="2" xr3:uid="{410623AD-A67C-42A5-8BFA-D7615F5F7FF6}" name="Tipo de actividad" dataDxfId="308"/>
    <tableColumn id="3" xr3:uid="{C98270F9-88C2-4822-848A-D2ED15A41107}" name="País " dataDxfId="307"/>
    <tableColumn id="4" xr3:uid="{DB040676-1DCE-4034-81AD-ED16696DFF56}" name="Año Reporte " dataDxfId="306"/>
    <tableColumn id="5" xr3:uid="{D6B87A59-163C-4B4E-9F9B-F57928C0D2F8}" name="Intensidad de emisiones " dataDxfId="305"/>
    <tableColumn id="6" xr3:uid="{210C788C-B5CF-4D79-9AB8-E104330EBAF8}" name="Unidad de medida " dataDxfId="304"/>
    <tableColumn id="7" xr3:uid="{235E8B06-F2B9-41EB-92D2-760696A38C63}" name="Intensidad de emisiones (tCO2e/m2)" dataDxfId="303"/>
    <tableColumn id="8" xr3:uid="{85A85455-EFCF-4FD7-AA76-F0E986E4A182}" name="Consumo total " dataDxfId="302"/>
    <tableColumn id="9" xr3:uid="{69CCDB5B-ADB5-4EED-A47C-06F6E0539AD1}" name="Unidad de medida 2" dataDxfId="301"/>
    <tableColumn id="10" xr3:uid="{1F76DF39-A70B-4E45-915F-BCACF517F79E}" name="Intensidad energética (MWh/m²)" dataDxfId="300"/>
    <tableColumn id="11" xr3:uid="{FCC00114-5C30-403D-96B2-0D0CAFF791B6}" name="Intensidad energética (kWh/m²)" dataDxfId="29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8225BC5-8C65-496A-97CA-3AED29AA7564}" name="Tabla10" displayName="Tabla10" ref="B3:R5" totalsRowShown="0" headerRowDxfId="298" dataDxfId="297" tableBorderDxfId="296">
  <autoFilter ref="B3:R5" xr:uid="{E8225BC5-8C65-496A-97CA-3AED29AA7564}"/>
  <tableColumns count="17">
    <tableColumn id="1" xr3:uid="{709502F9-EE6A-49AD-ABC7-143B89D5FEFA}" name="Tipo de vivienda " dataDxfId="295"/>
    <tableColumn id="2" xr3:uid="{D9E7A8C9-BC07-4260-8E13-A9CEB028CE68}" name="Tamaño Promedio (m2)" dataDxfId="294"/>
    <tableColumn id="3" xr3:uid="{F8B2E53A-4D08-42E2-8FFC-69A65635524F}" name="Consumo promedio (kWh/año/vivienda)" dataDxfId="293">
      <calculatedColumnFormula>5990*0.6</calculatedColumnFormula>
    </tableColumn>
    <tableColumn id="4" xr3:uid="{8A41EC59-AF9E-43E2-B3B8-B35D51C3B6B9}" name="Intensidad total(kWh/m2*año)" dataDxfId="292"/>
    <tableColumn id="5" xr3:uid="{CEA9C72A-A5BA-46FC-8DAF-4B210EA5F7AF}" name="Intensidad eléctrica (kWh/m2*año)" dataDxfId="291">
      <calculatedColumnFormula>E4*0.716666667</calculatedColumnFormula>
    </tableColumn>
    <tableColumn id="6" xr3:uid="{A2F077AC-509B-4273-AEC5-ACEB28C1647F}" name="Intesidad GLP (kWh/m2*año)" dataDxfId="290">
      <calculatedColumnFormula>E4*0.216666667</calculatedColumnFormula>
    </tableColumn>
    <tableColumn id="7" xr3:uid="{20415916-D403-4799-B096-FD894A597F82}" name="Intesidad Gas Natural (kWh/m2*año)" dataDxfId="289">
      <calculatedColumnFormula>E4*0.066666667</calculatedColumnFormula>
    </tableColumn>
    <tableColumn id="8" xr3:uid="{8700F26B-FACA-448D-B254-184DBCC115BB}" name="Factor de emisión Electricidad (tCO2e/kWh)" dataDxfId="288"/>
    <tableColumn id="9" xr3:uid="{8EEAD138-59AE-4D8A-A7A6-68022D5CB021}" name="Emisiones estimadas (Electricidad) (tCO2e/m2*año)" dataDxfId="287">
      <calculatedColumnFormula>F4*I4</calculatedColumnFormula>
    </tableColumn>
    <tableColumn id="10" xr3:uid="{51B7E31A-325D-459E-AD63-4334AFB3B773}" name="Factor de emisión Supergas (tCO2e/kWh)" dataDxfId="286">
      <calculatedColumnFormula>'Datos Inmuebles'!$L$18</calculatedColumnFormula>
    </tableColumn>
    <tableColumn id="11" xr3:uid="{83E0790B-E960-4D48-A9BB-5B862DF25649}" name="Emisiones estimadas (Supergas) (tCO2e/m2*año)" dataDxfId="285">
      <calculatedColumnFormula>G4*K4</calculatedColumnFormula>
    </tableColumn>
    <tableColumn id="12" xr3:uid="{9066C0C9-0499-42BD-84F1-2291302906F4}" name="Factor de emisión Gas Natural (tCO2e/kWh)" dataDxfId="284">
      <calculatedColumnFormula>'Datos Inmuebles'!$L$19</calculatedColumnFormula>
    </tableColumn>
    <tableColumn id="13" xr3:uid="{92DB7AF1-7EB0-4381-9137-11C661B11EA3}" name="Emisiones estimadas (Gas Natural) (tCO2e/m2*año)" dataDxfId="283">
      <calculatedColumnFormula>H4*M4</calculatedColumnFormula>
    </tableColumn>
    <tableColumn id="14" xr3:uid="{F8B474AB-D720-4EE0-B855-7B994614C9B0}" name="Emisiones totales (tCO2e/m2*año)" dataDxfId="282">
      <calculatedColumnFormula>N4+L4+J4</calculatedColumnFormula>
    </tableColumn>
    <tableColumn id="15" xr3:uid="{5BFE6221-85A5-4818-8FC4-60E7E6AE4C93}" name="Emisiontes totales por vivienda promedio" dataDxfId="281">
      <calculatedColumnFormula>O4*C4</calculatedColumnFormula>
    </tableColumn>
    <tableColumn id="16" xr3:uid="{426D10D8-02F3-47FB-AAC5-F97699BC7084}" name="Nivel de calidad (Score)" dataDxfId="280"/>
    <tableColumn id="17" xr3:uid="{ED5329EE-1979-4177-8C94-8BDB40E5351B}" name="Fuente" dataDxfId="27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326A51-443D-4C28-9934-8DB7DCB9B840}" name="Tabla14" displayName="Tabla14" ref="B23:D26" totalsRowShown="0" headerRowDxfId="278" dataDxfId="277">
  <autoFilter ref="B23:D26" xr:uid="{6A326A51-443D-4C28-9934-8DB7DCB9B840}"/>
  <tableColumns count="3">
    <tableColumn id="1" xr3:uid="{3A0BA983-5E30-4BAC-A945-282100F0D893}" name="Tipo de edificio (proxy)" dataDxfId="276"/>
    <tableColumn id="2" xr3:uid="{4E873547-B12A-45C2-B2AD-76E22E6AF2A2}" name="Site EUI (kBtu/ft²·año)" dataDxfId="275"/>
    <tableColumn id="3" xr3:uid="{7BEF4F26-5E6D-464A-81BF-BB4FE85F6822}" name="Site EUI (kWh/m²·año)" dataDxfId="274"/>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ECA23B2-ACB6-4F28-82E9-E7196686B0C1}" name="Tabla11" displayName="Tabla11" ref="B3:O6" totalsRowShown="0" headerRowDxfId="273" dataDxfId="271" headerRowBorderDxfId="272" tableBorderDxfId="270" totalsRowBorderDxfId="269">
  <autoFilter ref="B3:O6" xr:uid="{8ECA23B2-ACB6-4F28-82E9-E7196686B0C1}"/>
  <tableColumns count="14">
    <tableColumn id="1" xr3:uid="{066C0CF6-7971-430A-BBD1-9C67B93839F3}" name="Tipo de edificio " dataDxfId="268"/>
    <tableColumn id="2" xr3:uid="{FE431414-6618-4978-8348-EB982C2845EB}" name="Intensidad energética total (kWh/m²·año)" dataDxfId="267">
      <calculatedColumnFormula>D24</calculatedColumnFormula>
    </tableColumn>
    <tableColumn id="3" xr3:uid="{9F23C919-2330-48A6-BF0B-5A76D0B32BCD}" name="Intensidad eléctrica (kWh/m²·año)" dataDxfId="266">
      <calculatedColumnFormula>$C4*$C$34</calculatedColumnFormula>
    </tableColumn>
    <tableColumn id="4" xr3:uid="{FDEEE937-061D-464E-8F18-130B2B8515D2}" name="Intensidad GLP (kWh/m²·año)" dataDxfId="265">
      <calculatedColumnFormula>$C4*$C$35</calculatedColumnFormula>
    </tableColumn>
    <tableColumn id="5" xr3:uid="{4F26DBFF-EACC-426A-8BF3-B0A4A4D92B9F}" name="Intensidad GN (kWh/m²·año)" dataDxfId="264">
      <calculatedColumnFormula>$C4*$C$36</calculatedColumnFormula>
    </tableColumn>
    <tableColumn id="6" xr3:uid="{C9874217-3C0A-44F8-87D2-A5275FE3673C}" name="Factor de emisión Electricidad (tCO2e/kWh)" dataDxfId="263"/>
    <tableColumn id="7" xr3:uid="{4FD8F833-CA56-424C-9857-BC90869A9994}" name="Emisiones estimadas (Electricidad) (tCO2e/m2*año)" dataDxfId="262">
      <calculatedColumnFormula>$G4*$D4</calculatedColumnFormula>
    </tableColumn>
    <tableColumn id="8" xr3:uid="{CC0FCFCD-1A41-41E2-883D-C83FEAF4C3D2}" name="Factor de emisión Supergas (tCO2e/kWh)" dataDxfId="261">
      <calculatedColumnFormula>'Datos Inmuebles'!$L$18</calculatedColumnFormula>
    </tableColumn>
    <tableColumn id="9" xr3:uid="{833B8D59-C78A-45AD-AD2B-6E06A3B25DA2}" name="Emisiones estimadas (Supergas) (tCO2e/m2*año)" dataDxfId="260">
      <calculatedColumnFormula>$I4*$E4</calculatedColumnFormula>
    </tableColumn>
    <tableColumn id="10" xr3:uid="{6EA6E85E-6B5C-40C6-94B6-139020EA2419}" name="Factor de emisión Gas Natural (tCO2e/kWh)" dataDxfId="259">
      <calculatedColumnFormula>'Datos Inmuebles'!$L$19</calculatedColumnFormula>
    </tableColumn>
    <tableColumn id="11" xr3:uid="{8FF0AC22-DCD2-4B45-830E-F11456762269}" name="Emisiones estimadas (Gas Natural) (tCO2e/m2*año)" dataDxfId="258">
      <calculatedColumnFormula>$K4*$F4</calculatedColumnFormula>
    </tableColumn>
    <tableColumn id="12" xr3:uid="{12EB9F8B-572B-4B5A-A30C-C0A6E59B7BD5}" name="Emisiones totales (tCO2e/m2*año)" dataDxfId="257">
      <calculatedColumnFormula>$L4+$J4+$H4</calculatedColumnFormula>
    </tableColumn>
    <tableColumn id="13" xr3:uid="{8946C5C6-5E39-4601-91F5-8BE7BAD1D077}" name="Nivel de calidad (Score)" dataDxfId="256"/>
    <tableColumn id="14" xr3:uid="{379C9F13-D2C3-4705-A48D-9F4088B329ED}" name="Fuente" dataDxfId="25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0" dT="2025-11-13T15:16:56.19" personId="{9357A8D7-6E5F-4DE9-B1E3-9544A95CB2AF}" id="{9F32ECED-1386-48F0-AA84-961BC01989A2}">
    <text xml:space="preserve">no consideré esto para el promedio porque hace muy muy grande considerando que ahi se repetiría la doble contabilización pero queria dejar igual puesto @Sol Leguizamon </text>
    <mentions>
      <mention mentionpersonId="{F263912B-4EBF-4A97-AB7A-D921E8A27561}" mentionId="{A71FC5E9-CE7E-4F2B-B373-8E20149FE0D3}" startIndex="152" length="1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B43" dT="2025-02-26T17:39:35.93" personId="{B1A286E5-620A-45AA-BF15-72C744A30C29}" id="{7A925967-7EF9-44E9-AF39-B3D9388EF582}">
    <text>5,4% biocombustible</text>
  </threadedComment>
  <threadedComment ref="B44" dT="2025-02-26T17:39:00.33" personId="{B1A286E5-620A-45AA-BF15-72C744A30C29}" id="{A29BE76B-98FD-4EBB-8288-17806D36A136}">
    <text>9,1% biocombustible</text>
  </threadedComment>
</ThreadedComments>
</file>

<file path=xl/threadedComments/threadedComment3.xml><?xml version="1.0" encoding="utf-8"?>
<ThreadedComments xmlns="http://schemas.microsoft.com/office/spreadsheetml/2018/threadedcomments" xmlns:x="http://schemas.openxmlformats.org/spreadsheetml/2006/main">
  <threadedComment ref="B27" dT="2025-02-26T17:39:35.93" personId="{B1A286E5-620A-45AA-BF15-72C744A30C29}" id="{09A52E61-1F91-4A0A-AFCD-101C536C71C3}">
    <text>5,4% biocombustible</text>
  </threadedComment>
  <threadedComment ref="B28" dT="2025-02-26T17:39:00.33" personId="{B1A286E5-620A-45AA-BF15-72C744A30C29}" id="{4E8D38B0-01A7-4CDE-B703-DD9EE0F00E38}">
    <text>9,1% biocombustible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drawing" Target="../drawings/drawing9.xml"/><Relationship Id="rId7" Type="http://schemas.openxmlformats.org/officeDocument/2006/relationships/table" Target="../tables/table17.xml"/><Relationship Id="rId2" Type="http://schemas.openxmlformats.org/officeDocument/2006/relationships/hyperlink" Target="https://montevideo.gub.uy/sites/default/files/documentos/consumodeenergiaportipodevehiculoycombustible_1.pdf" TargetMode="External"/><Relationship Id="rId1" Type="http://schemas.openxmlformats.org/officeDocument/2006/relationships/hyperlink" Target="https://estadisticasambientales.ine.gov.py/subidas/documentos/PMME_Mayo18_2023.pdf" TargetMode="External"/><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vmlDrawing" Target="../drawings/vmlDrawing8.vml"/><Relationship Id="rId9"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3" Type="http://schemas.openxmlformats.org/officeDocument/2006/relationships/hyperlink" Target="https://data.worldbank.org/indicator/NY.GDP.MKTP.PP.CD?end=2024&amp;locations=UY&amp;most_recent_year_desc=true&amp;start=2000&amp;view=chart" TargetMode="External"/><Relationship Id="rId7" Type="http://schemas.openxmlformats.org/officeDocument/2006/relationships/table" Target="../tables/table19.xml"/><Relationship Id="rId2" Type="http://schemas.openxmlformats.org/officeDocument/2006/relationships/hyperlink" Target="https://unfccc.int/sites/default/files/resource/2023-12-28%20Uruguay%20NID%201990-2020%20ESP.pdf" TargetMode="External"/><Relationship Id="rId1" Type="http://schemas.openxmlformats.org/officeDocument/2006/relationships/hyperlink" Target="https://unfccc.int/sites/default/files/resource/2023-12-28%20Uruguay%20NID%201990-2020%20ESP.pdf" TargetMode="External"/><Relationship Id="rId6" Type="http://schemas.openxmlformats.org/officeDocument/2006/relationships/table" Target="../tables/table18.xml"/><Relationship Id="rId5" Type="http://schemas.openxmlformats.org/officeDocument/2006/relationships/drawing" Target="../drawings/drawing10.xml"/><Relationship Id="rId4" Type="http://schemas.openxmlformats.org/officeDocument/2006/relationships/hyperlink" Target="https://data.worldbank.org/"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s://www.idbinvest.org/sites/default/files/2021-06/Pto%20Bolivar%20EIA%202020%20IV.A.%20Medici%C3%B3n%20GEI%202019-2020.pdf" TargetMode="External"/><Relationship Id="rId7" Type="http://schemas.openxmlformats.org/officeDocument/2006/relationships/hyperlink" Target="https://celepsa.com/media/internals/30092024_REPORTE_CELEPSA-TERMOCHILCA_2023.pdf" TargetMode="External"/><Relationship Id="rId2" Type="http://schemas.openxmlformats.org/officeDocument/2006/relationships/hyperlink" Target="https://www.idbinvest.org/sites/default/files/2021-06/Pto%20Bolivar%20EIA%202020%20IV.A.%20Medici%C3%B3n%20GEI%202019-2020.pdf" TargetMode="External"/><Relationship Id="rId1" Type="http://schemas.openxmlformats.org/officeDocument/2006/relationships/hyperlink" Target="https://www.upm.com/siteassets/sustainability/sustainable-documents/1-fundamentals/emas-reports/upm-pulp-and-paper-mills-report/local-language/fray_bentos_emas_2023_es.pdf" TargetMode="External"/><Relationship Id="rId6" Type="http://schemas.openxmlformats.org/officeDocument/2006/relationships/hyperlink" Target="https://celepsa.com/media/internals/30092024_REPORTE_CELEPSA-TERMOCHILCA_2023.pdf" TargetMode="External"/><Relationship Id="rId5" Type="http://schemas.openxmlformats.org/officeDocument/2006/relationships/hyperlink" Target="https://celepsa.com/media/internals/30092024_REPORTE_CELEPSA-TERMOCHILCA_2023.pdf" TargetMode="External"/><Relationship Id="rId4" Type="http://schemas.openxmlformats.org/officeDocument/2006/relationships/hyperlink" Target="https://celepsa.com/media/internals/30092024_REPORTE_CELEPSA-TERMOCHILCA_2023.pdf" TargetMode="External"/><Relationship Id="rId9" Type="http://schemas.openxmlformats.org/officeDocument/2006/relationships/table" Target="../tables/table20.xml"/></Relationships>
</file>

<file path=xl/worksheets/_rels/sheet13.xml.rels><?xml version="1.0" encoding="UTF-8" standalone="yes"?>
<Relationships xmlns="http://schemas.openxmlformats.org/package/2006/relationships"><Relationship Id="rId8" Type="http://schemas.openxmlformats.org/officeDocument/2006/relationships/hyperlink" Target="http://les.edu.uy/report/2021_Reporte_Eficiencia_Energetica.pdf" TargetMode="External"/><Relationship Id="rId13" Type="http://schemas.openxmlformats.org/officeDocument/2006/relationships/hyperlink" Target="https://normativa.montevideo.gub.uy/articulos/82820" TargetMode="External"/><Relationship Id="rId18" Type="http://schemas.openxmlformats.org/officeDocument/2006/relationships/table" Target="../tables/table25.xml"/><Relationship Id="rId3" Type="http://schemas.openxmlformats.org/officeDocument/2006/relationships/hyperlink" Target="https://www.ambito.com/uruguay/el-valor-real-la-vivienda-promovida-sube-primera-vez-casi-3-anos-n5961431" TargetMode="External"/><Relationship Id="rId21" Type="http://schemas.openxmlformats.org/officeDocument/2006/relationships/table" Target="../tables/table28.xml"/><Relationship Id="rId7" Type="http://schemas.openxmlformats.org/officeDocument/2006/relationships/hyperlink" Target="https://www.segingenieria.com/wp-content/uploads/2025/10/Indicadores-Energ%C3%A9ticos_2509-1.pdf" TargetMode="External"/><Relationship Id="rId12" Type="http://schemas.openxmlformats.org/officeDocument/2006/relationships/hyperlink" Target="https://www.impo.com.uy/bases/decretos/129-2020" TargetMode="External"/><Relationship Id="rId17" Type="http://schemas.openxmlformats.org/officeDocument/2006/relationships/table" Target="../tables/table24.xml"/><Relationship Id="rId2" Type="http://schemas.openxmlformats.org/officeDocument/2006/relationships/hyperlink" Target="https://prop.com.uy/barrios/pocitos" TargetMode="External"/><Relationship Id="rId16" Type="http://schemas.openxmlformats.org/officeDocument/2006/relationships/table" Target="../tables/table23.xml"/><Relationship Id="rId20" Type="http://schemas.openxmlformats.org/officeDocument/2006/relationships/table" Target="../tables/table27.xml"/><Relationship Id="rId1" Type="http://schemas.openxmlformats.org/officeDocument/2006/relationships/hyperlink" Target="https://prop.com.uy/barrios/pocitos" TargetMode="External"/><Relationship Id="rId6" Type="http://schemas.openxmlformats.org/officeDocument/2006/relationships/hyperlink" Target="https://www.anv.gub.uy/sites/default/files/2023-03/InformeMercadoInmobiliario_20230123.pdf" TargetMode="External"/><Relationship Id="rId11" Type="http://schemas.openxmlformats.org/officeDocument/2006/relationships/hyperlink" Target="https://www.impo.com.uy/bases/decretos/249-2018/1" TargetMode="External"/><Relationship Id="rId5" Type="http://schemas.openxmlformats.org/officeDocument/2006/relationships/hyperlink" Target="https://www.anv.gub.uy/sites/default/files/2023-03/InformeMercadoInmobiliario_20230123.pdf" TargetMode="External"/><Relationship Id="rId15" Type="http://schemas.openxmlformats.org/officeDocument/2006/relationships/table" Target="../tables/table22.xml"/><Relationship Id="rId10" Type="http://schemas.openxmlformats.org/officeDocument/2006/relationships/hyperlink" Target="https://www.anv.gub.uy/sites/default/files/2020-07/AREAS_VIGENTES_SEGUN_DORM.pdf" TargetMode="External"/><Relationship Id="rId19" Type="http://schemas.openxmlformats.org/officeDocument/2006/relationships/table" Target="../tables/table26.xml"/><Relationship Id="rId4" Type="http://schemas.openxmlformats.org/officeDocument/2006/relationships/hyperlink" Target="https://www.ambito.com/uruguay/el-valor-real-la-vivienda-promovida-sube-primera-vez-casi-3-anos-n5961431" TargetMode="External"/><Relationship Id="rId9" Type="http://schemas.openxmlformats.org/officeDocument/2006/relationships/hyperlink" Target="https://www.ambito.com/uruguay/el-valor-real-la-vivienda-promovida-sube-primera-vez-casi-3-anos-n5961431" TargetMode="External"/><Relationship Id="rId14" Type="http://schemas.openxmlformats.org/officeDocument/2006/relationships/table" Target="../tables/table21.xml"/><Relationship Id="rId22" Type="http://schemas.openxmlformats.org/officeDocument/2006/relationships/table" Target="../tables/table29.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https://ben.miem.gub.uy/icomplementaria.php" TargetMode="External"/><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portfoliomanager.energystar.gov/pdf/reference/US%20National%20Median%20Table.pdf" TargetMode="External"/><Relationship Id="rId7" Type="http://schemas.openxmlformats.org/officeDocument/2006/relationships/hyperlink" Target="https://impulsaindustria.com.uy/medicion-de-huella-de-carbono/" TargetMode="External"/><Relationship Id="rId2" Type="http://schemas.openxmlformats.org/officeDocument/2006/relationships/hyperlink" Target="https://data.cdp.net/" TargetMode="External"/><Relationship Id="rId1" Type="http://schemas.openxmlformats.org/officeDocument/2006/relationships/hyperlink" Target="https://unglobalcompact.org/what-is-gc/participants/search?search%5Bkeywords%5D=&amp;search%5Bcountries%5D%5B%5D=210&amp;search%5Bsort_field%5D=&amp;search%5Bsort_direction%5D=asc&amp;search%5Bper_page%5D=10" TargetMode="External"/><Relationship Id="rId6" Type="http://schemas.openxmlformats.org/officeDocument/2006/relationships/hyperlink" Target="https://www.gub.uy/ministerio-ambiente/politicas-y-gestion/herramienta-calculo-huella-carbono-del-sector-industrial" TargetMode="External"/><Relationship Id="rId5" Type="http://schemas.openxmlformats.org/officeDocument/2006/relationships/hyperlink" Target="https://catalog.data.gov/dataset/supply-chain-greenhouse-gas-emission-factors-v1-2-by-naics-6" TargetMode="External"/><Relationship Id="rId4" Type="http://schemas.openxmlformats.org/officeDocument/2006/relationships/hyperlink" Target="https://www.consumovehicular.cl/comparador"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bin"/><Relationship Id="rId5" Type="http://schemas.openxmlformats.org/officeDocument/2006/relationships/comments" Target="../comments3.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7" Type="http://schemas.microsoft.com/office/2019/04/relationships/documenttask" Target="../documenttasks/documenttask1.xml"/><Relationship Id="rId2" Type="http://schemas.openxmlformats.org/officeDocument/2006/relationships/vmlDrawing" Target="../drawings/vmlDrawing4.vml"/><Relationship Id="rId1" Type="http://schemas.openxmlformats.org/officeDocument/2006/relationships/drawing" Target="../drawings/drawing5.xml"/><Relationship Id="rId6" Type="http://schemas.microsoft.com/office/2017/10/relationships/threadedComment" Target="../threadedComments/threadedComment1.xml"/><Relationship Id="rId5" Type="http://schemas.openxmlformats.org/officeDocument/2006/relationships/comments" Target="../comments4.xml"/><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5.vml"/><Relationship Id="rId1" Type="http://schemas.openxmlformats.org/officeDocument/2006/relationships/drawing" Target="../drawings/drawing6.xm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hyperlink" Target="https://portfoliomanager.energystar.gov/pdf/reference/US%20National%20Median%20Table.pdf" TargetMode="External"/><Relationship Id="rId7" Type="http://schemas.openxmlformats.org/officeDocument/2006/relationships/table" Target="../tables/table9.xml"/><Relationship Id="rId2" Type="http://schemas.openxmlformats.org/officeDocument/2006/relationships/hyperlink" Target="https://portfoliomanager.energystar.gov/pdf/reference/US%20National%20Median%20Table.pdf" TargetMode="External"/><Relationship Id="rId1" Type="http://schemas.openxmlformats.org/officeDocument/2006/relationships/hyperlink" Target="https://www.cepal.org/sites/default/files/news/files/estudio_eficiencia_energetica_alc_cepal.pdf" TargetMode="External"/><Relationship Id="rId6" Type="http://schemas.openxmlformats.org/officeDocument/2006/relationships/table" Target="../tables/table8.xml"/><Relationship Id="rId5" Type="http://schemas.openxmlformats.org/officeDocument/2006/relationships/vmlDrawing" Target="../drawings/vmlDrawing6.vml"/><Relationship Id="rId4" Type="http://schemas.openxmlformats.org/officeDocument/2006/relationships/drawing" Target="../drawings/drawing7.xml"/><Relationship Id="rId9"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drawing" Target="../drawings/drawing8.xml"/><Relationship Id="rId7" Type="http://schemas.openxmlformats.org/officeDocument/2006/relationships/table" Target="../tables/table13.xml"/><Relationship Id="rId2" Type="http://schemas.openxmlformats.org/officeDocument/2006/relationships/hyperlink" Target="https://falabellaretail.falabella.com/wp-content/uploads/2024/05/2024_04_27_REPORTE_FALABELLA.pdf" TargetMode="External"/><Relationship Id="rId1" Type="http://schemas.openxmlformats.org/officeDocument/2006/relationships/hyperlink" Target="https://www.cencosud.com/cencosud/site/docs/20250410/20250410124319/2024_reporte_sostenibilidad_cencosud.pdf" TargetMode="Externa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vmlDrawing" Target="../drawings/vmlDrawing7.vml"/><Relationship Id="rId9"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DD83-49BF-47C3-B45C-0DECD81985E7}">
  <dimension ref="A1:L20"/>
  <sheetViews>
    <sheetView tabSelected="1" zoomScale="113" workbookViewId="0">
      <selection activeCell="H9" sqref="H9"/>
    </sheetView>
  </sheetViews>
  <sheetFormatPr baseColWidth="10" defaultColWidth="9.1640625" defaultRowHeight="14"/>
  <cols>
    <col min="1" max="1" width="3.1640625" style="1" customWidth="1"/>
    <col min="2" max="2" width="8.33203125" style="15" customWidth="1"/>
    <col min="3" max="3" width="29.5" style="1" customWidth="1"/>
    <col min="4" max="4" width="31.5" style="1" customWidth="1"/>
    <col min="5" max="5" width="13.6640625" style="1" customWidth="1"/>
    <col min="6" max="8" width="9.1640625" style="1"/>
    <col min="9" max="9" width="16.83203125" style="1" customWidth="1"/>
    <col min="10" max="16384" width="9.1640625" style="1"/>
  </cols>
  <sheetData>
    <row r="1" spans="1:12" ht="12.75" customHeight="1">
      <c r="B1" s="2"/>
      <c r="C1" s="3"/>
      <c r="D1" s="3"/>
      <c r="E1" s="3"/>
      <c r="F1" s="3"/>
      <c r="G1" s="3"/>
      <c r="H1" s="3"/>
      <c r="I1" s="3"/>
    </row>
    <row r="2" spans="1:12" s="6" customFormat="1" ht="50.25" customHeight="1">
      <c r="A2" s="4"/>
      <c r="B2" s="391" t="s">
        <v>0</v>
      </c>
      <c r="C2" s="392"/>
      <c r="D2" s="392"/>
      <c r="E2" s="392"/>
      <c r="F2" s="393"/>
      <c r="G2" s="393"/>
      <c r="H2" s="393"/>
      <c r="I2" s="394"/>
      <c r="J2" s="5"/>
    </row>
    <row r="3" spans="1:12">
      <c r="B3" s="7"/>
      <c r="C3" s="7"/>
      <c r="D3" s="7"/>
      <c r="E3" s="7"/>
      <c r="F3" s="7"/>
      <c r="G3" s="7"/>
      <c r="H3" s="7"/>
      <c r="I3" s="6"/>
      <c r="J3" s="3"/>
      <c r="K3" s="3"/>
    </row>
    <row r="4" spans="1:12">
      <c r="B4" s="7" t="s">
        <v>1</v>
      </c>
      <c r="C4" s="7"/>
      <c r="D4" s="7"/>
      <c r="E4" s="7"/>
      <c r="F4" s="7"/>
      <c r="G4" s="7"/>
      <c r="H4" s="8"/>
      <c r="K4" s="15"/>
      <c r="L4" s="15"/>
    </row>
    <row r="5" spans="1:12">
      <c r="B5" s="1"/>
      <c r="H5" s="13"/>
      <c r="I5" s="7"/>
      <c r="J5" s="7"/>
      <c r="L5" s="15"/>
    </row>
    <row r="6" spans="1:12" s="7" customFormat="1">
      <c r="A6" s="8"/>
      <c r="B6" s="9" t="s">
        <v>2</v>
      </c>
      <c r="C6" s="9" t="s">
        <v>3</v>
      </c>
      <c r="D6" s="9" t="s">
        <v>4</v>
      </c>
      <c r="E6" s="10"/>
      <c r="H6" s="8"/>
      <c r="I6" s="1"/>
      <c r="J6" s="1"/>
      <c r="K6" s="1"/>
      <c r="L6" s="10"/>
    </row>
    <row r="7" spans="1:12" s="7" customFormat="1">
      <c r="A7" s="8"/>
      <c r="B7" s="11">
        <v>1</v>
      </c>
      <c r="C7" s="11" t="s">
        <v>5</v>
      </c>
      <c r="D7" s="12" t="s">
        <v>6</v>
      </c>
      <c r="E7" s="10"/>
      <c r="H7" s="8"/>
      <c r="I7" s="1"/>
      <c r="J7" s="1"/>
      <c r="K7" s="1"/>
      <c r="L7" s="10"/>
    </row>
    <row r="8" spans="1:12" s="7" customFormat="1" ht="15">
      <c r="A8" s="8"/>
      <c r="B8" s="11">
        <v>2</v>
      </c>
      <c r="C8" s="11" t="s">
        <v>7</v>
      </c>
      <c r="D8" s="389" t="s">
        <v>8</v>
      </c>
      <c r="E8" s="10"/>
      <c r="H8" s="8"/>
      <c r="L8" s="10"/>
    </row>
    <row r="9" spans="1:12" s="7" customFormat="1" ht="15">
      <c r="A9" s="8"/>
      <c r="B9" s="11">
        <v>3</v>
      </c>
      <c r="C9" s="11" t="s">
        <v>9</v>
      </c>
      <c r="D9" s="389" t="s">
        <v>10</v>
      </c>
      <c r="E9" s="10"/>
      <c r="H9" s="8"/>
      <c r="L9" s="10"/>
    </row>
    <row r="10" spans="1:12">
      <c r="A10" s="13"/>
      <c r="B10" s="11">
        <v>4</v>
      </c>
      <c r="C10" s="11" t="s">
        <v>11</v>
      </c>
      <c r="D10" s="14" t="s">
        <v>12</v>
      </c>
      <c r="E10" s="15"/>
      <c r="I10" s="7"/>
      <c r="J10" s="7"/>
      <c r="K10" s="7"/>
    </row>
    <row r="11" spans="1:12">
      <c r="A11" s="13"/>
      <c r="B11" s="11">
        <v>5</v>
      </c>
      <c r="C11" s="11" t="s">
        <v>13</v>
      </c>
      <c r="D11" s="14" t="s">
        <v>14</v>
      </c>
      <c r="E11" s="15"/>
    </row>
    <row r="12" spans="1:12">
      <c r="A12" s="13"/>
      <c r="B12" s="11">
        <v>6</v>
      </c>
      <c r="C12" s="11" t="s">
        <v>15</v>
      </c>
      <c r="D12" s="16" t="s">
        <v>16</v>
      </c>
      <c r="E12" s="15"/>
    </row>
    <row r="13" spans="1:12">
      <c r="A13" s="13"/>
      <c r="B13" s="11">
        <v>7</v>
      </c>
      <c r="C13" s="11" t="s">
        <v>17</v>
      </c>
      <c r="D13" s="16" t="s">
        <v>18</v>
      </c>
      <c r="E13" s="15"/>
    </row>
    <row r="14" spans="1:12">
      <c r="A14" s="13"/>
      <c r="B14" s="11">
        <v>8</v>
      </c>
      <c r="C14" s="11" t="s">
        <v>19</v>
      </c>
      <c r="D14" s="14" t="s">
        <v>20</v>
      </c>
      <c r="E14" s="15"/>
    </row>
    <row r="15" spans="1:12">
      <c r="A15" s="13"/>
      <c r="B15" s="11">
        <v>9</v>
      </c>
      <c r="C15" s="11" t="s">
        <v>21</v>
      </c>
      <c r="D15" s="14" t="s">
        <v>22</v>
      </c>
      <c r="E15" s="15"/>
    </row>
    <row r="16" spans="1:12">
      <c r="A16" s="13"/>
      <c r="B16" s="11">
        <v>10</v>
      </c>
      <c r="C16" s="11" t="s">
        <v>23</v>
      </c>
      <c r="D16" s="16" t="s">
        <v>24</v>
      </c>
      <c r="E16" s="15"/>
    </row>
    <row r="17" spans="1:5">
      <c r="A17" s="13"/>
      <c r="B17" s="11">
        <v>11</v>
      </c>
      <c r="C17" s="11" t="s">
        <v>25</v>
      </c>
      <c r="D17" s="14" t="s">
        <v>26</v>
      </c>
      <c r="E17" s="15"/>
    </row>
    <row r="18" spans="1:5">
      <c r="A18" s="13"/>
      <c r="B18" s="11">
        <v>12</v>
      </c>
      <c r="C18" s="11" t="s">
        <v>27</v>
      </c>
      <c r="D18" s="14" t="s">
        <v>28</v>
      </c>
      <c r="E18" s="15"/>
    </row>
    <row r="19" spans="1:5">
      <c r="A19" s="13"/>
      <c r="B19" s="1"/>
      <c r="E19" s="15"/>
    </row>
    <row r="20" spans="1:5">
      <c r="B20" s="10"/>
      <c r="C20" s="7"/>
      <c r="D20" s="7"/>
    </row>
  </sheetData>
  <mergeCells count="2">
    <mergeCell ref="B2:E2"/>
    <mergeCell ref="F2:I2"/>
  </mergeCells>
  <hyperlinks>
    <hyperlink ref="D7" location="'Fuentes Complementarias '!A1" display="'Fuentes Complementarias '!A1" xr:uid="{8B24E65F-DCAA-4E66-90C4-72F555BD5A1D}"/>
    <hyperlink ref="D10" location="' Sector Económico'!A1" display="' Sector Económico'!A1" xr:uid="{90B469A5-E76D-43B5-9BB6-319203CD7E5C}"/>
    <hyperlink ref="D11" location="'Consumos_ Hotel'!A1" display="'Consumos_ Hotel'!A1" xr:uid="{180C7AAC-A494-429F-BE0C-8AFB28E37C2B}"/>
    <hyperlink ref="D12" location="Consumos_Retail!A1" display="Consumos_Retail!A1" xr:uid="{4FA23B83-D4B1-4C38-98AC-85F10EC5A885}"/>
    <hyperlink ref="D13" location="Consumos_Edificios!A1" display="Consumos_Edificios!A1" xr:uid="{240C971C-DFD4-4B6B-AAC1-A4378712908A}"/>
    <hyperlink ref="D14" location="'Vehículos '!A1" display="'Vehículos '!A1" xr:uid="{57410F87-7B81-42A3-8C28-8324C31C9BD9}"/>
    <hyperlink ref="D15" location="'Deuda Soberana '!A1" display="'Deuda Soberana '!A1" xr:uid="{6F61FC21-223F-4A0A-9765-1D2EA8B8C5DC}"/>
    <hyperlink ref="D17" location="'Datos Inmuebles'!A1" display="'Datos Inmuebles'!A1" xr:uid="{BE1E367A-3408-42BF-B998-C0A5583B0D39}"/>
    <hyperlink ref="D18" location="'Datos_Comple Energía'!A1" display="'Datos_Comple Energía'!A1" xr:uid="{8862F687-9511-4B89-ADA4-C6C4C41B0C7D}"/>
    <hyperlink ref="D16" location="Proyectos_Proxy!A1" display="Proyectos_Proxy!A1" xr:uid="{52A3A17B-D273-42C4-BF00-67EC03531BB1}"/>
    <hyperlink ref="D8" location="'Sector Económico 2016'!A1" display="'Sector Económico 2016'!A1" xr:uid="{15A23E8C-5EB6-46B4-9374-24B627FA17BB}"/>
    <hyperlink ref="D9" location="'Sector Económico 2017'!A1" display="'Sector Económico 2017'!A1" xr:uid="{5D54AF58-1BF2-4FBC-852C-8E603F9FB814}"/>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232B6-1B81-41AB-BBC7-A5996666649D}">
  <sheetPr>
    <tabColor theme="6"/>
  </sheetPr>
  <dimension ref="B2:AA46"/>
  <sheetViews>
    <sheetView topLeftCell="J1" zoomScale="36" zoomScaleNormal="50" workbookViewId="0">
      <pane ySplit="3" topLeftCell="A84" activePane="bottomLeft" state="frozen"/>
      <selection pane="bottomLeft" activeCell="A3" sqref="A3"/>
    </sheetView>
  </sheetViews>
  <sheetFormatPr baseColWidth="10" defaultColWidth="11.5" defaultRowHeight="14"/>
  <cols>
    <col min="1" max="1" width="5" style="1" customWidth="1"/>
    <col min="2" max="2" width="21.5" style="1" customWidth="1"/>
    <col min="3" max="3" width="20.1640625" style="1" customWidth="1"/>
    <col min="4" max="4" width="27.1640625" style="1" customWidth="1"/>
    <col min="5" max="5" width="33.1640625" style="1" customWidth="1"/>
    <col min="6" max="6" width="23" style="1" customWidth="1"/>
    <col min="7" max="7" width="18" style="1" customWidth="1"/>
    <col min="8" max="8" width="33.5" style="1" customWidth="1"/>
    <col min="9" max="9" width="29.83203125" style="1" customWidth="1"/>
    <col min="10" max="10" width="20.1640625" style="1" customWidth="1"/>
    <col min="11" max="11" width="29.6640625" style="1" customWidth="1"/>
    <col min="12" max="12" width="11.5" style="1"/>
    <col min="13" max="13" width="13.5" style="1" bestFit="1" customWidth="1"/>
    <col min="14" max="14" width="12" style="1" bestFit="1" customWidth="1"/>
    <col min="15" max="15" width="13.5" style="1" bestFit="1" customWidth="1"/>
    <col min="16" max="17" width="13.6640625" style="1" bestFit="1" customWidth="1"/>
    <col min="18" max="18" width="11.5" style="1"/>
    <col min="19" max="19" width="13.6640625" style="1" bestFit="1" customWidth="1"/>
    <col min="20" max="20" width="13.1640625" style="1" bestFit="1" customWidth="1"/>
    <col min="21" max="24" width="13.6640625" style="1" bestFit="1" customWidth="1"/>
    <col min="25" max="25" width="11.5" style="1"/>
    <col min="26" max="27" width="13.6640625" style="1" bestFit="1" customWidth="1"/>
    <col min="28" max="16384" width="11.5" style="1"/>
  </cols>
  <sheetData>
    <row r="2" spans="2:11">
      <c r="B2" s="407" t="s">
        <v>263</v>
      </c>
      <c r="C2" s="408"/>
      <c r="D2" s="408"/>
      <c r="E2" s="408"/>
      <c r="F2" s="408"/>
      <c r="G2" s="408"/>
      <c r="H2" s="408"/>
      <c r="I2" s="408"/>
      <c r="J2" s="408"/>
      <c r="K2" s="409"/>
    </row>
    <row r="3" spans="2:11" s="21" customFormat="1" ht="36.75" customHeight="1">
      <c r="B3" s="175" t="s">
        <v>264</v>
      </c>
      <c r="C3" s="98" t="s">
        <v>265</v>
      </c>
      <c r="D3" s="98" t="s">
        <v>266</v>
      </c>
      <c r="E3" s="98" t="s">
        <v>267</v>
      </c>
      <c r="F3" s="98" t="s">
        <v>268</v>
      </c>
      <c r="G3" s="98" t="s">
        <v>269</v>
      </c>
      <c r="H3" s="98" t="s">
        <v>270</v>
      </c>
      <c r="I3" s="383" t="s">
        <v>271</v>
      </c>
      <c r="J3" s="98" t="s">
        <v>272</v>
      </c>
      <c r="K3" s="99" t="s">
        <v>273</v>
      </c>
    </row>
    <row r="4" spans="2:11" ht="44.5" customHeight="1">
      <c r="B4" s="185" t="s">
        <v>274</v>
      </c>
      <c r="C4" s="11" t="s">
        <v>275</v>
      </c>
      <c r="D4" s="11">
        <v>4052</v>
      </c>
      <c r="E4" s="11">
        <f>1/C24</f>
        <v>0.08</v>
      </c>
      <c r="F4" s="11">
        <f t="shared" ref="F4:F11" si="0">$D4*$E4</f>
        <v>324.16000000000003</v>
      </c>
      <c r="G4" s="182">
        <f>I44</f>
        <v>1.7057830949525521</v>
      </c>
      <c r="H4" s="11">
        <f t="shared" ref="H4:H11" si="1">$F4*$G4</f>
        <v>552.94664805981938</v>
      </c>
      <c r="I4" s="11">
        <f t="shared" ref="I4:I11" si="2">$H4/1000</f>
        <v>0.55294664805981941</v>
      </c>
      <c r="J4" s="11">
        <v>4</v>
      </c>
      <c r="K4" s="186" t="s">
        <v>276</v>
      </c>
    </row>
    <row r="5" spans="2:11" ht="41.5" customHeight="1">
      <c r="B5" s="185" t="s">
        <v>277</v>
      </c>
      <c r="C5" s="11" t="s">
        <v>278</v>
      </c>
      <c r="D5" s="11">
        <v>4052</v>
      </c>
      <c r="E5" s="11">
        <f>1/C25</f>
        <v>7.0422535211267609E-2</v>
      </c>
      <c r="F5" s="11">
        <f t="shared" si="0"/>
        <v>285.35211267605638</v>
      </c>
      <c r="G5" s="182">
        <f>I43</f>
        <v>2.1925827364440487</v>
      </c>
      <c r="H5" s="11">
        <f t="shared" si="1"/>
        <v>625.65811606135821</v>
      </c>
      <c r="I5" s="11">
        <f t="shared" si="2"/>
        <v>0.62565811606135824</v>
      </c>
      <c r="J5" s="11">
        <v>4</v>
      </c>
      <c r="K5" s="186" t="s">
        <v>276</v>
      </c>
    </row>
    <row r="6" spans="2:11" ht="43.5" customHeight="1">
      <c r="B6" s="185" t="s">
        <v>279</v>
      </c>
      <c r="C6" s="11" t="s">
        <v>280</v>
      </c>
      <c r="D6" s="11">
        <v>1696</v>
      </c>
      <c r="E6" s="11">
        <f>1/C26</f>
        <v>3.1347962382445145E-2</v>
      </c>
      <c r="F6" s="11">
        <f t="shared" si="0"/>
        <v>53.166144200626967</v>
      </c>
      <c r="G6" s="182">
        <f>I44</f>
        <v>1.7057830949525521</v>
      </c>
      <c r="H6" s="11">
        <f t="shared" si="1"/>
        <v>90.689910001239141</v>
      </c>
      <c r="I6" s="11">
        <f t="shared" si="2"/>
        <v>9.0689910001239146E-2</v>
      </c>
      <c r="J6" s="11">
        <v>4</v>
      </c>
      <c r="K6" s="186" t="s">
        <v>276</v>
      </c>
    </row>
    <row r="7" spans="2:11" ht="46" customHeight="1">
      <c r="B7" s="185" t="s">
        <v>281</v>
      </c>
      <c r="C7" s="11" t="s">
        <v>282</v>
      </c>
      <c r="D7" s="11">
        <v>83720</v>
      </c>
      <c r="E7" s="11">
        <f>1/C27</f>
        <v>0.4</v>
      </c>
      <c r="F7" s="11">
        <f t="shared" si="0"/>
        <v>33488</v>
      </c>
      <c r="G7" s="182">
        <f>I43</f>
        <v>2.1925827364440487</v>
      </c>
      <c r="H7" s="11">
        <f t="shared" si="1"/>
        <v>73425.210678038304</v>
      </c>
      <c r="I7" s="11">
        <f t="shared" si="2"/>
        <v>73.425210678038297</v>
      </c>
      <c r="J7" s="11">
        <v>4</v>
      </c>
      <c r="K7" s="186" t="s">
        <v>276</v>
      </c>
    </row>
    <row r="8" spans="2:11" ht="41.5" customHeight="1">
      <c r="B8" s="185" t="s">
        <v>283</v>
      </c>
      <c r="C8" s="11" t="s">
        <v>275</v>
      </c>
      <c r="D8" s="11">
        <v>72000</v>
      </c>
      <c r="E8" s="11">
        <v>7.4999999999999997E-2</v>
      </c>
      <c r="F8" s="11">
        <f t="shared" si="0"/>
        <v>5400</v>
      </c>
      <c r="G8" s="182">
        <f>I44</f>
        <v>1.7057830949525521</v>
      </c>
      <c r="H8" s="11">
        <f t="shared" si="1"/>
        <v>9211.2287127437812</v>
      </c>
      <c r="I8" s="11">
        <f t="shared" si="2"/>
        <v>9.2112287127437806</v>
      </c>
      <c r="J8" s="11">
        <v>4</v>
      </c>
      <c r="K8" s="186" t="s">
        <v>276</v>
      </c>
    </row>
    <row r="9" spans="2:11" ht="42" customHeight="1">
      <c r="B9" s="185" t="s">
        <v>284</v>
      </c>
      <c r="C9" s="11" t="s">
        <v>282</v>
      </c>
      <c r="D9" s="11">
        <v>72000</v>
      </c>
      <c r="E9" s="11">
        <v>6.6000000000000003E-2</v>
      </c>
      <c r="F9" s="11">
        <f t="shared" si="0"/>
        <v>4752</v>
      </c>
      <c r="G9" s="182">
        <f>I43</f>
        <v>2.1925827364440487</v>
      </c>
      <c r="H9" s="11">
        <f t="shared" si="1"/>
        <v>10419.153163582119</v>
      </c>
      <c r="I9" s="11">
        <f t="shared" si="2"/>
        <v>10.41915316358212</v>
      </c>
      <c r="J9" s="11">
        <v>4</v>
      </c>
      <c r="K9" s="186" t="s">
        <v>276</v>
      </c>
    </row>
    <row r="10" spans="2:11" ht="41" customHeight="1">
      <c r="B10" s="185" t="s">
        <v>285</v>
      </c>
      <c r="C10" s="11" t="s">
        <v>286</v>
      </c>
      <c r="D10" s="11">
        <v>35986</v>
      </c>
      <c r="E10" s="11">
        <v>0.111</v>
      </c>
      <c r="F10" s="11">
        <f t="shared" si="0"/>
        <v>3994.4459999999999</v>
      </c>
      <c r="G10" s="182">
        <f>I44</f>
        <v>1.7057830949525521</v>
      </c>
      <c r="H10" s="11">
        <f t="shared" si="1"/>
        <v>6813.658460500842</v>
      </c>
      <c r="I10" s="11">
        <f t="shared" si="2"/>
        <v>6.8136584605008421</v>
      </c>
      <c r="J10" s="11">
        <v>4</v>
      </c>
      <c r="K10" s="186" t="s">
        <v>276</v>
      </c>
    </row>
    <row r="11" spans="2:11" ht="28.5" customHeight="1">
      <c r="B11" s="187" t="s">
        <v>287</v>
      </c>
      <c r="C11" s="188" t="s">
        <v>286</v>
      </c>
      <c r="D11" s="188">
        <v>21592</v>
      </c>
      <c r="E11" s="188">
        <v>0.14299999999999999</v>
      </c>
      <c r="F11" s="188">
        <f t="shared" si="0"/>
        <v>3087.6559999999999</v>
      </c>
      <c r="G11" s="189">
        <f>I44</f>
        <v>1.7057830949525521</v>
      </c>
      <c r="H11" s="188">
        <f t="shared" si="1"/>
        <v>5266.8714078288167</v>
      </c>
      <c r="I11" s="188">
        <f t="shared" si="2"/>
        <v>5.266871407828817</v>
      </c>
      <c r="J11" s="188">
        <v>4</v>
      </c>
      <c r="K11" s="190" t="s">
        <v>276</v>
      </c>
    </row>
    <row r="12" spans="2:11" ht="28.5" customHeight="1">
      <c r="B12" s="183"/>
      <c r="G12" s="184"/>
    </row>
    <row r="13" spans="2:11" ht="28.5" customHeight="1">
      <c r="B13" s="183"/>
      <c r="G13" s="184"/>
    </row>
    <row r="14" spans="2:11" ht="28.5" customHeight="1">
      <c r="B14" s="183"/>
      <c r="G14" s="184"/>
    </row>
    <row r="15" spans="2:11" ht="28.5" customHeight="1">
      <c r="B15" s="183"/>
      <c r="G15" s="184"/>
    </row>
    <row r="16" spans="2:11" ht="28.5" customHeight="1">
      <c r="B16" s="183"/>
      <c r="G16" s="184"/>
    </row>
    <row r="17" spans="2:8" ht="28.5" customHeight="1">
      <c r="B17" s="183"/>
      <c r="G17" s="184"/>
    </row>
    <row r="18" spans="2:8" ht="28.5" customHeight="1">
      <c r="B18" s="131" t="s">
        <v>288</v>
      </c>
      <c r="G18" s="184"/>
    </row>
    <row r="19" spans="2:8">
      <c r="B19" s="131" t="s">
        <v>289</v>
      </c>
      <c r="G19" s="184"/>
    </row>
    <row r="20" spans="2:8">
      <c r="B20" s="183"/>
      <c r="G20" s="184"/>
    </row>
    <row r="21" spans="2:8" s="191" customFormat="1">
      <c r="B21" s="416" t="s">
        <v>202</v>
      </c>
      <c r="C21" s="416"/>
      <c r="D21" s="416"/>
      <c r="E21" s="416"/>
      <c r="F21" s="416"/>
      <c r="G21" s="416"/>
      <c r="H21" s="416"/>
    </row>
    <row r="22" spans="2:8" s="7" customFormat="1"/>
    <row r="23" spans="2:8" s="20" customFormat="1" ht="30">
      <c r="B23" s="192" t="s">
        <v>290</v>
      </c>
      <c r="C23" s="193" t="s">
        <v>291</v>
      </c>
      <c r="D23" s="193" t="s">
        <v>128</v>
      </c>
      <c r="E23" s="193" t="s">
        <v>292</v>
      </c>
      <c r="F23" s="193" t="s">
        <v>125</v>
      </c>
      <c r="G23" s="193" t="s">
        <v>293</v>
      </c>
      <c r="H23" s="194" t="s">
        <v>273</v>
      </c>
    </row>
    <row r="24" spans="2:8" ht="45">
      <c r="B24" s="198" t="s">
        <v>274</v>
      </c>
      <c r="C24" s="199">
        <v>12.5</v>
      </c>
      <c r="D24" s="199" t="s">
        <v>294</v>
      </c>
      <c r="E24" s="199">
        <v>4052</v>
      </c>
      <c r="F24" s="199" t="s">
        <v>295</v>
      </c>
      <c r="G24" s="199">
        <f>1/C24</f>
        <v>0.08</v>
      </c>
      <c r="H24" s="200" t="s">
        <v>296</v>
      </c>
    </row>
    <row r="25" spans="2:8" ht="45">
      <c r="B25" s="198" t="s">
        <v>277</v>
      </c>
      <c r="C25" s="199">
        <v>14.2</v>
      </c>
      <c r="D25" s="199" t="s">
        <v>294</v>
      </c>
      <c r="E25" s="199">
        <v>4052</v>
      </c>
      <c r="F25" s="199" t="s">
        <v>295</v>
      </c>
      <c r="G25" s="199">
        <f t="shared" ref="G25:G27" si="3">1/C25</f>
        <v>7.0422535211267609E-2</v>
      </c>
      <c r="H25" s="200" t="s">
        <v>296</v>
      </c>
    </row>
    <row r="26" spans="2:8" ht="45">
      <c r="B26" s="198" t="s">
        <v>279</v>
      </c>
      <c r="C26" s="199">
        <v>31.9</v>
      </c>
      <c r="D26" s="199" t="s">
        <v>294</v>
      </c>
      <c r="E26" s="199">
        <v>1696</v>
      </c>
      <c r="F26" s="199" t="s">
        <v>295</v>
      </c>
      <c r="G26" s="199">
        <f t="shared" si="3"/>
        <v>3.1347962382445145E-2</v>
      </c>
      <c r="H26" s="200" t="s">
        <v>296</v>
      </c>
    </row>
    <row r="27" spans="2:8" ht="105">
      <c r="B27" s="198" t="s">
        <v>281</v>
      </c>
      <c r="C27" s="199">
        <v>2.5</v>
      </c>
      <c r="D27" s="199" t="s">
        <v>294</v>
      </c>
      <c r="E27" s="199">
        <v>83720</v>
      </c>
      <c r="F27" s="199" t="s">
        <v>297</v>
      </c>
      <c r="G27" s="199">
        <f t="shared" si="3"/>
        <v>0.4</v>
      </c>
      <c r="H27" s="200" t="s">
        <v>298</v>
      </c>
    </row>
    <row r="28" spans="2:8" ht="45">
      <c r="B28" s="198" t="s">
        <v>283</v>
      </c>
      <c r="C28" s="199" t="s">
        <v>299</v>
      </c>
      <c r="D28" s="199" t="s">
        <v>299</v>
      </c>
      <c r="E28" s="199">
        <v>72000</v>
      </c>
      <c r="F28" s="199" t="s">
        <v>300</v>
      </c>
      <c r="G28" s="199">
        <v>7.4999999999999997E-2</v>
      </c>
      <c r="H28" s="200" t="s">
        <v>301</v>
      </c>
    </row>
    <row r="29" spans="2:8" ht="45">
      <c r="B29" s="198" t="s">
        <v>302</v>
      </c>
      <c r="C29" s="199" t="s">
        <v>299</v>
      </c>
      <c r="D29" s="199" t="s">
        <v>299</v>
      </c>
      <c r="E29" s="199">
        <v>72000</v>
      </c>
      <c r="F29" s="199" t="s">
        <v>300</v>
      </c>
      <c r="G29" s="199">
        <v>6.6000000000000003E-2</v>
      </c>
      <c r="H29" s="200" t="s">
        <v>301</v>
      </c>
    </row>
    <row r="30" spans="2:8" ht="45">
      <c r="B30" s="198" t="s">
        <v>303</v>
      </c>
      <c r="C30" s="199" t="s">
        <v>299</v>
      </c>
      <c r="D30" s="199" t="s">
        <v>299</v>
      </c>
      <c r="E30" s="199">
        <v>35986</v>
      </c>
      <c r="F30" s="199" t="s">
        <v>304</v>
      </c>
      <c r="G30" s="199">
        <v>0.111</v>
      </c>
      <c r="H30" s="200" t="s">
        <v>301</v>
      </c>
    </row>
    <row r="31" spans="2:8" ht="45">
      <c r="B31" s="201" t="s">
        <v>305</v>
      </c>
      <c r="C31" s="202" t="s">
        <v>299</v>
      </c>
      <c r="D31" s="202" t="s">
        <v>299</v>
      </c>
      <c r="E31" s="202">
        <v>21592</v>
      </c>
      <c r="F31" s="202" t="s">
        <v>300</v>
      </c>
      <c r="G31" s="202">
        <v>0.14299999999999999</v>
      </c>
      <c r="H31" s="169" t="s">
        <v>301</v>
      </c>
    </row>
    <row r="33" spans="2:27">
      <c r="B33" s="111"/>
    </row>
    <row r="41" spans="2:27" ht="15.75" customHeight="1">
      <c r="L41" s="420" t="s">
        <v>306</v>
      </c>
      <c r="M41" s="418"/>
      <c r="N41" s="418"/>
      <c r="O41" s="418"/>
      <c r="P41" s="418"/>
      <c r="Q41" s="418"/>
      <c r="R41" s="418"/>
      <c r="S41" s="418"/>
      <c r="T41" s="418"/>
      <c r="U41" s="418"/>
      <c r="V41" s="418"/>
      <c r="W41" s="418"/>
      <c r="X41" s="419"/>
      <c r="Y41" s="417" t="s">
        <v>307</v>
      </c>
      <c r="Z41" s="418"/>
      <c r="AA41" s="419"/>
    </row>
    <row r="42" spans="2:27" ht="45">
      <c r="B42" s="216" t="s">
        <v>308</v>
      </c>
      <c r="C42" s="217" t="s">
        <v>309</v>
      </c>
      <c r="D42" s="217" t="s">
        <v>310</v>
      </c>
      <c r="E42" s="217" t="s">
        <v>311</v>
      </c>
      <c r="F42" s="217" t="s">
        <v>312</v>
      </c>
      <c r="G42" s="217" t="s">
        <v>313</v>
      </c>
      <c r="H42" s="217" t="s">
        <v>314</v>
      </c>
      <c r="I42" s="217" t="s">
        <v>315</v>
      </c>
      <c r="J42" s="217" t="s">
        <v>316</v>
      </c>
      <c r="K42" s="218" t="s">
        <v>317</v>
      </c>
      <c r="L42" s="218" t="s">
        <v>318</v>
      </c>
      <c r="M42" s="218" t="s">
        <v>319</v>
      </c>
      <c r="N42" s="218" t="s">
        <v>320</v>
      </c>
      <c r="O42" s="218" t="s">
        <v>321</v>
      </c>
      <c r="P42" s="218" t="s">
        <v>322</v>
      </c>
      <c r="Q42" s="218" t="s">
        <v>323</v>
      </c>
      <c r="R42" s="218" t="s">
        <v>324</v>
      </c>
      <c r="S42" s="218" t="s">
        <v>325</v>
      </c>
      <c r="T42" s="218" t="s">
        <v>326</v>
      </c>
      <c r="U42" s="218" t="s">
        <v>327</v>
      </c>
      <c r="V42" s="218" t="s">
        <v>328</v>
      </c>
      <c r="W42" s="219" t="s">
        <v>329</v>
      </c>
      <c r="X42" s="218" t="s">
        <v>330</v>
      </c>
      <c r="Y42" s="218" t="s">
        <v>331</v>
      </c>
      <c r="Z42" s="219" t="s">
        <v>332</v>
      </c>
      <c r="AA42" s="203" t="s">
        <v>30</v>
      </c>
    </row>
    <row r="43" spans="2:27" ht="15">
      <c r="B43" s="204" t="s">
        <v>333</v>
      </c>
      <c r="C43" s="205" t="s">
        <v>334</v>
      </c>
      <c r="D43" s="206">
        <v>74100</v>
      </c>
      <c r="E43" s="205" t="s">
        <v>335</v>
      </c>
      <c r="F43" s="205">
        <v>0.8296</v>
      </c>
      <c r="G43" s="206">
        <v>35.667201800000008</v>
      </c>
      <c r="H43" s="205" t="s">
        <v>336</v>
      </c>
      <c r="I43" s="206">
        <f>($D43*$G43*$F43)/(1000000)</f>
        <v>2.1925827364440487</v>
      </c>
      <c r="J43" s="205" t="s">
        <v>337</v>
      </c>
      <c r="K43" s="205">
        <v>4</v>
      </c>
      <c r="L43" s="205" t="s">
        <v>338</v>
      </c>
      <c r="M43" s="207">
        <f>($K43*$G43*$F43)/(1000000)</f>
        <v>1.1835804245312002E-4</v>
      </c>
      <c r="N43" s="205" t="s">
        <v>339</v>
      </c>
      <c r="O43" s="205"/>
      <c r="P43" s="205"/>
      <c r="Q43" s="206">
        <v>4</v>
      </c>
      <c r="R43" s="205" t="s">
        <v>340</v>
      </c>
      <c r="S43" s="207">
        <f>($Q43*$G43*$F43)/(1000000)</f>
        <v>1.1835804245312002E-4</v>
      </c>
      <c r="T43" s="205" t="s">
        <v>341</v>
      </c>
      <c r="U43" s="205"/>
      <c r="V43" s="205"/>
      <c r="W43" s="208">
        <v>5.1999999999999998E-2</v>
      </c>
      <c r="X43" s="206">
        <v>1.66</v>
      </c>
      <c r="Y43" s="205" t="s">
        <v>337</v>
      </c>
      <c r="Z43" s="206">
        <v>0.95</v>
      </c>
      <c r="AA43" s="209" t="s">
        <v>342</v>
      </c>
    </row>
    <row r="44" spans="2:27" ht="15">
      <c r="B44" s="210" t="s">
        <v>275</v>
      </c>
      <c r="C44" s="205" t="s">
        <v>334</v>
      </c>
      <c r="D44" s="206">
        <v>69300</v>
      </c>
      <c r="E44" s="205" t="s">
        <v>335</v>
      </c>
      <c r="F44" s="205">
        <v>0.74919999999999998</v>
      </c>
      <c r="G44" s="206">
        <v>32.854344200000007</v>
      </c>
      <c r="H44" s="205" t="s">
        <v>336</v>
      </c>
      <c r="I44" s="206">
        <f t="shared" ref="I44:I46" si="4">($D44*$G44*$F44)/(1000000)</f>
        <v>1.7057830949525521</v>
      </c>
      <c r="J44" s="205" t="s">
        <v>337</v>
      </c>
      <c r="K44" s="205">
        <v>8</v>
      </c>
      <c r="L44" s="205" t="s">
        <v>338</v>
      </c>
      <c r="M44" s="207">
        <f>($K44*$G44*$F44)/(1000000)</f>
        <v>1.9691579739712002E-4</v>
      </c>
      <c r="N44" s="205" t="s">
        <v>339</v>
      </c>
      <c r="O44" s="205"/>
      <c r="P44" s="205"/>
      <c r="Q44" s="206">
        <v>5</v>
      </c>
      <c r="R44" s="205" t="s">
        <v>340</v>
      </c>
      <c r="S44" s="207">
        <f>($Q44*$G44*$F44)/(1000000)</f>
        <v>1.2307237337320001E-4</v>
      </c>
      <c r="T44" s="205" t="s">
        <v>341</v>
      </c>
      <c r="U44" s="205"/>
      <c r="V44" s="205"/>
      <c r="W44" s="208">
        <v>9.7799999999999998E-2</v>
      </c>
      <c r="X44" s="206">
        <v>1.51</v>
      </c>
      <c r="Y44" s="205" t="s">
        <v>337</v>
      </c>
      <c r="Z44" s="206">
        <v>0.91</v>
      </c>
      <c r="AA44" s="209" t="s">
        <v>342</v>
      </c>
    </row>
    <row r="45" spans="2:27" ht="15">
      <c r="B45" s="204" t="s">
        <v>343</v>
      </c>
      <c r="C45" s="205" t="s">
        <v>334</v>
      </c>
      <c r="D45" s="206">
        <v>70800</v>
      </c>
      <c r="E45" s="205" t="s">
        <v>335</v>
      </c>
      <c r="F45" s="205">
        <v>0.79149999999999998</v>
      </c>
      <c r="G45" s="206">
        <v>26.789120000000004</v>
      </c>
      <c r="H45" s="205" t="s">
        <v>336</v>
      </c>
      <c r="I45" s="206">
        <f t="shared" si="4"/>
        <v>1.5012140643840002</v>
      </c>
      <c r="J45" s="205" t="s">
        <v>337</v>
      </c>
      <c r="K45" s="205">
        <v>10</v>
      </c>
      <c r="L45" s="205" t="s">
        <v>338</v>
      </c>
      <c r="M45" s="207">
        <f>($K45*$G45*$F45)/(1000000)</f>
        <v>2.1203588480000002E-4</v>
      </c>
      <c r="N45" s="205" t="s">
        <v>339</v>
      </c>
      <c r="O45" s="205"/>
      <c r="P45" s="205"/>
      <c r="Q45" s="206">
        <v>1</v>
      </c>
      <c r="R45" s="205" t="s">
        <v>340</v>
      </c>
      <c r="S45" s="207"/>
      <c r="T45" s="205" t="s">
        <v>341</v>
      </c>
      <c r="U45" s="205"/>
      <c r="V45" s="205"/>
      <c r="W45" s="206">
        <v>0</v>
      </c>
      <c r="X45" s="206">
        <v>0</v>
      </c>
      <c r="Y45" s="205" t="s">
        <v>337</v>
      </c>
      <c r="Z45" s="206">
        <v>1</v>
      </c>
      <c r="AA45" s="209" t="s">
        <v>342</v>
      </c>
    </row>
    <row r="46" spans="2:27" ht="15">
      <c r="B46" s="211" t="s">
        <v>344</v>
      </c>
      <c r="C46" s="212" t="s">
        <v>334</v>
      </c>
      <c r="D46" s="213">
        <v>70800</v>
      </c>
      <c r="E46" s="212" t="s">
        <v>335</v>
      </c>
      <c r="F46" s="212">
        <v>0.87</v>
      </c>
      <c r="G46" s="213">
        <v>39.765100000000011</v>
      </c>
      <c r="H46" s="212" t="s">
        <v>336</v>
      </c>
      <c r="I46" s="213">
        <f t="shared" si="4"/>
        <v>2.4493710996000009</v>
      </c>
      <c r="J46" s="212" t="s">
        <v>337</v>
      </c>
      <c r="K46" s="212">
        <v>10</v>
      </c>
      <c r="L46" s="212" t="s">
        <v>338</v>
      </c>
      <c r="M46" s="214">
        <f>($K46*$G46*$F46)/(1000000)</f>
        <v>3.4595637000000011E-4</v>
      </c>
      <c r="N46" s="212" t="s">
        <v>339</v>
      </c>
      <c r="O46" s="212"/>
      <c r="P46" s="212"/>
      <c r="Q46" s="213">
        <v>1</v>
      </c>
      <c r="R46" s="212" t="s">
        <v>340</v>
      </c>
      <c r="S46" s="214"/>
      <c r="T46" s="212" t="s">
        <v>341</v>
      </c>
      <c r="U46" s="212"/>
      <c r="V46" s="212"/>
      <c r="W46" s="213">
        <v>0</v>
      </c>
      <c r="X46" s="213">
        <v>0</v>
      </c>
      <c r="Y46" s="212" t="s">
        <v>337</v>
      </c>
      <c r="Z46" s="213">
        <v>1</v>
      </c>
      <c r="AA46" s="215" t="s">
        <v>342</v>
      </c>
    </row>
  </sheetData>
  <mergeCells count="4">
    <mergeCell ref="B2:K2"/>
    <mergeCell ref="Y41:AA41"/>
    <mergeCell ref="B21:H21"/>
    <mergeCell ref="L41:X41"/>
  </mergeCells>
  <hyperlinks>
    <hyperlink ref="B18" r:id="rId1" xr:uid="{3553B347-E5C4-4950-9330-D2420C3E4808}"/>
    <hyperlink ref="B19" r:id="rId2" xr:uid="{F58187E2-17B3-49FD-B562-1A1284AF1D8A}"/>
  </hyperlinks>
  <pageMargins left="0.7" right="0.7" top="0.75" bottom="0.75" header="0.3" footer="0.3"/>
  <drawing r:id="rId3"/>
  <legacyDrawing r:id="rId4"/>
  <tableParts count="3">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4C9E7-C13C-4D2A-9E8E-8FC40F2F88F5}">
  <sheetPr>
    <tabColor theme="8"/>
  </sheetPr>
  <dimension ref="B2:H16"/>
  <sheetViews>
    <sheetView zoomScale="119" zoomScaleNormal="70" workbookViewId="0">
      <selection activeCell="F4" sqref="F4"/>
    </sheetView>
  </sheetViews>
  <sheetFormatPr baseColWidth="10" defaultColWidth="11.5" defaultRowHeight="15"/>
  <cols>
    <col min="1" max="1" width="4" style="23" customWidth="1"/>
    <col min="2" max="2" width="23.83203125" style="23" customWidth="1"/>
    <col min="3" max="4" width="42.5" style="23" customWidth="1"/>
    <col min="5" max="5" width="42.83203125" style="23" customWidth="1"/>
    <col min="6" max="6" width="22.1640625" style="23" customWidth="1"/>
    <col min="7" max="7" width="23.5" style="23" customWidth="1"/>
    <col min="8" max="8" width="27.5" style="23" customWidth="1"/>
    <col min="9" max="16384" width="11.5" style="23"/>
  </cols>
  <sheetData>
    <row r="2" spans="2:8">
      <c r="B2" s="234"/>
      <c r="C2" s="66"/>
      <c r="D2" s="66"/>
      <c r="E2" s="235"/>
    </row>
    <row r="3" spans="2:8">
      <c r="B3" s="175" t="s">
        <v>345</v>
      </c>
      <c r="C3" s="98" t="s">
        <v>346</v>
      </c>
      <c r="D3" s="98" t="s">
        <v>30</v>
      </c>
      <c r="E3" s="99" t="s">
        <v>347</v>
      </c>
    </row>
    <row r="4" spans="2:8" ht="63.5" customHeight="1">
      <c r="B4" s="223" t="s">
        <v>348</v>
      </c>
      <c r="C4" s="221" t="s">
        <v>349</v>
      </c>
      <c r="D4" s="222" t="s">
        <v>350</v>
      </c>
      <c r="E4" s="224" t="s">
        <v>351</v>
      </c>
    </row>
    <row r="5" spans="2:8" ht="39.5" customHeight="1">
      <c r="B5" s="223" t="s">
        <v>352</v>
      </c>
      <c r="C5" s="221" t="s">
        <v>353</v>
      </c>
      <c r="D5" s="222" t="s">
        <v>350</v>
      </c>
      <c r="E5" s="224" t="s">
        <v>351</v>
      </c>
    </row>
    <row r="6" spans="2:8" ht="61.5" customHeight="1">
      <c r="B6" s="223" t="s">
        <v>354</v>
      </c>
      <c r="C6" s="221" t="s">
        <v>355</v>
      </c>
      <c r="D6" s="222" t="s">
        <v>356</v>
      </c>
      <c r="E6" s="224" t="s">
        <v>357</v>
      </c>
    </row>
    <row r="7" spans="2:8" ht="34" customHeight="1">
      <c r="B7" s="225" t="s">
        <v>358</v>
      </c>
      <c r="C7" s="179" t="s">
        <v>359</v>
      </c>
      <c r="D7" s="226" t="s">
        <v>360</v>
      </c>
      <c r="E7" s="82" t="s">
        <v>361</v>
      </c>
    </row>
    <row r="8" spans="2:8">
      <c r="E8" s="220"/>
    </row>
    <row r="9" spans="2:8">
      <c r="E9" s="220"/>
    </row>
    <row r="10" spans="2:8">
      <c r="E10" s="220"/>
    </row>
    <row r="11" spans="2:8">
      <c r="E11" s="220"/>
    </row>
    <row r="12" spans="2:8">
      <c r="E12" s="220"/>
    </row>
    <row r="13" spans="2:8">
      <c r="E13" s="220"/>
    </row>
    <row r="14" spans="2:8">
      <c r="B14" s="234"/>
      <c r="C14" s="66"/>
      <c r="D14" s="66"/>
      <c r="E14" s="236"/>
      <c r="F14" s="66"/>
      <c r="G14" s="66"/>
      <c r="H14" s="235"/>
    </row>
    <row r="15" spans="2:8" s="27" customFormat="1" ht="32">
      <c r="B15" s="231" t="s">
        <v>206</v>
      </c>
      <c r="C15" s="232" t="s">
        <v>362</v>
      </c>
      <c r="D15" s="232" t="s">
        <v>363</v>
      </c>
      <c r="E15" s="232" t="s">
        <v>364</v>
      </c>
      <c r="F15" s="232" t="s">
        <v>365</v>
      </c>
      <c r="G15" s="232" t="s">
        <v>366</v>
      </c>
      <c r="H15" s="233" t="s">
        <v>367</v>
      </c>
    </row>
    <row r="16" spans="2:8" ht="102.75" customHeight="1">
      <c r="B16" s="227">
        <v>2020</v>
      </c>
      <c r="C16" s="228">
        <v>26546</v>
      </c>
      <c r="D16" s="228">
        <v>9000</v>
      </c>
      <c r="E16" s="229" t="s">
        <v>368</v>
      </c>
      <c r="F16" s="228">
        <v>123332335620</v>
      </c>
      <c r="G16" s="229" t="s">
        <v>369</v>
      </c>
      <c r="H16" s="230" t="s">
        <v>370</v>
      </c>
    </row>
  </sheetData>
  <sortState xmlns:xlrd2="http://schemas.microsoft.com/office/spreadsheetml/2017/richdata2" ref="B3:B13">
    <sortCondition sortBy="icon" ref="B3:B13"/>
  </sortState>
  <hyperlinks>
    <hyperlink ref="D4" r:id="rId1" xr:uid="{36ADC398-0BF8-44D6-9FE5-DBEC87B6D671}"/>
    <hyperlink ref="D5" r:id="rId2" xr:uid="{39B5D17A-FF53-4130-9325-5BD6BF330B36}"/>
    <hyperlink ref="D6" r:id="rId3" xr:uid="{0750DD1B-DEDE-4D5D-BAC2-6E375E0E0A7A}"/>
    <hyperlink ref="D7" r:id="rId4" display="https://data.worldbank.org/" xr:uid="{B2198119-F0E0-447A-877F-C72CAC2AB45C}"/>
  </hyperlinks>
  <pageMargins left="0.7" right="0.7" top="0.75" bottom="0.75" header="0.3" footer="0.3"/>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BC9F-765D-427A-830F-6E426193C525}">
  <sheetPr>
    <tabColor rgb="FF7030A0"/>
  </sheetPr>
  <dimension ref="B2:N26"/>
  <sheetViews>
    <sheetView zoomScale="117" zoomScaleNormal="60" workbookViewId="0">
      <selection activeCell="H12" sqref="H12"/>
    </sheetView>
  </sheetViews>
  <sheetFormatPr baseColWidth="10" defaultColWidth="8.6640625" defaultRowHeight="14"/>
  <cols>
    <col min="1" max="1" width="4.5" style="1" customWidth="1"/>
    <col min="2" max="2" width="23" style="1" customWidth="1"/>
    <col min="3" max="3" width="30.33203125" style="1" bestFit="1" customWidth="1"/>
    <col min="4" max="4" width="8.6640625" style="1"/>
    <col min="5" max="5" width="15.5" style="1" bestFit="1" customWidth="1"/>
    <col min="6" max="6" width="18.1640625" style="1" customWidth="1"/>
    <col min="7" max="7" width="20.83203125" style="1" bestFit="1" customWidth="1"/>
    <col min="8" max="9" width="12.83203125" style="1" customWidth="1"/>
    <col min="10" max="10" width="16.33203125" style="1" customWidth="1"/>
    <col min="11" max="11" width="14.5" style="1" customWidth="1"/>
    <col min="12" max="12" width="12.5" style="19" customWidth="1"/>
    <col min="13" max="13" width="35.33203125" style="1" customWidth="1"/>
    <col min="14" max="14" width="46.6640625" style="1" customWidth="1"/>
    <col min="15" max="16384" width="8.6640625" style="1"/>
  </cols>
  <sheetData>
    <row r="2" spans="2:14" s="19" customFormat="1" ht="45.75" customHeight="1">
      <c r="B2" s="238" t="s">
        <v>371</v>
      </c>
      <c r="C2" s="238" t="s">
        <v>372</v>
      </c>
      <c r="D2" s="238" t="s">
        <v>125</v>
      </c>
      <c r="E2" s="238" t="s">
        <v>373</v>
      </c>
      <c r="F2" s="238" t="s">
        <v>374</v>
      </c>
      <c r="G2" s="238" t="s">
        <v>375</v>
      </c>
      <c r="H2" s="238" t="s">
        <v>376</v>
      </c>
      <c r="I2" s="238" t="s">
        <v>377</v>
      </c>
      <c r="J2" s="383" t="s">
        <v>378</v>
      </c>
      <c r="K2" s="238" t="s">
        <v>128</v>
      </c>
      <c r="L2" s="238" t="s">
        <v>379</v>
      </c>
      <c r="M2" s="238" t="s">
        <v>380</v>
      </c>
      <c r="N2" s="238" t="s">
        <v>273</v>
      </c>
    </row>
    <row r="3" spans="2:14" s="19" customFormat="1" ht="30">
      <c r="B3" s="39" t="s">
        <v>381</v>
      </c>
      <c r="C3" s="40" t="s">
        <v>382</v>
      </c>
      <c r="D3" s="40" t="s">
        <v>383</v>
      </c>
      <c r="E3" s="40" t="s">
        <v>384</v>
      </c>
      <c r="F3" s="40">
        <f>4135.9+5881.85</f>
        <v>10017.75</v>
      </c>
      <c r="G3" s="40" t="s">
        <v>385</v>
      </c>
      <c r="H3" s="40">
        <v>177316</v>
      </c>
      <c r="I3" s="40" t="s">
        <v>386</v>
      </c>
      <c r="J3" s="40">
        <f>F3/Tabla29[[#This Row],[Actividad utilizada ]]</f>
        <v>5.6496593652011096E-2</v>
      </c>
      <c r="K3" s="40" t="s">
        <v>387</v>
      </c>
      <c r="L3" s="40">
        <v>3</v>
      </c>
      <c r="M3" s="40" t="s">
        <v>388</v>
      </c>
      <c r="N3" s="237" t="s">
        <v>389</v>
      </c>
    </row>
    <row r="4" spans="2:14" s="19" customFormat="1" ht="30">
      <c r="B4" s="39" t="s">
        <v>381</v>
      </c>
      <c r="C4" s="40" t="s">
        <v>382</v>
      </c>
      <c r="D4" s="40" t="s">
        <v>383</v>
      </c>
      <c r="E4" s="40" t="s">
        <v>384</v>
      </c>
      <c r="F4" s="40">
        <v>229.08</v>
      </c>
      <c r="G4" s="40" t="s">
        <v>390</v>
      </c>
      <c r="H4" s="40">
        <v>177316</v>
      </c>
      <c r="I4" s="40" t="s">
        <v>386</v>
      </c>
      <c r="J4" s="40">
        <f>F4/Tabla29[[#This Row],[Actividad utilizada ]]</f>
        <v>1.2919307902276164E-3</v>
      </c>
      <c r="K4" s="40" t="s">
        <v>387</v>
      </c>
      <c r="L4" s="40">
        <v>3</v>
      </c>
      <c r="M4" s="40" t="s">
        <v>388</v>
      </c>
      <c r="N4" s="237" t="s">
        <v>389</v>
      </c>
    </row>
    <row r="5" spans="2:14" ht="45">
      <c r="B5" s="39" t="s">
        <v>391</v>
      </c>
      <c r="C5" s="40" t="s">
        <v>392</v>
      </c>
      <c r="D5" s="40" t="s">
        <v>295</v>
      </c>
      <c r="E5" s="40" t="s">
        <v>393</v>
      </c>
      <c r="F5" s="40">
        <f>155526+27240</f>
        <v>182766</v>
      </c>
      <c r="G5" s="40" t="s">
        <v>385</v>
      </c>
      <c r="H5" s="40">
        <v>1300000</v>
      </c>
      <c r="I5" s="40" t="s">
        <v>394</v>
      </c>
      <c r="J5" s="40">
        <f>F5/Tabla29[[#This Row],[Actividad utilizada ]]</f>
        <v>0.14058923076923077</v>
      </c>
      <c r="K5" s="40" t="s">
        <v>395</v>
      </c>
      <c r="L5" s="40">
        <v>2</v>
      </c>
      <c r="M5" s="40" t="s">
        <v>396</v>
      </c>
      <c r="N5" s="237" t="s">
        <v>397</v>
      </c>
    </row>
    <row r="6" spans="2:14" ht="45">
      <c r="B6" s="39" t="s">
        <v>398</v>
      </c>
      <c r="C6" s="40" t="s">
        <v>399</v>
      </c>
      <c r="D6" s="40" t="s">
        <v>400</v>
      </c>
      <c r="E6" s="40" t="s">
        <v>393</v>
      </c>
      <c r="F6" s="40">
        <v>11.06</v>
      </c>
      <c r="G6" s="40" t="s">
        <v>385</v>
      </c>
      <c r="H6" s="40">
        <v>145000</v>
      </c>
      <c r="I6" s="40" t="s">
        <v>401</v>
      </c>
      <c r="J6" s="40">
        <f>F6/Tabla29[[#This Row],[Actividad utilizada ]]</f>
        <v>7.6275862068965526E-5</v>
      </c>
      <c r="K6" s="11" t="s">
        <v>402</v>
      </c>
      <c r="L6" s="40">
        <v>2</v>
      </c>
      <c r="M6" s="40" t="s">
        <v>403</v>
      </c>
      <c r="N6" s="237" t="s">
        <v>404</v>
      </c>
    </row>
    <row r="7" spans="2:14" ht="45">
      <c r="B7" s="39" t="s">
        <v>398</v>
      </c>
      <c r="C7" s="40" t="s">
        <v>399</v>
      </c>
      <c r="D7" s="40" t="s">
        <v>400</v>
      </c>
      <c r="E7" s="40" t="s">
        <v>393</v>
      </c>
      <c r="F7" s="40">
        <v>52.73</v>
      </c>
      <c r="G7" s="40" t="s">
        <v>390</v>
      </c>
      <c r="H7" s="40">
        <v>145000</v>
      </c>
      <c r="I7" s="40" t="s">
        <v>401</v>
      </c>
      <c r="J7" s="40">
        <f>F7/Tabla29[[#This Row],[Actividad utilizada ]]</f>
        <v>3.636551724137931E-4</v>
      </c>
      <c r="K7" s="11" t="s">
        <v>402</v>
      </c>
      <c r="L7" s="40">
        <v>2</v>
      </c>
      <c r="M7" s="40" t="s">
        <v>403</v>
      </c>
      <c r="N7" s="237" t="s">
        <v>404</v>
      </c>
    </row>
    <row r="8" spans="2:14" ht="45">
      <c r="B8" s="39" t="s">
        <v>398</v>
      </c>
      <c r="C8" s="40" t="s">
        <v>405</v>
      </c>
      <c r="D8" s="40" t="s">
        <v>400</v>
      </c>
      <c r="E8" s="40" t="s">
        <v>393</v>
      </c>
      <c r="F8" s="40">
        <v>1174.8</v>
      </c>
      <c r="G8" s="40" t="s">
        <v>385</v>
      </c>
      <c r="H8" s="40">
        <v>1103000</v>
      </c>
      <c r="I8" s="40" t="s">
        <v>401</v>
      </c>
      <c r="J8" s="40">
        <f>F8/Tabla29[[#This Row],[Actividad utilizada ]]</f>
        <v>1.0650951949229374E-3</v>
      </c>
      <c r="K8" s="11" t="s">
        <v>402</v>
      </c>
      <c r="L8" s="40">
        <v>2</v>
      </c>
      <c r="M8" s="40" t="s">
        <v>403</v>
      </c>
      <c r="N8" s="237" t="s">
        <v>404</v>
      </c>
    </row>
    <row r="9" spans="2:14" ht="45">
      <c r="B9" s="39" t="s">
        <v>398</v>
      </c>
      <c r="C9" s="39" t="s">
        <v>405</v>
      </c>
      <c r="D9" s="39" t="s">
        <v>400</v>
      </c>
      <c r="E9" s="39" t="s">
        <v>393</v>
      </c>
      <c r="F9" s="40">
        <v>133331.29999999999</v>
      </c>
      <c r="G9" s="40" t="s">
        <v>390</v>
      </c>
      <c r="H9" s="40">
        <v>1103000</v>
      </c>
      <c r="I9" s="40" t="s">
        <v>401</v>
      </c>
      <c r="J9" s="40">
        <f>F9/Tabla29[[#This Row],[Actividad utilizada ]]</f>
        <v>0.12088059836808702</v>
      </c>
      <c r="K9" s="40" t="s">
        <v>402</v>
      </c>
      <c r="L9" s="40">
        <v>2</v>
      </c>
      <c r="M9" s="40" t="s">
        <v>403</v>
      </c>
      <c r="N9" s="237" t="s">
        <v>404</v>
      </c>
    </row>
    <row r="26" spans="2:2">
      <c r="B26" s="131"/>
    </row>
  </sheetData>
  <hyperlinks>
    <hyperlink ref="N5" r:id="rId1" xr:uid="{9453FD8C-6811-4B88-9718-A063310266D8}"/>
    <hyperlink ref="N3" r:id="rId2" xr:uid="{23D5BD6F-BDFF-42B0-9C25-8389958CD8AE}"/>
    <hyperlink ref="N4" r:id="rId3" xr:uid="{626E8BD0-6590-4CFE-8E3B-FE30E43AD502}"/>
    <hyperlink ref="N6" r:id="rId4" xr:uid="{7DFAC2ED-7734-4D8C-A6CE-9E53C17476F4}"/>
    <hyperlink ref="N7" r:id="rId5" xr:uid="{4D7D580C-71AF-4DFD-B25A-F3B25AA3E2D7}"/>
    <hyperlink ref="N8" r:id="rId6" xr:uid="{41EC42DE-3426-421B-8F2F-1F643235B7FB}"/>
    <hyperlink ref="N9" r:id="rId7" xr:uid="{E1BAA8F7-B6C5-40F1-9EA6-D9982B80EDBE}"/>
  </hyperlinks>
  <pageMargins left="0.7" right="0.7" top="0.75" bottom="0.75" header="0.3" footer="0.3"/>
  <drawing r:id="rId8"/>
  <tableParts count="1">
    <tablePart r:id="rId9"/>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BC83B-8806-4FD9-93DB-7CBD7EF7539D}">
  <sheetPr>
    <tabColor theme="5" tint="0.79998168889431442"/>
  </sheetPr>
  <dimension ref="B2:O74"/>
  <sheetViews>
    <sheetView zoomScale="91" workbookViewId="0">
      <selection activeCell="P9" sqref="P9"/>
    </sheetView>
  </sheetViews>
  <sheetFormatPr baseColWidth="10" defaultColWidth="8.6640625" defaultRowHeight="14"/>
  <cols>
    <col min="1" max="1" width="5.6640625" style="1" customWidth="1"/>
    <col min="2" max="2" width="30.6640625" style="1" customWidth="1"/>
    <col min="3" max="3" width="23.83203125" style="1" customWidth="1"/>
    <col min="4" max="4" width="26.5" style="1" customWidth="1"/>
    <col min="5" max="5" width="30.6640625" style="1" customWidth="1"/>
    <col min="6" max="6" width="28" style="1" customWidth="1"/>
    <col min="7" max="7" width="16.1640625" style="1" customWidth="1"/>
    <col min="8" max="8" width="17.5" style="1" customWidth="1"/>
    <col min="9" max="10" width="30.6640625" style="1" customWidth="1"/>
    <col min="11" max="11" width="25.1640625" style="1" customWidth="1"/>
    <col min="12" max="12" width="24" style="1" customWidth="1"/>
    <col min="13" max="13" width="22.33203125" style="1" customWidth="1"/>
    <col min="14" max="14" width="20.6640625" style="1" customWidth="1"/>
    <col min="15" max="15" width="21" style="1" customWidth="1"/>
    <col min="16" max="16" width="23" style="1" customWidth="1"/>
    <col min="17" max="17" width="24.83203125" style="1" customWidth="1"/>
    <col min="18" max="18" width="22.83203125" style="1" customWidth="1"/>
    <col min="19" max="19" width="20.83203125" style="1" customWidth="1"/>
    <col min="20" max="16384" width="8.6640625" style="1"/>
  </cols>
  <sheetData>
    <row r="2" spans="2:15">
      <c r="B2" s="425" t="s">
        <v>406</v>
      </c>
      <c r="C2" s="425"/>
      <c r="D2" s="425"/>
      <c r="E2" s="425"/>
      <c r="F2" s="425"/>
      <c r="G2" s="425"/>
      <c r="H2" s="425"/>
      <c r="I2" s="425"/>
      <c r="J2" s="425"/>
      <c r="K2" s="425"/>
      <c r="L2" s="425"/>
      <c r="M2" s="425"/>
      <c r="N2" s="425"/>
      <c r="O2" s="425"/>
    </row>
    <row r="3" spans="2:15">
      <c r="B3" s="242"/>
      <c r="C3" s="242"/>
      <c r="D3" s="242"/>
      <c r="E3" s="242"/>
      <c r="F3" s="242"/>
      <c r="G3" s="242"/>
      <c r="H3" s="242"/>
      <c r="I3" s="242"/>
      <c r="J3" s="242"/>
      <c r="K3" s="242"/>
      <c r="L3" s="242"/>
      <c r="M3" s="242"/>
      <c r="N3" s="242"/>
      <c r="O3" s="242"/>
    </row>
    <row r="4" spans="2:15">
      <c r="B4" s="111" t="s">
        <v>407</v>
      </c>
      <c r="H4" s="111" t="s">
        <v>408</v>
      </c>
      <c r="L4" s="111" t="s">
        <v>409</v>
      </c>
    </row>
    <row r="5" spans="2:15" ht="15">
      <c r="B5" s="239" t="s">
        <v>410</v>
      </c>
      <c r="C5" s="9" t="s">
        <v>411</v>
      </c>
      <c r="D5" s="240" t="s">
        <v>412</v>
      </c>
      <c r="E5" s="9" t="s">
        <v>413</v>
      </c>
      <c r="F5" s="241" t="s">
        <v>414</v>
      </c>
      <c r="H5" s="255" t="s">
        <v>415</v>
      </c>
      <c r="I5" s="256" t="s">
        <v>416</v>
      </c>
      <c r="J5" s="257" t="s">
        <v>417</v>
      </c>
      <c r="L5" s="175" t="s">
        <v>30</v>
      </c>
      <c r="M5" s="98" t="s">
        <v>418</v>
      </c>
      <c r="N5" s="98" t="s">
        <v>419</v>
      </c>
      <c r="O5" s="99" t="s">
        <v>347</v>
      </c>
    </row>
    <row r="6" spans="2:15" ht="90">
      <c r="B6" s="135" t="s">
        <v>420</v>
      </c>
      <c r="C6" s="243">
        <v>0.43</v>
      </c>
      <c r="D6" s="147" t="s">
        <v>421</v>
      </c>
      <c r="E6" s="181" t="s">
        <v>422</v>
      </c>
      <c r="F6" s="195" t="s">
        <v>423</v>
      </c>
      <c r="H6" s="245" t="s">
        <v>424</v>
      </c>
      <c r="I6" s="147" t="s">
        <v>425</v>
      </c>
      <c r="J6" s="195" t="s">
        <v>426</v>
      </c>
      <c r="L6" s="260" t="s">
        <v>420</v>
      </c>
      <c r="M6" s="258">
        <f>43/60</f>
        <v>0.71666666666666667</v>
      </c>
      <c r="N6" s="259">
        <f>3595*$M6</f>
        <v>2576.4166666666665</v>
      </c>
      <c r="O6" s="261" t="s">
        <v>427</v>
      </c>
    </row>
    <row r="7" spans="2:15" ht="45">
      <c r="B7" s="135" t="s">
        <v>428</v>
      </c>
      <c r="C7" s="244">
        <v>0.4</v>
      </c>
      <c r="D7" s="147" t="s">
        <v>429</v>
      </c>
      <c r="E7" s="181" t="s">
        <v>430</v>
      </c>
      <c r="F7" s="195" t="s">
        <v>431</v>
      </c>
      <c r="H7" s="245" t="s">
        <v>432</v>
      </c>
      <c r="I7" s="147" t="s">
        <v>433</v>
      </c>
      <c r="J7" s="195" t="s">
        <v>434</v>
      </c>
      <c r="L7" s="260" t="s">
        <v>435</v>
      </c>
      <c r="M7" s="258">
        <f>13/60</f>
        <v>0.21666666666666667</v>
      </c>
      <c r="N7" s="258">
        <f>3595*$M7</f>
        <v>778.91666666666674</v>
      </c>
      <c r="O7" s="261" t="s">
        <v>436</v>
      </c>
    </row>
    <row r="8" spans="2:15" ht="60">
      <c r="B8" s="135" t="s">
        <v>437</v>
      </c>
      <c r="C8" s="243">
        <v>0.13</v>
      </c>
      <c r="D8" s="147" t="s">
        <v>438</v>
      </c>
      <c r="E8" s="181" t="s">
        <v>430</v>
      </c>
      <c r="F8" s="195" t="s">
        <v>439</v>
      </c>
      <c r="H8" s="247" t="s">
        <v>440</v>
      </c>
      <c r="I8" s="165" t="s">
        <v>441</v>
      </c>
      <c r="J8" s="197" t="s">
        <v>442</v>
      </c>
      <c r="L8" s="260" t="s">
        <v>191</v>
      </c>
      <c r="M8" s="258">
        <f>4/60</f>
        <v>6.6666666666666666E-2</v>
      </c>
      <c r="N8" s="258">
        <f>$M8*3595</f>
        <v>239.66666666666666</v>
      </c>
      <c r="O8" s="261" t="s">
        <v>436</v>
      </c>
    </row>
    <row r="9" spans="2:15" ht="108.75" customHeight="1">
      <c r="B9" s="135" t="s">
        <v>443</v>
      </c>
      <c r="C9" s="243">
        <v>0.04</v>
      </c>
      <c r="D9" s="147" t="s">
        <v>444</v>
      </c>
      <c r="E9" s="181" t="s">
        <v>430</v>
      </c>
      <c r="F9" s="195" t="s">
        <v>445</v>
      </c>
      <c r="H9" s="254" t="s">
        <v>446</v>
      </c>
      <c r="I9" s="424" t="s">
        <v>447</v>
      </c>
      <c r="J9" s="424"/>
      <c r="L9" s="262" t="s">
        <v>448</v>
      </c>
      <c r="M9" s="263">
        <f>SUM(M6:M8)</f>
        <v>1</v>
      </c>
      <c r="N9" s="264">
        <f>SUM(N6:N8)</f>
        <v>3594.9999999999995</v>
      </c>
      <c r="O9" s="265" t="s">
        <v>449</v>
      </c>
    </row>
    <row r="10" spans="2:15" ht="15" customHeight="1">
      <c r="B10" s="249" t="s">
        <v>448</v>
      </c>
      <c r="C10" s="250">
        <v>1</v>
      </c>
      <c r="D10" s="251" t="s">
        <v>449</v>
      </c>
      <c r="E10" s="252" t="s">
        <v>449</v>
      </c>
      <c r="F10" s="253" t="s">
        <v>449</v>
      </c>
      <c r="M10" s="180"/>
      <c r="N10" s="180"/>
      <c r="O10" s="180"/>
    </row>
    <row r="11" spans="2:15" ht="30">
      <c r="B11" s="245" t="s">
        <v>450</v>
      </c>
      <c r="C11" s="243">
        <f>C6+C8+C9</f>
        <v>0.60000000000000009</v>
      </c>
      <c r="D11" s="147" t="s">
        <v>451</v>
      </c>
      <c r="E11" s="181"/>
      <c r="F11" s="195" t="s">
        <v>452</v>
      </c>
    </row>
    <row r="12" spans="2:15" ht="30">
      <c r="B12" s="245" t="s">
        <v>453</v>
      </c>
      <c r="C12" s="246">
        <v>5992</v>
      </c>
      <c r="D12" s="147"/>
      <c r="E12" s="181"/>
      <c r="F12" s="195"/>
    </row>
    <row r="13" spans="2:15" ht="30">
      <c r="B13" s="247" t="s">
        <v>454</v>
      </c>
      <c r="C13" s="248">
        <f>C12*C11</f>
        <v>3595.2000000000007</v>
      </c>
      <c r="D13" s="165"/>
      <c r="E13" s="196"/>
      <c r="F13" s="197"/>
    </row>
    <row r="14" spans="2:15">
      <c r="B14" s="156" t="s">
        <v>30</v>
      </c>
      <c r="C14" s="121" t="s">
        <v>455</v>
      </c>
    </row>
    <row r="16" spans="2:15">
      <c r="B16" s="111" t="s">
        <v>456</v>
      </c>
      <c r="G16" s="111" t="s">
        <v>457</v>
      </c>
    </row>
    <row r="17" spans="2:15" ht="15">
      <c r="B17" s="266" t="s">
        <v>458</v>
      </c>
      <c r="C17" s="267" t="s">
        <v>416</v>
      </c>
      <c r="D17" s="268" t="s">
        <v>459</v>
      </c>
      <c r="E17" s="269" t="s">
        <v>460</v>
      </c>
      <c r="G17" s="270" t="s">
        <v>461</v>
      </c>
      <c r="H17" s="271" t="s">
        <v>462</v>
      </c>
      <c r="I17" s="271" t="s">
        <v>463</v>
      </c>
      <c r="J17" s="271" t="s">
        <v>464</v>
      </c>
      <c r="K17" s="271" t="s">
        <v>465</v>
      </c>
      <c r="L17" s="272" t="s">
        <v>466</v>
      </c>
    </row>
    <row r="18" spans="2:15" ht="60">
      <c r="B18" s="276" t="s">
        <v>467</v>
      </c>
      <c r="C18" s="277">
        <f>5990*0.6</f>
        <v>3594</v>
      </c>
      <c r="D18" s="277" t="s">
        <v>468</v>
      </c>
      <c r="E18" s="278" t="s">
        <v>469</v>
      </c>
      <c r="G18" s="135" t="s">
        <v>470</v>
      </c>
      <c r="H18" s="246" t="e">
        <f>#REF!/#REF!</f>
        <v>#REF!</v>
      </c>
      <c r="I18" s="181" t="e">
        <f>#REF!/#REF!</f>
        <v>#REF!</v>
      </c>
      <c r="J18" s="181" t="e">
        <f>#REF!/#REF!</f>
        <v>#REF!</v>
      </c>
      <c r="K18" s="246" t="e">
        <f>H18+I18+J18</f>
        <v>#REF!</v>
      </c>
      <c r="L18" s="273" t="e">
        <f>K18/1000</f>
        <v>#REF!</v>
      </c>
    </row>
    <row r="19" spans="2:15" ht="15">
      <c r="B19" s="279" t="s">
        <v>471</v>
      </c>
      <c r="C19" s="280">
        <v>1.163E-3</v>
      </c>
      <c r="D19" s="281" t="s">
        <v>472</v>
      </c>
      <c r="E19" s="282" t="s">
        <v>473</v>
      </c>
      <c r="G19" s="138" t="s">
        <v>474</v>
      </c>
      <c r="H19" s="274" t="e">
        <f>#REF!/#REF!</f>
        <v>#REF!</v>
      </c>
      <c r="I19" s="196" t="e">
        <f>#REF!/#REF!</f>
        <v>#REF!</v>
      </c>
      <c r="J19" s="196" t="e">
        <f>#REF!/#REF!</f>
        <v>#REF!</v>
      </c>
      <c r="K19" s="274" t="e">
        <f>SUM(H19:J19)</f>
        <v>#REF!</v>
      </c>
      <c r="L19" s="275" t="e">
        <f>K19/1000</f>
        <v>#REF!</v>
      </c>
    </row>
    <row r="20" spans="2:15" ht="30">
      <c r="B20" s="279" t="s">
        <v>475</v>
      </c>
      <c r="C20" s="280">
        <v>277777.78000000003</v>
      </c>
      <c r="D20" s="281" t="s">
        <v>476</v>
      </c>
      <c r="E20" s="282" t="s">
        <v>477</v>
      </c>
    </row>
    <row r="21" spans="2:15" ht="15">
      <c r="B21" s="279" t="s">
        <v>478</v>
      </c>
      <c r="C21" s="280">
        <v>27.2</v>
      </c>
      <c r="D21" s="281" t="s">
        <v>479</v>
      </c>
      <c r="E21" s="282" t="s">
        <v>480</v>
      </c>
    </row>
    <row r="22" spans="2:15" ht="15">
      <c r="B22" s="279" t="s">
        <v>481</v>
      </c>
      <c r="C22" s="280">
        <v>273</v>
      </c>
      <c r="D22" s="281" t="s">
        <v>482</v>
      </c>
      <c r="E22" s="282" t="s">
        <v>480</v>
      </c>
    </row>
    <row r="23" spans="2:15" ht="15">
      <c r="B23" s="279" t="s">
        <v>483</v>
      </c>
      <c r="C23" s="283">
        <v>63100</v>
      </c>
      <c r="D23" s="281" t="s">
        <v>484</v>
      </c>
      <c r="E23" s="282" t="s">
        <v>485</v>
      </c>
    </row>
    <row r="24" spans="2:15" ht="30">
      <c r="B24" s="279" t="s">
        <v>486</v>
      </c>
      <c r="C24" s="284">
        <v>1.1000000000000001</v>
      </c>
      <c r="D24" s="281" t="s">
        <v>484</v>
      </c>
      <c r="E24" s="282" t="s">
        <v>487</v>
      </c>
    </row>
    <row r="25" spans="2:15" ht="15">
      <c r="B25" s="279" t="s">
        <v>488</v>
      </c>
      <c r="C25" s="284">
        <v>0.1</v>
      </c>
      <c r="D25" s="281" t="s">
        <v>484</v>
      </c>
      <c r="E25" s="282" t="s">
        <v>489</v>
      </c>
    </row>
    <row r="26" spans="2:15" ht="15">
      <c r="B26" s="279" t="s">
        <v>490</v>
      </c>
      <c r="C26" s="283">
        <v>56100</v>
      </c>
      <c r="D26" s="281" t="s">
        <v>484</v>
      </c>
      <c r="E26" s="282" t="s">
        <v>491</v>
      </c>
    </row>
    <row r="27" spans="2:15" ht="30">
      <c r="B27" s="279" t="s">
        <v>492</v>
      </c>
      <c r="C27" s="284">
        <v>1</v>
      </c>
      <c r="D27" s="281" t="s">
        <v>484</v>
      </c>
      <c r="E27" s="282" t="s">
        <v>493</v>
      </c>
    </row>
    <row r="28" spans="2:15" ht="15">
      <c r="B28" s="279" t="s">
        <v>494</v>
      </c>
      <c r="C28" s="284">
        <v>0.1</v>
      </c>
      <c r="D28" s="281" t="s">
        <v>484</v>
      </c>
      <c r="E28" s="282" t="s">
        <v>491</v>
      </c>
    </row>
    <row r="29" spans="2:15" ht="15">
      <c r="B29" s="279" t="s">
        <v>495</v>
      </c>
      <c r="C29" s="283">
        <v>10927</v>
      </c>
      <c r="D29" s="281" t="s">
        <v>496</v>
      </c>
      <c r="E29" s="282" t="s">
        <v>497</v>
      </c>
    </row>
    <row r="30" spans="2:15" ht="15">
      <c r="B30" s="285" t="s">
        <v>498</v>
      </c>
      <c r="C30" s="286">
        <v>8300</v>
      </c>
      <c r="D30" s="287" t="s">
        <v>499</v>
      </c>
      <c r="E30" s="288" t="s">
        <v>500</v>
      </c>
    </row>
    <row r="31" spans="2:15">
      <c r="C31" s="118"/>
    </row>
    <row r="32" spans="2:15">
      <c r="B32" s="425" t="s">
        <v>501</v>
      </c>
      <c r="C32" s="425"/>
      <c r="D32" s="425"/>
      <c r="E32" s="425"/>
      <c r="F32" s="425"/>
      <c r="G32" s="425"/>
      <c r="H32" s="425"/>
      <c r="I32" s="425"/>
      <c r="J32" s="425"/>
      <c r="K32" s="425"/>
      <c r="L32" s="425"/>
      <c r="M32" s="425"/>
      <c r="N32" s="425"/>
      <c r="O32" s="425"/>
    </row>
    <row r="34" spans="2:12">
      <c r="B34" s="111" t="s">
        <v>502</v>
      </c>
      <c r="H34" s="111" t="s">
        <v>503</v>
      </c>
    </row>
    <row r="35" spans="2:12">
      <c r="B35" s="270" t="s">
        <v>504</v>
      </c>
      <c r="C35" s="271" t="s">
        <v>505</v>
      </c>
      <c r="D35" s="271" t="s">
        <v>506</v>
      </c>
      <c r="E35" s="271" t="s">
        <v>507</v>
      </c>
      <c r="F35" s="272" t="s">
        <v>508</v>
      </c>
      <c r="H35" s="270" t="s">
        <v>504</v>
      </c>
      <c r="I35" s="271" t="s">
        <v>509</v>
      </c>
      <c r="J35" s="271" t="s">
        <v>510</v>
      </c>
      <c r="K35" s="271" t="s">
        <v>511</v>
      </c>
      <c r="L35" s="272" t="s">
        <v>512</v>
      </c>
    </row>
    <row r="36" spans="2:12">
      <c r="B36" s="185" t="s">
        <v>513</v>
      </c>
      <c r="C36" s="181">
        <v>32.6</v>
      </c>
      <c r="D36" s="181">
        <v>33.4</v>
      </c>
      <c r="E36" s="246">
        <v>66</v>
      </c>
      <c r="F36" s="273">
        <v>73.2</v>
      </c>
      <c r="H36" s="185" t="s">
        <v>513</v>
      </c>
      <c r="I36" s="181">
        <v>380.1</v>
      </c>
      <c r="J36" s="181">
        <v>493.2</v>
      </c>
      <c r="K36" s="246">
        <v>873.3</v>
      </c>
      <c r="L36" s="273">
        <v>3.2</v>
      </c>
    </row>
    <row r="37" spans="2:12">
      <c r="B37" s="185" t="s">
        <v>514</v>
      </c>
      <c r="C37" s="181">
        <v>20.5</v>
      </c>
      <c r="D37" s="181">
        <v>14.2</v>
      </c>
      <c r="E37" s="246">
        <v>34.700000000000003</v>
      </c>
      <c r="F37" s="273">
        <v>64.7</v>
      </c>
      <c r="H37" s="185" t="s">
        <v>514</v>
      </c>
      <c r="I37" s="181">
        <v>361.7</v>
      </c>
      <c r="J37" s="181">
        <v>261.39999999999998</v>
      </c>
      <c r="K37" s="246">
        <v>623.1</v>
      </c>
      <c r="L37" s="273">
        <v>3</v>
      </c>
    </row>
    <row r="38" spans="2:12">
      <c r="B38" s="289" t="s">
        <v>515</v>
      </c>
      <c r="C38" s="290">
        <v>30.9</v>
      </c>
      <c r="D38" s="290">
        <v>30.6</v>
      </c>
      <c r="E38" s="291">
        <v>61.5</v>
      </c>
      <c r="F38" s="292">
        <v>71.900000000000006</v>
      </c>
      <c r="H38" s="289" t="s">
        <v>515</v>
      </c>
      <c r="I38" s="290">
        <v>377.4</v>
      </c>
      <c r="J38" s="290">
        <v>469.3</v>
      </c>
      <c r="K38" s="291">
        <v>837.2</v>
      </c>
      <c r="L38" s="292">
        <v>3.1</v>
      </c>
    </row>
    <row r="40" spans="2:12">
      <c r="B40" s="156" t="s">
        <v>516</v>
      </c>
      <c r="C40" s="108" t="s">
        <v>517</v>
      </c>
    </row>
    <row r="41" spans="2:12">
      <c r="C41" s="121" t="s">
        <v>518</v>
      </c>
    </row>
    <row r="43" spans="2:12" ht="66.75" customHeight="1">
      <c r="B43" s="293" t="s">
        <v>519</v>
      </c>
      <c r="C43" s="424" t="s">
        <v>520</v>
      </c>
      <c r="D43" s="424"/>
      <c r="E43" s="424"/>
      <c r="F43" s="424"/>
    </row>
    <row r="44" spans="2:12" ht="17.25" customHeight="1">
      <c r="B44" s="293"/>
      <c r="C44" s="17"/>
      <c r="D44" s="17"/>
      <c r="E44" s="17"/>
      <c r="F44" s="17"/>
    </row>
    <row r="45" spans="2:12" ht="24" customHeight="1">
      <c r="B45" s="111" t="s">
        <v>504</v>
      </c>
    </row>
    <row r="46" spans="2:12">
      <c r="B46" s="270" t="s">
        <v>504</v>
      </c>
      <c r="C46" s="271" t="s">
        <v>521</v>
      </c>
      <c r="D46" s="271" t="s">
        <v>522</v>
      </c>
      <c r="E46" s="271" t="s">
        <v>4</v>
      </c>
      <c r="F46" s="272" t="s">
        <v>523</v>
      </c>
    </row>
    <row r="47" spans="2:12" ht="30">
      <c r="B47" s="245" t="s">
        <v>524</v>
      </c>
      <c r="C47" s="181">
        <v>62</v>
      </c>
      <c r="D47" s="147" t="s">
        <v>525</v>
      </c>
      <c r="E47" s="294" t="s">
        <v>526</v>
      </c>
      <c r="F47" s="295" t="s">
        <v>527</v>
      </c>
    </row>
    <row r="48" spans="2:12" ht="60">
      <c r="B48" s="245" t="s">
        <v>528</v>
      </c>
      <c r="C48" s="181">
        <v>58</v>
      </c>
      <c r="D48" s="147" t="s">
        <v>529</v>
      </c>
      <c r="E48" s="296" t="s">
        <v>530</v>
      </c>
      <c r="F48" s="195" t="s">
        <v>531</v>
      </c>
    </row>
    <row r="49" spans="2:10" ht="105">
      <c r="B49" s="245" t="s">
        <v>532</v>
      </c>
      <c r="C49" s="181">
        <v>59</v>
      </c>
      <c r="D49" s="147" t="s">
        <v>533</v>
      </c>
      <c r="E49" s="296" t="s">
        <v>534</v>
      </c>
      <c r="F49" s="195" t="s">
        <v>535</v>
      </c>
    </row>
    <row r="50" spans="2:10" ht="105">
      <c r="B50" s="245" t="s">
        <v>536</v>
      </c>
      <c r="C50" s="181">
        <v>68</v>
      </c>
      <c r="D50" s="147" t="s">
        <v>533</v>
      </c>
      <c r="E50" s="296" t="s">
        <v>534</v>
      </c>
      <c r="F50" s="195" t="s">
        <v>535</v>
      </c>
    </row>
    <row r="51" spans="2:10" ht="60">
      <c r="B51" s="245" t="s">
        <v>537</v>
      </c>
      <c r="C51" s="181">
        <v>171</v>
      </c>
      <c r="D51" s="147" t="s">
        <v>538</v>
      </c>
      <c r="E51" s="296" t="s">
        <v>530</v>
      </c>
      <c r="F51" s="195" t="s">
        <v>539</v>
      </c>
    </row>
    <row r="52" spans="2:10" ht="135">
      <c r="B52" s="245" t="s">
        <v>540</v>
      </c>
      <c r="C52" s="181">
        <v>102.5</v>
      </c>
      <c r="D52" s="147" t="s">
        <v>533</v>
      </c>
      <c r="E52" s="296" t="s">
        <v>541</v>
      </c>
      <c r="F52" s="295" t="s">
        <v>542</v>
      </c>
    </row>
    <row r="53" spans="2:10" ht="60">
      <c r="B53" s="247" t="s">
        <v>543</v>
      </c>
      <c r="C53" s="196">
        <v>66.7</v>
      </c>
      <c r="D53" s="165" t="s">
        <v>544</v>
      </c>
      <c r="E53" s="297" t="s">
        <v>526</v>
      </c>
      <c r="F53" s="275"/>
    </row>
    <row r="55" spans="2:10">
      <c r="B55" s="111" t="s">
        <v>545</v>
      </c>
    </row>
    <row r="56" spans="2:10" ht="15">
      <c r="B56" s="255" t="s">
        <v>546</v>
      </c>
      <c r="C56" s="256" t="s">
        <v>547</v>
      </c>
      <c r="D56" s="256" t="s">
        <v>548</v>
      </c>
      <c r="E56" s="271" t="s">
        <v>549</v>
      </c>
      <c r="F56" s="271" t="s">
        <v>550</v>
      </c>
      <c r="G56" s="271" t="s">
        <v>551</v>
      </c>
      <c r="H56" s="271" t="s">
        <v>552</v>
      </c>
      <c r="I56" s="257" t="s">
        <v>553</v>
      </c>
      <c r="J56" s="271" t="s">
        <v>554</v>
      </c>
    </row>
    <row r="57" spans="2:10" ht="75">
      <c r="B57" s="245" t="s">
        <v>555</v>
      </c>
      <c r="C57" s="147" t="s">
        <v>556</v>
      </c>
      <c r="D57" s="147" t="s">
        <v>557</v>
      </c>
      <c r="E57" s="181" t="s">
        <v>449</v>
      </c>
      <c r="F57" s="181" t="s">
        <v>449</v>
      </c>
      <c r="G57" s="181" t="s">
        <v>449</v>
      </c>
      <c r="H57" s="181" t="s">
        <v>449</v>
      </c>
      <c r="I57" s="195" t="s">
        <v>558</v>
      </c>
      <c r="J57" s="298"/>
    </row>
    <row r="58" spans="2:10" ht="60">
      <c r="B58" s="245" t="s">
        <v>559</v>
      </c>
      <c r="C58" s="147" t="s">
        <v>560</v>
      </c>
      <c r="D58" s="147" t="s">
        <v>561</v>
      </c>
      <c r="E58" s="181" t="s">
        <v>562</v>
      </c>
      <c r="F58" s="181" t="s">
        <v>563</v>
      </c>
      <c r="G58" s="181" t="s">
        <v>564</v>
      </c>
      <c r="H58" s="181" t="s">
        <v>565</v>
      </c>
      <c r="I58" s="195" t="s">
        <v>566</v>
      </c>
      <c r="J58" s="299" t="s">
        <v>567</v>
      </c>
    </row>
    <row r="59" spans="2:10" ht="60">
      <c r="B59" s="245" t="s">
        <v>568</v>
      </c>
      <c r="C59" s="147" t="s">
        <v>569</v>
      </c>
      <c r="D59" s="147" t="s">
        <v>570</v>
      </c>
      <c r="E59" s="181" t="s">
        <v>571</v>
      </c>
      <c r="F59" s="181" t="s">
        <v>449</v>
      </c>
      <c r="G59" s="181" t="s">
        <v>449</v>
      </c>
      <c r="H59" s="181" t="s">
        <v>449</v>
      </c>
      <c r="I59" s="195" t="s">
        <v>572</v>
      </c>
      <c r="J59" s="299" t="s">
        <v>573</v>
      </c>
    </row>
    <row r="60" spans="2:10" ht="60">
      <c r="B60" s="245" t="s">
        <v>574</v>
      </c>
      <c r="C60" s="147" t="s">
        <v>575</v>
      </c>
      <c r="D60" s="147" t="s">
        <v>576</v>
      </c>
      <c r="E60" s="181" t="s">
        <v>577</v>
      </c>
      <c r="F60" s="181" t="s">
        <v>578</v>
      </c>
      <c r="G60" s="181" t="s">
        <v>579</v>
      </c>
      <c r="H60" s="181" t="s">
        <v>580</v>
      </c>
      <c r="I60" s="195" t="s">
        <v>581</v>
      </c>
      <c r="J60" s="300" t="s">
        <v>582</v>
      </c>
    </row>
    <row r="61" spans="2:10" ht="96">
      <c r="B61" s="247" t="s">
        <v>583</v>
      </c>
      <c r="C61" s="165" t="s">
        <v>584</v>
      </c>
      <c r="D61" s="165" t="s">
        <v>585</v>
      </c>
      <c r="E61" s="196" t="s">
        <v>449</v>
      </c>
      <c r="F61" s="196" t="s">
        <v>449</v>
      </c>
      <c r="G61" s="196" t="s">
        <v>449</v>
      </c>
      <c r="H61" s="196" t="s">
        <v>449</v>
      </c>
      <c r="I61" s="197" t="s">
        <v>586</v>
      </c>
      <c r="J61" s="302" t="s">
        <v>587</v>
      </c>
    </row>
    <row r="63" spans="2:10" ht="49.5" customHeight="1">
      <c r="B63" s="301" t="s">
        <v>588</v>
      </c>
      <c r="C63" s="421" t="s">
        <v>589</v>
      </c>
      <c r="D63" s="422"/>
      <c r="E63" s="422"/>
      <c r="F63" s="423"/>
    </row>
    <row r="64" spans="2:10">
      <c r="C64" s="121"/>
    </row>
    <row r="66" spans="2:5">
      <c r="C66" s="121"/>
    </row>
    <row r="68" spans="2:5">
      <c r="B68" s="121"/>
    </row>
    <row r="69" spans="2:5" ht="15" customHeight="1"/>
    <row r="70" spans="2:5">
      <c r="C70" s="180"/>
      <c r="D70" s="180"/>
      <c r="E70" s="180"/>
    </row>
    <row r="71" spans="2:5">
      <c r="B71" s="180"/>
      <c r="C71" s="180"/>
      <c r="D71" s="180"/>
      <c r="E71" s="180"/>
    </row>
    <row r="72" spans="2:5">
      <c r="B72" s="180"/>
      <c r="C72" s="180"/>
      <c r="D72" s="180"/>
      <c r="E72" s="180"/>
    </row>
    <row r="73" spans="2:5">
      <c r="B73" s="180"/>
      <c r="C73" s="180"/>
      <c r="D73" s="180"/>
      <c r="E73" s="180"/>
    </row>
    <row r="74" spans="2:5">
      <c r="B74" s="180"/>
      <c r="C74" s="180"/>
      <c r="D74" s="180"/>
      <c r="E74" s="180"/>
    </row>
  </sheetData>
  <mergeCells count="5">
    <mergeCell ref="C63:F63"/>
    <mergeCell ref="C43:F43"/>
    <mergeCell ref="I9:J9"/>
    <mergeCell ref="B2:O2"/>
    <mergeCell ref="B32:O32"/>
  </mergeCells>
  <hyperlinks>
    <hyperlink ref="E51" r:id="rId1" location=":~:text=Gu%C3%ADa%20sobre%20Pocitos%20,casas%20es%20de%20171%20m2" xr:uid="{067D5880-A6C1-448D-A928-9851B0B7ED41}"/>
    <hyperlink ref="E48" r:id="rId2" location=":~:text=Gu%C3%ADa%20sobre%20Pocitos%20,casas%20es%20de%20171%20m2" xr:uid="{92786A88-2F96-4919-B948-7F9A0D3BD2ED}"/>
    <hyperlink ref="E49" r:id="rId3" display="El valor real de la vivienda promovida sube por primera vez en casi 3 años" xr:uid="{CC0DCE3D-A897-4F8E-87FD-91439210F70D}"/>
    <hyperlink ref="E50" r:id="rId4" display="El valor real de la vivienda promovida sube por primera vez en casi 3 años" xr:uid="{CBBDE42B-9BE7-4ECA-8621-4E14E5E09225}"/>
    <hyperlink ref="E53" r:id="rId5" xr:uid="{3B0F6460-E44A-4D02-B172-EEE2AD166D02}"/>
    <hyperlink ref="E47" r:id="rId6" xr:uid="{BE896664-3214-4548-9195-0DF53CBA6D69}"/>
    <hyperlink ref="C14" r:id="rId7" xr:uid="{EE5B78E1-09CD-4A95-850F-C506067F117E}"/>
    <hyperlink ref="C41" r:id="rId8" xr:uid="{DF279814-BDD2-4585-B0C5-EF99B1A661E2}"/>
    <hyperlink ref="E52" r:id="rId9" display="El valor real de la vivienda promovida sube por primera vez en casi 3 años" xr:uid="{2D62BA46-B8C4-4DDE-B611-432A2DAA1034}"/>
    <hyperlink ref="J60" r:id="rId10" xr:uid="{A8853A20-3C5A-4FEC-891F-79403BCFFEE2}"/>
    <hyperlink ref="J58" r:id="rId11" xr:uid="{191875C8-A988-4F82-A7B7-D1B0C81930DC}"/>
    <hyperlink ref="J59" r:id="rId12" xr:uid="{5DD6255A-423B-4BE6-96D5-59D55990251B}"/>
    <hyperlink ref="J61" r:id="rId13" location=":~:text=En%20una%20vivienda%2C%20las%20habitaciones,un%20metro%20con%20ochenta%20cent%C3%ADmetros" xr:uid="{8329E283-8BD2-4228-BD7D-3DEC6B41AB97}"/>
  </hyperlinks>
  <pageMargins left="0.7" right="0.7" top="0.75" bottom="0.75" header="0.3" footer="0.3"/>
  <tableParts count="9">
    <tablePart r:id="rId14"/>
    <tablePart r:id="rId15"/>
    <tablePart r:id="rId16"/>
    <tablePart r:id="rId17"/>
    <tablePart r:id="rId18"/>
    <tablePart r:id="rId19"/>
    <tablePart r:id="rId20"/>
    <tablePart r:id="rId21"/>
    <tablePart r:id="rId22"/>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EF155-B724-40C2-9A0A-458D04DAD683}">
  <sheetPr codeName="Hoja21">
    <tabColor rgb="FFA5A5A5"/>
    <outlinePr summaryBelow="0" summaryRight="0"/>
  </sheetPr>
  <dimension ref="B1:AU254"/>
  <sheetViews>
    <sheetView zoomScale="67" zoomScaleNormal="40" workbookViewId="0">
      <selection activeCell="C8" sqref="C8"/>
    </sheetView>
  </sheetViews>
  <sheetFormatPr baseColWidth="10" defaultColWidth="14.5" defaultRowHeight="15" customHeight="1"/>
  <cols>
    <col min="1" max="1" width="5" style="23" customWidth="1"/>
    <col min="2" max="2" width="31.1640625" style="23" customWidth="1"/>
    <col min="3" max="3" width="20.1640625" style="23" customWidth="1"/>
    <col min="4" max="13" width="14.5" style="23"/>
    <col min="14" max="14" width="22.5" style="23" customWidth="1"/>
    <col min="15" max="15" width="11.33203125" style="23" customWidth="1"/>
    <col min="16" max="16" width="22.5" style="23" customWidth="1"/>
    <col min="17" max="17" width="14.5" style="23"/>
    <col min="18" max="18" width="23.83203125" style="23" customWidth="1"/>
    <col min="19" max="16384" width="14.5" style="23"/>
  </cols>
  <sheetData>
    <row r="1" spans="2:29" ht="15" customHeight="1">
      <c r="B1" s="303" t="s">
        <v>590</v>
      </c>
      <c r="C1"/>
    </row>
    <row r="2" spans="2:29" ht="15" customHeight="1">
      <c r="B2" s="429" t="s">
        <v>591</v>
      </c>
      <c r="C2" s="430"/>
    </row>
    <row r="3" spans="2:29" ht="15" customHeight="1">
      <c r="B3" s="382" t="s">
        <v>206</v>
      </c>
      <c r="C3" s="382" t="s">
        <v>592</v>
      </c>
      <c r="D3" s="25" t="s">
        <v>30</v>
      </c>
    </row>
    <row r="4" spans="2:29" ht="15" customHeight="1">
      <c r="B4" s="323">
        <v>2023</v>
      </c>
      <c r="C4" s="323">
        <v>56</v>
      </c>
      <c r="D4" s="23" t="s">
        <v>593</v>
      </c>
    </row>
    <row r="5" spans="2:29" ht="15" customHeight="1">
      <c r="B5" s="323">
        <v>2022</v>
      </c>
      <c r="C5" s="323">
        <v>60</v>
      </c>
    </row>
    <row r="6" spans="2:29" ht="15" customHeight="1">
      <c r="B6" s="323">
        <v>2021</v>
      </c>
      <c r="C6" s="323">
        <v>101</v>
      </c>
    </row>
    <row r="7" spans="2:29" ht="15" customHeight="1">
      <c r="B7" s="325">
        <v>2020</v>
      </c>
      <c r="C7" s="325">
        <v>45</v>
      </c>
    </row>
    <row r="8" spans="2:29" ht="15" customHeight="1">
      <c r="B8" s="323">
        <v>2019</v>
      </c>
      <c r="C8" s="323">
        <v>13</v>
      </c>
    </row>
    <row r="9" spans="2:29" ht="15" customHeight="1">
      <c r="B9" s="323">
        <v>2018</v>
      </c>
      <c r="C9" s="323">
        <v>24</v>
      </c>
    </row>
    <row r="10" spans="2:29" ht="15" customHeight="1">
      <c r="B10" s="326">
        <v>2017</v>
      </c>
      <c r="C10" s="326">
        <v>14</v>
      </c>
    </row>
    <row r="11" spans="2:29" ht="15" customHeight="1">
      <c r="B11" s="323">
        <v>2016</v>
      </c>
      <c r="C11" s="323">
        <v>28</v>
      </c>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row>
    <row r="12" spans="2:29" ht="15" customHeight="1">
      <c r="B12" s="323">
        <v>2015</v>
      </c>
      <c r="C12" s="323">
        <v>58</v>
      </c>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row>
    <row r="13" spans="2:29" ht="15" customHeight="1">
      <c r="B13" s="323">
        <v>2014</v>
      </c>
      <c r="C13" s="323">
        <v>46</v>
      </c>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row>
    <row r="14" spans="2:29" ht="15" customHeight="1">
      <c r="B14" s="323">
        <v>2013</v>
      </c>
      <c r="C14" s="323">
        <v>135</v>
      </c>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row>
    <row r="15" spans="2:29" ht="15" customHeight="1">
      <c r="B15" s="323">
        <v>2012</v>
      </c>
      <c r="C15" s="323">
        <v>301</v>
      </c>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row>
    <row r="16" spans="2:29" ht="15" customHeight="1">
      <c r="B16" s="323">
        <v>2011</v>
      </c>
      <c r="C16" s="323">
        <v>214</v>
      </c>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row>
    <row r="17" spans="2:31" ht="15" customHeight="1">
      <c r="B17" s="323">
        <v>2010</v>
      </c>
      <c r="C17" s="323">
        <v>88</v>
      </c>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row>
    <row r="18" spans="2:31" ht="15" customHeight="1">
      <c r="B18" s="306"/>
      <c r="C18" s="306"/>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row>
    <row r="19" spans="2:31" ht="15" customHeight="1">
      <c r="B19" s="303" t="s">
        <v>594</v>
      </c>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row>
    <row r="20" spans="2:31" ht="15" customHeight="1">
      <c r="B20" s="306"/>
      <c r="C20" s="306"/>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row>
    <row r="21" spans="2:31" ht="15" customHeight="1">
      <c r="B21" s="435" t="s">
        <v>308</v>
      </c>
      <c r="C21" s="435" t="s">
        <v>309</v>
      </c>
      <c r="D21" s="435" t="s">
        <v>310</v>
      </c>
      <c r="E21" s="435" t="s">
        <v>311</v>
      </c>
      <c r="F21" s="435" t="s">
        <v>312</v>
      </c>
      <c r="G21" s="452" t="s">
        <v>313</v>
      </c>
      <c r="H21" s="435" t="s">
        <v>309</v>
      </c>
      <c r="I21" s="431" t="s">
        <v>310</v>
      </c>
      <c r="J21" s="431" t="s">
        <v>311</v>
      </c>
      <c r="K21" s="431" t="s">
        <v>595</v>
      </c>
      <c r="L21" s="433" t="s">
        <v>595</v>
      </c>
      <c r="M21" s="448" t="s">
        <v>306</v>
      </c>
      <c r="N21" s="449"/>
      <c r="O21" s="449"/>
      <c r="P21" s="449"/>
      <c r="Q21" s="449"/>
      <c r="R21" s="449"/>
      <c r="S21" s="449"/>
      <c r="T21" s="449"/>
      <c r="U21" s="449"/>
      <c r="V21" s="449"/>
      <c r="W21" s="449"/>
      <c r="X21" s="449"/>
      <c r="Y21" s="450"/>
      <c r="Z21" s="451" t="s">
        <v>307</v>
      </c>
      <c r="AA21" s="449"/>
      <c r="AB21" s="450"/>
      <c r="AC21" s="342"/>
    </row>
    <row r="22" spans="2:31" ht="15" customHeight="1">
      <c r="B22" s="436"/>
      <c r="C22" s="437"/>
      <c r="D22" s="437"/>
      <c r="E22" s="437"/>
      <c r="F22" s="437"/>
      <c r="G22" s="434"/>
      <c r="H22" s="437"/>
      <c r="I22" s="432"/>
      <c r="J22" s="432"/>
      <c r="K22" s="432"/>
      <c r="L22" s="434"/>
      <c r="M22" s="341" t="s">
        <v>317</v>
      </c>
      <c r="N22" s="341" t="s">
        <v>311</v>
      </c>
      <c r="O22" s="341" t="s">
        <v>317</v>
      </c>
      <c r="P22" s="341" t="s">
        <v>311</v>
      </c>
      <c r="Q22" s="341" t="s">
        <v>595</v>
      </c>
      <c r="R22" s="341" t="s">
        <v>595</v>
      </c>
      <c r="S22" s="341" t="s">
        <v>323</v>
      </c>
      <c r="T22" s="341" t="s">
        <v>311</v>
      </c>
      <c r="U22" s="341" t="s">
        <v>323</v>
      </c>
      <c r="V22" s="341" t="s">
        <v>311</v>
      </c>
      <c r="W22" s="341" t="s">
        <v>595</v>
      </c>
      <c r="X22" s="341" t="s">
        <v>595</v>
      </c>
      <c r="Y22" s="343" t="s">
        <v>329</v>
      </c>
      <c r="Z22" s="344" t="s">
        <v>330</v>
      </c>
      <c r="AA22" s="344" t="s">
        <v>311</v>
      </c>
      <c r="AB22" s="343" t="s">
        <v>332</v>
      </c>
      <c r="AC22" s="342"/>
    </row>
    <row r="23" spans="2:31" ht="15" customHeight="1">
      <c r="B23" s="345" t="s">
        <v>596</v>
      </c>
      <c r="C23" s="346"/>
      <c r="D23" s="346"/>
      <c r="E23" s="346"/>
      <c r="F23" s="346"/>
      <c r="G23" s="346"/>
      <c r="H23" s="346"/>
      <c r="I23" s="346"/>
      <c r="J23" s="346"/>
      <c r="K23" s="346"/>
      <c r="L23" s="346"/>
      <c r="M23" s="346"/>
      <c r="N23" s="346"/>
      <c r="O23" s="346"/>
      <c r="P23" s="346"/>
      <c r="Q23" s="346"/>
      <c r="R23" s="346"/>
      <c r="S23" s="346"/>
      <c r="T23" s="346"/>
      <c r="U23" s="346"/>
      <c r="V23" s="346"/>
      <c r="W23" s="346"/>
      <c r="X23" s="347"/>
      <c r="Y23" s="348"/>
      <c r="Z23" s="348"/>
      <c r="AA23" s="348"/>
      <c r="AB23" s="348"/>
      <c r="AC23" s="349" t="s">
        <v>30</v>
      </c>
      <c r="AD23" s="308"/>
      <c r="AE23" s="308"/>
    </row>
    <row r="24" spans="2:31" ht="15" customHeight="1">
      <c r="B24" s="323" t="s">
        <v>597</v>
      </c>
      <c r="C24" s="323" t="s">
        <v>334</v>
      </c>
      <c r="D24" s="350">
        <v>71500</v>
      </c>
      <c r="E24" s="323" t="s">
        <v>335</v>
      </c>
      <c r="F24" s="351">
        <v>0.80230000000000001</v>
      </c>
      <c r="G24" s="352">
        <v>34.725396800000006</v>
      </c>
      <c r="H24" s="323" t="s">
        <v>336</v>
      </c>
      <c r="I24" s="353">
        <f>($D24*$F24*$G24)/(1000000)</f>
        <v>1.9920032884637604</v>
      </c>
      <c r="J24" s="323" t="s">
        <v>337</v>
      </c>
      <c r="K24" s="354"/>
      <c r="L24" s="355"/>
      <c r="M24" s="355">
        <v>1</v>
      </c>
      <c r="N24" s="323" t="s">
        <v>338</v>
      </c>
      <c r="O24" s="356">
        <f>($M24*$F24*$G24)/(1000000)</f>
        <v>2.7860185852640004E-5</v>
      </c>
      <c r="P24" s="323" t="s">
        <v>339</v>
      </c>
      <c r="Q24" s="378"/>
      <c r="R24" s="379"/>
      <c r="S24" s="353">
        <v>2</v>
      </c>
      <c r="T24" s="323" t="s">
        <v>340</v>
      </c>
      <c r="U24" s="356">
        <f>($S24*$F24*$G24)/(1000000)</f>
        <v>5.5720371705280008E-5</v>
      </c>
      <c r="V24" s="323" t="s">
        <v>341</v>
      </c>
      <c r="W24" s="355"/>
      <c r="X24" s="355"/>
      <c r="Y24" s="357">
        <v>0</v>
      </c>
      <c r="Z24" s="357">
        <v>0</v>
      </c>
      <c r="AA24" s="323" t="s">
        <v>337</v>
      </c>
      <c r="AB24" s="357">
        <v>1</v>
      </c>
      <c r="AC24" s="358" t="s">
        <v>342</v>
      </c>
    </row>
    <row r="25" spans="2:31" ht="15" customHeight="1">
      <c r="B25" s="323" t="s">
        <v>598</v>
      </c>
      <c r="C25" s="323" t="s">
        <v>334</v>
      </c>
      <c r="D25" s="357">
        <v>70000</v>
      </c>
      <c r="E25" s="323" t="s">
        <v>335</v>
      </c>
      <c r="F25" s="359">
        <v>0.71860000000000002</v>
      </c>
      <c r="G25" s="352">
        <v>31.728364000000006</v>
      </c>
      <c r="H25" s="323" t="s">
        <v>336</v>
      </c>
      <c r="I25" s="353">
        <f>($D25*$F25*$G25)/(1000000)</f>
        <v>1.5960001659280003</v>
      </c>
      <c r="J25" s="323" t="s">
        <v>337</v>
      </c>
      <c r="K25" s="360"/>
      <c r="L25" s="361"/>
      <c r="M25" s="362">
        <v>1</v>
      </c>
      <c r="N25" s="323" t="s">
        <v>338</v>
      </c>
      <c r="O25" s="356">
        <f t="shared" ref="O25:O30" si="0">($M25*$F25*$G25)/(1000000)</f>
        <v>2.2800002370400004E-5</v>
      </c>
      <c r="P25" s="323" t="s">
        <v>339</v>
      </c>
      <c r="Q25" s="380"/>
      <c r="R25" s="381"/>
      <c r="S25" s="363">
        <v>2</v>
      </c>
      <c r="T25" s="323" t="s">
        <v>340</v>
      </c>
      <c r="U25" s="356">
        <f t="shared" ref="U25:U30" si="1">($S25*$F25*$G25)/(1000000)</f>
        <v>4.5600004740800008E-5</v>
      </c>
      <c r="V25" s="323" t="s">
        <v>341</v>
      </c>
      <c r="W25" s="362"/>
      <c r="X25" s="362"/>
      <c r="Y25" s="357">
        <v>0</v>
      </c>
      <c r="Z25" s="357">
        <v>0</v>
      </c>
      <c r="AA25" s="323" t="s">
        <v>337</v>
      </c>
      <c r="AB25" s="357">
        <v>1</v>
      </c>
      <c r="AC25" s="358" t="s">
        <v>342</v>
      </c>
    </row>
    <row r="26" spans="2:31" ht="15" customHeight="1">
      <c r="B26" s="364" t="s">
        <v>599</v>
      </c>
      <c r="C26" s="365"/>
      <c r="D26" s="365"/>
      <c r="E26" s="365"/>
      <c r="F26" s="365"/>
      <c r="G26" s="365"/>
      <c r="H26" s="365"/>
      <c r="I26" s="365"/>
      <c r="J26" s="365"/>
      <c r="K26" s="365"/>
      <c r="L26" s="365"/>
      <c r="M26" s="365"/>
      <c r="N26" s="365"/>
      <c r="O26" s="365"/>
      <c r="P26" s="365"/>
      <c r="Q26" s="365"/>
      <c r="R26" s="365"/>
      <c r="S26" s="365"/>
      <c r="T26" s="365"/>
      <c r="U26" s="365"/>
      <c r="V26" s="365"/>
      <c r="W26" s="365"/>
      <c r="X26" s="366"/>
      <c r="Y26" s="367"/>
      <c r="Z26" s="367"/>
      <c r="AA26" s="365"/>
      <c r="AB26" s="367"/>
      <c r="AC26" s="349" t="s">
        <v>30</v>
      </c>
    </row>
    <row r="27" spans="2:31" ht="15" customHeight="1">
      <c r="B27" s="323" t="s">
        <v>333</v>
      </c>
      <c r="C27" s="323" t="s">
        <v>334</v>
      </c>
      <c r="D27" s="357">
        <v>74100</v>
      </c>
      <c r="E27" s="323" t="s">
        <v>335</v>
      </c>
      <c r="F27" s="368">
        <v>0.8296</v>
      </c>
      <c r="G27" s="352">
        <v>35.667201800000008</v>
      </c>
      <c r="H27" s="323" t="s">
        <v>336</v>
      </c>
      <c r="I27" s="363">
        <f>($D27*$F27*$G27)/(1000000)</f>
        <v>2.1925827364440487</v>
      </c>
      <c r="J27" s="323" t="s">
        <v>337</v>
      </c>
      <c r="K27" s="369"/>
      <c r="L27" s="362"/>
      <c r="M27" s="362">
        <v>4</v>
      </c>
      <c r="N27" s="323" t="s">
        <v>338</v>
      </c>
      <c r="O27" s="356">
        <f t="shared" si="0"/>
        <v>1.1835804245312002E-4</v>
      </c>
      <c r="P27" s="323" t="s">
        <v>339</v>
      </c>
      <c r="Q27" s="362"/>
      <c r="R27" s="362"/>
      <c r="S27" s="363">
        <v>4</v>
      </c>
      <c r="T27" s="323" t="s">
        <v>340</v>
      </c>
      <c r="U27" s="356">
        <f t="shared" si="1"/>
        <v>1.1835804245312002E-4</v>
      </c>
      <c r="V27" s="323" t="s">
        <v>341</v>
      </c>
      <c r="W27" s="362"/>
      <c r="X27" s="362"/>
      <c r="Y27" s="370">
        <v>5.1999999999999998E-2</v>
      </c>
      <c r="Z27" s="357">
        <v>1.66</v>
      </c>
      <c r="AA27" s="323" t="s">
        <v>337</v>
      </c>
      <c r="AB27" s="357">
        <v>0.95</v>
      </c>
      <c r="AC27" s="358" t="s">
        <v>342</v>
      </c>
    </row>
    <row r="28" spans="2:31" ht="15" customHeight="1">
      <c r="B28" s="323" t="s">
        <v>275</v>
      </c>
      <c r="C28" s="323" t="s">
        <v>334</v>
      </c>
      <c r="D28" s="357">
        <v>69300</v>
      </c>
      <c r="E28" s="323" t="s">
        <v>335</v>
      </c>
      <c r="F28" s="368">
        <v>0.74919999999999998</v>
      </c>
      <c r="G28" s="352">
        <v>32.854344200000007</v>
      </c>
      <c r="H28" s="323" t="s">
        <v>336</v>
      </c>
      <c r="I28" s="363">
        <f t="shared" ref="I28:I30" si="2">($D28*$F28*$G28)/(1000000)</f>
        <v>1.7057830949525523</v>
      </c>
      <c r="J28" s="323" t="s">
        <v>337</v>
      </c>
      <c r="K28" s="369"/>
      <c r="L28" s="362"/>
      <c r="M28" s="362">
        <v>8</v>
      </c>
      <c r="N28" s="323" t="s">
        <v>338</v>
      </c>
      <c r="O28" s="356">
        <f t="shared" si="0"/>
        <v>1.9691579739712002E-4</v>
      </c>
      <c r="P28" s="323" t="s">
        <v>339</v>
      </c>
      <c r="Q28" s="362"/>
      <c r="R28" s="362"/>
      <c r="S28" s="363">
        <v>5</v>
      </c>
      <c r="T28" s="323" t="s">
        <v>340</v>
      </c>
      <c r="U28" s="356">
        <f t="shared" si="1"/>
        <v>1.2307237337320001E-4</v>
      </c>
      <c r="V28" s="323" t="s">
        <v>341</v>
      </c>
      <c r="W28" s="362"/>
      <c r="X28" s="362"/>
      <c r="Y28" s="371">
        <v>9.7799999999999998E-2</v>
      </c>
      <c r="Z28" s="357">
        <v>1.51</v>
      </c>
      <c r="AA28" s="323" t="s">
        <v>337</v>
      </c>
      <c r="AB28" s="357">
        <v>0.91</v>
      </c>
      <c r="AC28" s="358" t="s">
        <v>342</v>
      </c>
    </row>
    <row r="29" spans="2:31" ht="15" customHeight="1">
      <c r="B29" s="323" t="s">
        <v>343</v>
      </c>
      <c r="C29" s="323" t="s">
        <v>334</v>
      </c>
      <c r="D29" s="357">
        <v>70800</v>
      </c>
      <c r="E29" s="323" t="s">
        <v>335</v>
      </c>
      <c r="F29" s="368">
        <v>0.79149999999999998</v>
      </c>
      <c r="G29" s="352">
        <v>26.789120000000004</v>
      </c>
      <c r="H29" s="323" t="s">
        <v>336</v>
      </c>
      <c r="I29" s="363">
        <f t="shared" si="2"/>
        <v>1.5012140643840002</v>
      </c>
      <c r="J29" s="323" t="s">
        <v>337</v>
      </c>
      <c r="K29" s="369"/>
      <c r="L29" s="362"/>
      <c r="M29" s="362">
        <v>10</v>
      </c>
      <c r="N29" s="323" t="s">
        <v>338</v>
      </c>
      <c r="O29" s="356">
        <f t="shared" si="0"/>
        <v>2.1203588480000002E-4</v>
      </c>
      <c r="P29" s="323" t="s">
        <v>339</v>
      </c>
      <c r="Q29" s="362"/>
      <c r="R29" s="362"/>
      <c r="S29" s="363">
        <v>1</v>
      </c>
      <c r="T29" s="323" t="s">
        <v>340</v>
      </c>
      <c r="U29" s="356">
        <f t="shared" si="1"/>
        <v>2.1203588480000004E-5</v>
      </c>
      <c r="V29" s="323" t="s">
        <v>341</v>
      </c>
      <c r="W29" s="362"/>
      <c r="X29" s="362"/>
      <c r="Y29" s="357">
        <v>0</v>
      </c>
      <c r="Z29" s="357">
        <v>0</v>
      </c>
      <c r="AA29" s="323" t="s">
        <v>337</v>
      </c>
      <c r="AB29" s="357">
        <v>1</v>
      </c>
      <c r="AC29" s="358" t="s">
        <v>342</v>
      </c>
    </row>
    <row r="30" spans="2:31" ht="15" customHeight="1">
      <c r="B30" s="323" t="s">
        <v>344</v>
      </c>
      <c r="C30" s="323" t="s">
        <v>334</v>
      </c>
      <c r="D30" s="357">
        <v>70800</v>
      </c>
      <c r="E30" s="323" t="s">
        <v>335</v>
      </c>
      <c r="F30" s="368">
        <v>0.87</v>
      </c>
      <c r="G30" s="352">
        <v>39.765100000000011</v>
      </c>
      <c r="H30" s="323" t="s">
        <v>336</v>
      </c>
      <c r="I30" s="363">
        <f t="shared" si="2"/>
        <v>2.4493710996000009</v>
      </c>
      <c r="J30" s="323" t="s">
        <v>337</v>
      </c>
      <c r="K30" s="369"/>
      <c r="L30" s="362"/>
      <c r="M30" s="362">
        <v>10</v>
      </c>
      <c r="N30" s="323" t="s">
        <v>338</v>
      </c>
      <c r="O30" s="356">
        <f t="shared" si="0"/>
        <v>3.4595637000000006E-4</v>
      </c>
      <c r="P30" s="323" t="s">
        <v>339</v>
      </c>
      <c r="Q30" s="362"/>
      <c r="R30" s="362"/>
      <c r="S30" s="363">
        <v>1</v>
      </c>
      <c r="T30" s="323" t="s">
        <v>340</v>
      </c>
      <c r="U30" s="356">
        <f t="shared" si="1"/>
        <v>3.4595637000000013E-5</v>
      </c>
      <c r="V30" s="323" t="s">
        <v>341</v>
      </c>
      <c r="W30" s="362"/>
      <c r="X30" s="362"/>
      <c r="Y30" s="357">
        <v>0</v>
      </c>
      <c r="Z30" s="357">
        <v>0</v>
      </c>
      <c r="AA30" s="323" t="s">
        <v>337</v>
      </c>
      <c r="AB30" s="357">
        <v>1</v>
      </c>
      <c r="AC30" s="358" t="s">
        <v>342</v>
      </c>
    </row>
    <row r="31" spans="2:31"/>
    <row r="32" spans="2:31" ht="16">
      <c r="B32" s="303" t="s">
        <v>600</v>
      </c>
      <c r="C32" s="304"/>
      <c r="D32" s="305"/>
      <c r="E32" s="305"/>
      <c r="F32" s="305"/>
      <c r="G32" s="322" t="s">
        <v>601</v>
      </c>
      <c r="H32" s="305"/>
      <c r="I32" s="305"/>
      <c r="J32" s="305" t="s">
        <v>342</v>
      </c>
      <c r="K32" s="305"/>
      <c r="L32" s="305"/>
      <c r="N32" s="303" t="s">
        <v>600</v>
      </c>
      <c r="O32" s="304"/>
      <c r="P32" s="305"/>
      <c r="Q32" s="306"/>
      <c r="R32" s="306"/>
      <c r="S32" s="306"/>
      <c r="T32" s="306"/>
      <c r="U32" s="306"/>
      <c r="V32" s="306"/>
      <c r="W32" s="306"/>
    </row>
    <row r="33" spans="2:31" ht="16">
      <c r="B33" s="454" t="s">
        <v>602</v>
      </c>
      <c r="C33" s="455"/>
      <c r="D33" s="305"/>
      <c r="E33" s="305"/>
      <c r="F33" s="305"/>
      <c r="G33" s="305"/>
      <c r="H33" s="305"/>
      <c r="I33" s="305"/>
      <c r="J33" s="305"/>
      <c r="K33" s="305"/>
      <c r="L33" s="305"/>
      <c r="N33" s="454" t="s">
        <v>603</v>
      </c>
      <c r="O33" s="455"/>
      <c r="P33" s="305"/>
      <c r="Q33" s="306"/>
      <c r="R33" s="306"/>
      <c r="S33" s="306"/>
      <c r="T33" s="306"/>
      <c r="U33" s="306"/>
      <c r="V33" s="306"/>
      <c r="W33" s="306"/>
      <c r="AC33" s="308"/>
    </row>
    <row r="34" spans="2:31" ht="16">
      <c r="B34" s="327"/>
      <c r="C34" s="327" t="s">
        <v>604</v>
      </c>
      <c r="D34" s="327" t="s">
        <v>605</v>
      </c>
      <c r="E34" s="327">
        <v>2000</v>
      </c>
      <c r="F34" s="327">
        <v>2005</v>
      </c>
      <c r="G34" s="327">
        <v>2010</v>
      </c>
      <c r="H34" s="327">
        <v>2015</v>
      </c>
      <c r="I34" s="327">
        <v>2020</v>
      </c>
      <c r="J34" s="327">
        <v>2021</v>
      </c>
      <c r="K34" s="327">
        <v>2022</v>
      </c>
      <c r="L34" s="327">
        <v>2023</v>
      </c>
      <c r="N34" s="327"/>
      <c r="O34" s="327" t="s">
        <v>604</v>
      </c>
      <c r="P34" s="327" t="s">
        <v>606</v>
      </c>
      <c r="Q34" s="309"/>
      <c r="R34" s="309"/>
      <c r="S34" s="309"/>
      <c r="T34" s="309"/>
      <c r="U34" s="309"/>
      <c r="V34" s="309"/>
      <c r="W34" s="309"/>
    </row>
    <row r="35" spans="2:31" ht="16">
      <c r="B35" s="323" t="s">
        <v>607</v>
      </c>
      <c r="C35" s="324" t="s">
        <v>608</v>
      </c>
      <c r="D35" s="324">
        <v>0.56000000000000005</v>
      </c>
      <c r="E35" s="324">
        <v>0.57420000000000004</v>
      </c>
      <c r="F35" s="324">
        <v>0.57999999999999996</v>
      </c>
      <c r="G35" s="324">
        <v>0.56499999999999995</v>
      </c>
      <c r="H35" s="324">
        <v>0.56000000000000005</v>
      </c>
      <c r="I35" s="324">
        <v>0.55900000000000005</v>
      </c>
      <c r="J35" s="324">
        <v>0.56020000000000003</v>
      </c>
      <c r="K35" s="324">
        <v>0.55700000000000005</v>
      </c>
      <c r="L35" s="324">
        <v>0.55900000000000005</v>
      </c>
      <c r="N35" s="323" t="s">
        <v>609</v>
      </c>
      <c r="O35" s="324" t="s">
        <v>608</v>
      </c>
      <c r="P35" s="324">
        <v>1</v>
      </c>
      <c r="Q35" s="306"/>
      <c r="R35" s="306"/>
      <c r="S35" s="306"/>
      <c r="T35" s="306"/>
      <c r="U35" s="306"/>
      <c r="V35" s="306"/>
      <c r="W35" s="306"/>
    </row>
    <row r="36" spans="2:31" ht="16">
      <c r="B36" s="323" t="s">
        <v>610</v>
      </c>
      <c r="C36" s="324" t="s">
        <v>608</v>
      </c>
      <c r="D36" s="324">
        <v>0.92300000000000004</v>
      </c>
      <c r="E36" s="324">
        <v>0.96719999999999995</v>
      </c>
      <c r="F36" s="324">
        <v>0.97809999999999997</v>
      </c>
      <c r="G36" s="324">
        <v>0.999</v>
      </c>
      <c r="H36" s="324">
        <v>0.96160000000000001</v>
      </c>
      <c r="I36" s="324">
        <v>0.92900000000000005</v>
      </c>
      <c r="J36" s="324">
        <v>0.94210000000000005</v>
      </c>
      <c r="K36" s="324">
        <v>0.9194</v>
      </c>
      <c r="L36" s="324">
        <v>0.93220000000000003</v>
      </c>
      <c r="N36" s="323" t="s">
        <v>611</v>
      </c>
      <c r="O36" s="324" t="s">
        <v>608</v>
      </c>
      <c r="P36" s="324">
        <v>1.8</v>
      </c>
      <c r="Q36" s="306"/>
      <c r="R36" s="306"/>
      <c r="S36" s="306"/>
      <c r="T36" s="306"/>
      <c r="U36" s="306"/>
      <c r="V36" s="306"/>
      <c r="W36" s="306"/>
    </row>
    <row r="37" spans="2:31" ht="16">
      <c r="B37" s="323" t="s">
        <v>612</v>
      </c>
      <c r="C37" s="324" t="s">
        <v>608</v>
      </c>
      <c r="D37" s="324">
        <v>0.94799999999999995</v>
      </c>
      <c r="E37" s="324">
        <v>0.97560000000000002</v>
      </c>
      <c r="F37" s="324">
        <v>0.98009999999999997</v>
      </c>
      <c r="G37" s="324">
        <v>0.99060000000000004</v>
      </c>
      <c r="H37" s="324">
        <v>0.96930000000000005</v>
      </c>
      <c r="I37" s="324">
        <v>0.93840000000000001</v>
      </c>
      <c r="J37" s="324">
        <v>0.94830000000000003</v>
      </c>
      <c r="K37" s="324">
        <v>0.92579999999999996</v>
      </c>
      <c r="L37" s="324">
        <v>0.94259999999999999</v>
      </c>
      <c r="N37" s="323" t="s">
        <v>613</v>
      </c>
      <c r="O37" s="324" t="s">
        <v>608</v>
      </c>
      <c r="P37" s="324">
        <v>0.875</v>
      </c>
      <c r="Q37" s="306"/>
      <c r="R37" s="306"/>
      <c r="S37" s="306"/>
      <c r="T37" s="306"/>
      <c r="U37" s="306"/>
      <c r="V37" s="306"/>
      <c r="W37" s="306"/>
    </row>
    <row r="38" spans="2:31" ht="16">
      <c r="B38" s="323" t="s">
        <v>614</v>
      </c>
      <c r="C38" s="324" t="s">
        <v>608</v>
      </c>
      <c r="D38" s="324">
        <v>0.96499999999999997</v>
      </c>
      <c r="E38" s="324">
        <v>0.98670000000000002</v>
      </c>
      <c r="F38" s="324">
        <v>0.99760000000000004</v>
      </c>
      <c r="G38" s="324">
        <v>1.0049999999999999</v>
      </c>
      <c r="H38" s="324">
        <v>0.99039999999999995</v>
      </c>
      <c r="I38" s="324">
        <v>0.96120000000000005</v>
      </c>
      <c r="J38" s="324">
        <v>0.98119999999999996</v>
      </c>
      <c r="K38" s="324">
        <v>0.93540000000000001</v>
      </c>
      <c r="L38" s="324">
        <v>0.96450000000000002</v>
      </c>
      <c r="N38" s="323" t="s">
        <v>615</v>
      </c>
      <c r="O38" s="324" t="s">
        <v>608</v>
      </c>
      <c r="P38" s="324">
        <v>0.79149999999999998</v>
      </c>
      <c r="Q38" s="306"/>
      <c r="R38" s="306"/>
      <c r="S38" s="306"/>
      <c r="T38" s="306"/>
      <c r="U38" s="306"/>
      <c r="V38" s="306"/>
      <c r="W38" s="306"/>
    </row>
    <row r="39" spans="2:31" ht="16">
      <c r="B39" s="325" t="s">
        <v>616</v>
      </c>
      <c r="C39" s="324" t="s">
        <v>608</v>
      </c>
      <c r="D39" s="324"/>
      <c r="E39" s="324"/>
      <c r="F39" s="324">
        <v>0.99170000000000003</v>
      </c>
      <c r="G39" s="324">
        <v>1.002</v>
      </c>
      <c r="H39" s="324">
        <v>0.97489999999999999</v>
      </c>
      <c r="I39" s="324">
        <v>0.95620000000000005</v>
      </c>
      <c r="J39" s="324">
        <v>0.97050000000000003</v>
      </c>
      <c r="K39" s="324">
        <v>0.9264</v>
      </c>
      <c r="L39" s="324">
        <v>0.94189999999999996</v>
      </c>
      <c r="N39" s="323" t="s">
        <v>617</v>
      </c>
      <c r="O39" s="324" t="s">
        <v>618</v>
      </c>
      <c r="P39" s="324">
        <v>0.51</v>
      </c>
      <c r="Q39" s="306"/>
      <c r="R39" s="306"/>
      <c r="S39" s="306"/>
      <c r="T39" s="306"/>
      <c r="U39" s="306"/>
      <c r="V39" s="306"/>
      <c r="W39" s="306"/>
    </row>
    <row r="40" spans="2:31" ht="16">
      <c r="B40" s="323" t="s">
        <v>619</v>
      </c>
      <c r="C40" s="324" t="s">
        <v>608</v>
      </c>
      <c r="D40" s="324"/>
      <c r="E40" s="324"/>
      <c r="F40" s="324"/>
      <c r="G40" s="324"/>
      <c r="H40" s="324">
        <v>0.97660000000000002</v>
      </c>
      <c r="I40" s="324">
        <v>0.96479999999999999</v>
      </c>
      <c r="J40" s="324">
        <v>0.9788</v>
      </c>
      <c r="K40" s="324">
        <v>0.94579999999999997</v>
      </c>
      <c r="L40" s="324">
        <v>0.95130000000000003</v>
      </c>
      <c r="N40" s="323" t="s">
        <v>620</v>
      </c>
      <c r="O40" s="324" t="s">
        <v>621</v>
      </c>
      <c r="P40" s="324">
        <v>0.62</v>
      </c>
      <c r="Q40" s="306"/>
      <c r="R40" s="306"/>
      <c r="S40" s="306"/>
      <c r="T40" s="306"/>
      <c r="U40" s="306"/>
      <c r="V40" s="306"/>
      <c r="W40" s="306"/>
    </row>
    <row r="41" spans="2:31" ht="16">
      <c r="B41" s="323" t="s">
        <v>622</v>
      </c>
      <c r="C41" s="324" t="s">
        <v>608</v>
      </c>
      <c r="D41" s="324"/>
      <c r="E41" s="324"/>
      <c r="F41" s="324"/>
      <c r="G41" s="324"/>
      <c r="H41" s="324"/>
      <c r="I41" s="324"/>
      <c r="J41" s="324"/>
      <c r="K41" s="324"/>
      <c r="L41" s="324"/>
      <c r="N41" s="323" t="s">
        <v>623</v>
      </c>
      <c r="O41" s="324" t="s">
        <v>608</v>
      </c>
      <c r="P41" s="324">
        <v>0.9</v>
      </c>
      <c r="Q41" s="306"/>
      <c r="R41" s="306"/>
      <c r="S41" s="306"/>
      <c r="T41" s="306"/>
      <c r="U41" s="306"/>
      <c r="V41" s="306"/>
      <c r="W41" s="306"/>
    </row>
    <row r="42" spans="2:31" ht="16">
      <c r="B42" s="326" t="s">
        <v>624</v>
      </c>
      <c r="C42" s="324" t="s">
        <v>608</v>
      </c>
      <c r="D42" s="324"/>
      <c r="E42" s="324"/>
      <c r="F42" s="324"/>
      <c r="G42" s="324"/>
      <c r="H42" s="324">
        <v>0.83750000000000002</v>
      </c>
      <c r="I42" s="324">
        <v>0.82450000000000001</v>
      </c>
      <c r="J42" s="324">
        <v>0.83220000000000005</v>
      </c>
      <c r="K42" s="324">
        <v>0.82969999999999999</v>
      </c>
      <c r="L42" s="324">
        <v>0.8296</v>
      </c>
      <c r="N42" s="323" t="s">
        <v>625</v>
      </c>
      <c r="O42" s="324"/>
      <c r="P42" s="324"/>
      <c r="Q42" s="306"/>
      <c r="R42" s="306"/>
      <c r="S42" s="306"/>
      <c r="T42" s="306"/>
      <c r="U42" s="306"/>
      <c r="V42" s="306"/>
      <c r="W42" s="306"/>
    </row>
    <row r="43" spans="2:31" ht="16">
      <c r="B43" s="323" t="s">
        <v>626</v>
      </c>
      <c r="C43" s="324" t="s">
        <v>608</v>
      </c>
      <c r="D43" s="324"/>
      <c r="E43" s="324"/>
      <c r="F43" s="324"/>
      <c r="G43" s="324"/>
      <c r="H43" s="324">
        <v>0.85189999999999999</v>
      </c>
      <c r="I43" s="324">
        <v>0.83479999999999999</v>
      </c>
      <c r="J43" s="324">
        <v>0.83740000000000003</v>
      </c>
      <c r="K43" s="324">
        <v>0.83379999999999999</v>
      </c>
      <c r="L43" s="324">
        <v>0.83340000000000003</v>
      </c>
      <c r="N43" s="310" t="s">
        <v>627</v>
      </c>
      <c r="O43" s="311"/>
      <c r="P43" s="311"/>
      <c r="Q43" s="306"/>
      <c r="R43" s="306"/>
      <c r="S43" s="306"/>
      <c r="T43" s="306"/>
      <c r="U43" s="306"/>
      <c r="V43" s="306"/>
      <c r="W43" s="306"/>
    </row>
    <row r="44" spans="2:31" ht="16">
      <c r="B44" s="323" t="s">
        <v>628</v>
      </c>
      <c r="C44" s="324" t="s">
        <v>608</v>
      </c>
      <c r="D44" s="324"/>
      <c r="E44" s="324"/>
      <c r="F44" s="324">
        <v>0.85389999999999999</v>
      </c>
      <c r="G44" s="324">
        <v>0.85540000000000005</v>
      </c>
      <c r="H44" s="324">
        <v>0.8659</v>
      </c>
      <c r="I44" s="324">
        <v>0.85540000000000005</v>
      </c>
      <c r="J44" s="324">
        <v>0.86270000000000002</v>
      </c>
      <c r="K44" s="324">
        <v>0.85599999999999998</v>
      </c>
      <c r="L44" s="324">
        <v>0.85140000000000005</v>
      </c>
      <c r="N44" s="443" t="s">
        <v>629</v>
      </c>
      <c r="O44" s="453"/>
      <c r="P44" s="311"/>
      <c r="Q44" s="306"/>
      <c r="R44" s="306"/>
      <c r="S44" s="306"/>
      <c r="T44" s="306"/>
      <c r="U44" s="306"/>
      <c r="V44" s="306"/>
      <c r="W44" s="306"/>
    </row>
    <row r="45" spans="2:31" ht="16">
      <c r="B45" s="323" t="s">
        <v>630</v>
      </c>
      <c r="C45" s="324" t="s">
        <v>608</v>
      </c>
      <c r="D45" s="324">
        <v>0.71799999999999997</v>
      </c>
      <c r="E45" s="324">
        <v>0.78080000000000005</v>
      </c>
      <c r="F45" s="324">
        <v>0.72540000000000004</v>
      </c>
      <c r="G45" s="324">
        <v>0.72370000000000001</v>
      </c>
      <c r="H45" s="324">
        <v>0.71889999999999998</v>
      </c>
      <c r="I45" s="324">
        <v>0.71440000000000003</v>
      </c>
      <c r="J45" s="324">
        <v>0.71179999999999999</v>
      </c>
      <c r="K45" s="324">
        <v>0.70820000000000005</v>
      </c>
      <c r="L45" s="324">
        <v>0.71860000000000002</v>
      </c>
      <c r="N45" s="443" t="s">
        <v>631</v>
      </c>
      <c r="O45" s="442"/>
      <c r="P45" s="442"/>
      <c r="Q45" s="442"/>
      <c r="R45" s="442"/>
      <c r="S45" s="442"/>
      <c r="T45" s="442"/>
      <c r="U45" s="306"/>
      <c r="V45" s="306"/>
      <c r="W45" s="306"/>
    </row>
    <row r="46" spans="2:31" ht="16">
      <c r="B46" s="323" t="s">
        <v>632</v>
      </c>
      <c r="C46" s="324" t="s">
        <v>608</v>
      </c>
      <c r="D46" s="324"/>
      <c r="E46" s="324"/>
      <c r="F46" s="324"/>
      <c r="G46" s="324"/>
      <c r="H46" s="324">
        <v>0.76949999999999996</v>
      </c>
      <c r="I46" s="324">
        <v>0.75549999999999995</v>
      </c>
      <c r="J46" s="324">
        <v>0.75080000000000002</v>
      </c>
      <c r="K46" s="324">
        <v>0.75049999999999994</v>
      </c>
      <c r="L46" s="324">
        <v>0.74919999999999998</v>
      </c>
      <c r="N46" s="443" t="s">
        <v>633</v>
      </c>
      <c r="O46" s="442"/>
      <c r="P46" s="442"/>
      <c r="Q46" s="442"/>
      <c r="R46" s="306"/>
      <c r="S46" s="306"/>
      <c r="T46" s="306"/>
      <c r="U46" s="306"/>
      <c r="V46" s="306"/>
      <c r="W46" s="306"/>
    </row>
    <row r="47" spans="2:31" ht="16">
      <c r="B47" s="323" t="s">
        <v>634</v>
      </c>
      <c r="C47" s="324" t="s">
        <v>608</v>
      </c>
      <c r="D47" s="324"/>
      <c r="E47" s="324"/>
      <c r="F47" s="324"/>
      <c r="G47" s="324"/>
      <c r="H47" s="324">
        <v>0.7631</v>
      </c>
      <c r="I47" s="324">
        <v>0.749</v>
      </c>
      <c r="J47" s="324">
        <v>0.74319999999999997</v>
      </c>
      <c r="K47" s="324">
        <v>0.74219999999999997</v>
      </c>
      <c r="L47" s="324">
        <v>0.74060000000000004</v>
      </c>
      <c r="N47" s="443" t="s">
        <v>635</v>
      </c>
      <c r="O47" s="453"/>
      <c r="P47" s="311"/>
      <c r="Q47" s="306"/>
      <c r="R47" s="306"/>
      <c r="S47" s="306"/>
      <c r="T47" s="306"/>
      <c r="U47" s="306"/>
      <c r="V47" s="306"/>
      <c r="W47" s="306"/>
      <c r="AD47" s="310"/>
      <c r="AE47" s="311"/>
    </row>
    <row r="48" spans="2:31" ht="16">
      <c r="B48" s="323" t="s">
        <v>636</v>
      </c>
      <c r="C48" s="324" t="s">
        <v>608</v>
      </c>
      <c r="D48" s="324">
        <v>0.8498</v>
      </c>
      <c r="E48" s="324">
        <v>0.875</v>
      </c>
      <c r="F48" s="324">
        <v>0.86550000000000005</v>
      </c>
      <c r="G48" s="324">
        <v>0.86260000000000003</v>
      </c>
      <c r="H48" s="324">
        <v>0.8579</v>
      </c>
      <c r="I48" s="324">
        <v>0.82399999999999995</v>
      </c>
      <c r="J48" s="324">
        <v>0.83109999999999995</v>
      </c>
      <c r="K48" s="324">
        <v>0.81799999999999995</v>
      </c>
      <c r="L48" s="324">
        <v>0.82440000000000002</v>
      </c>
      <c r="N48" s="443" t="s">
        <v>637</v>
      </c>
      <c r="O48" s="442"/>
      <c r="P48" s="442"/>
      <c r="Q48" s="442"/>
      <c r="R48" s="442"/>
      <c r="S48" s="442"/>
      <c r="T48" s="442"/>
      <c r="U48" s="442"/>
      <c r="V48" s="442"/>
      <c r="W48" s="306"/>
    </row>
    <row r="49" spans="2:31" ht="16">
      <c r="B49" s="323" t="s">
        <v>638</v>
      </c>
      <c r="C49" s="324" t="s">
        <v>608</v>
      </c>
      <c r="D49" s="324">
        <v>0.5181</v>
      </c>
      <c r="E49" s="324">
        <v>0.51319999999999999</v>
      </c>
      <c r="F49" s="324">
        <v>0.51690000000000003</v>
      </c>
      <c r="G49" s="324">
        <v>0.52</v>
      </c>
      <c r="H49" s="324">
        <v>0.51</v>
      </c>
      <c r="I49" s="324">
        <v>0.51600000000000001</v>
      </c>
      <c r="J49" s="324">
        <v>0.5202</v>
      </c>
      <c r="K49" s="324">
        <v>0.51800000000000002</v>
      </c>
      <c r="L49" s="324">
        <v>0.51700000000000002</v>
      </c>
      <c r="N49" s="443" t="s">
        <v>639</v>
      </c>
      <c r="O49" s="442"/>
      <c r="P49" s="442"/>
      <c r="Q49" s="442"/>
      <c r="R49" s="442"/>
      <c r="S49" s="442"/>
      <c r="T49" s="442"/>
      <c r="U49" s="442"/>
      <c r="V49" s="306"/>
      <c r="W49" s="306"/>
      <c r="AD49" s="310"/>
      <c r="AE49" s="310"/>
    </row>
    <row r="50" spans="2:31">
      <c r="B50" s="323" t="s">
        <v>640</v>
      </c>
      <c r="C50" s="324" t="s">
        <v>608</v>
      </c>
      <c r="D50" s="324">
        <v>0.78800000000000003</v>
      </c>
      <c r="E50" s="324">
        <v>0.79959999999999998</v>
      </c>
      <c r="F50" s="324">
        <v>0.79620000000000002</v>
      </c>
      <c r="G50" s="324">
        <v>0.79759999999999998</v>
      </c>
      <c r="H50" s="324">
        <v>0.79969999999999997</v>
      </c>
      <c r="I50" s="324">
        <v>0.80179999999999996</v>
      </c>
      <c r="J50" s="324">
        <v>0.80030000000000001</v>
      </c>
      <c r="K50" s="324">
        <v>0.80249999999999999</v>
      </c>
      <c r="L50" s="324">
        <v>0.80420000000000003</v>
      </c>
      <c r="AD50" s="310"/>
      <c r="AE50" s="310"/>
    </row>
    <row r="51" spans="2:31">
      <c r="B51" s="323" t="s">
        <v>641</v>
      </c>
      <c r="C51" s="324" t="s">
        <v>608</v>
      </c>
      <c r="D51" s="324">
        <v>0.77200000000000002</v>
      </c>
      <c r="E51" s="324">
        <v>0.77200000000000002</v>
      </c>
      <c r="F51" s="324">
        <v>0.76880000000000004</v>
      </c>
      <c r="G51" s="324">
        <v>0.77280000000000004</v>
      </c>
      <c r="H51" s="324">
        <v>0.75990000000000002</v>
      </c>
      <c r="I51" s="324">
        <v>0.76629999999999998</v>
      </c>
      <c r="J51" s="324">
        <v>0.76839999999999997</v>
      </c>
      <c r="K51" s="324">
        <v>0.76090000000000002</v>
      </c>
      <c r="L51" s="324">
        <v>0.76370000000000005</v>
      </c>
      <c r="AD51" s="311"/>
      <c r="AE51" s="311"/>
    </row>
    <row r="52" spans="2:31">
      <c r="B52" s="323" t="s">
        <v>642</v>
      </c>
      <c r="C52" s="324" t="s">
        <v>608</v>
      </c>
      <c r="D52" s="324">
        <v>0.56000000000000005</v>
      </c>
      <c r="E52" s="324">
        <v>0.57420000000000004</v>
      </c>
      <c r="F52" s="324">
        <v>0.55789999999999995</v>
      </c>
      <c r="G52" s="324">
        <v>0.55400000000000005</v>
      </c>
      <c r="H52" s="324">
        <v>0.54500000000000004</v>
      </c>
      <c r="I52" s="324">
        <v>0.55600000000000005</v>
      </c>
      <c r="J52" s="324">
        <v>0.55600000000000005</v>
      </c>
      <c r="K52" s="324">
        <v>0.56000000000000005</v>
      </c>
      <c r="L52" s="324">
        <v>0.55800000000000005</v>
      </c>
      <c r="AD52" s="310"/>
      <c r="AE52" s="310"/>
    </row>
    <row r="53" spans="2:31" ht="16">
      <c r="B53" s="323" t="s">
        <v>643</v>
      </c>
      <c r="C53" s="324" t="s">
        <v>608</v>
      </c>
      <c r="D53" s="324">
        <v>0.79500000000000004</v>
      </c>
      <c r="E53" s="324">
        <v>0.79879999999999995</v>
      </c>
      <c r="F53" s="324">
        <v>0.79959999999999998</v>
      </c>
      <c r="G53" s="324">
        <v>0.80869999999999997</v>
      </c>
      <c r="H53" s="324">
        <v>0.81289999999999996</v>
      </c>
      <c r="I53" s="324">
        <v>0.80289999999999995</v>
      </c>
      <c r="J53" s="324">
        <v>0.80579999999999996</v>
      </c>
      <c r="K53" s="324">
        <v>0.80310000000000004</v>
      </c>
      <c r="L53" s="324">
        <v>0.80230000000000001</v>
      </c>
      <c r="AD53" s="310"/>
      <c r="AE53" s="305"/>
    </row>
    <row r="54" spans="2:31">
      <c r="B54" s="323" t="s">
        <v>644</v>
      </c>
      <c r="C54" s="324"/>
      <c r="D54" s="324"/>
      <c r="E54" s="324"/>
      <c r="F54" s="324"/>
      <c r="G54" s="324"/>
      <c r="H54" s="324"/>
      <c r="I54" s="324"/>
      <c r="J54" s="324"/>
      <c r="K54" s="324"/>
      <c r="L54" s="324"/>
      <c r="AD54" s="310"/>
      <c r="AE54" s="310"/>
    </row>
    <row r="55" spans="2:31">
      <c r="B55" s="310" t="s">
        <v>627</v>
      </c>
      <c r="C55" s="311"/>
      <c r="D55" s="311"/>
      <c r="E55" s="311"/>
      <c r="F55" s="311"/>
      <c r="G55" s="311"/>
      <c r="H55" s="311"/>
      <c r="I55" s="311"/>
      <c r="J55" s="311"/>
      <c r="K55" s="311"/>
      <c r="L55" s="311"/>
    </row>
    <row r="56" spans="2:31">
      <c r="B56" s="443" t="s">
        <v>629</v>
      </c>
      <c r="C56" s="453"/>
      <c r="D56" s="311"/>
      <c r="E56" s="311"/>
      <c r="F56" s="311"/>
      <c r="G56" s="311"/>
      <c r="H56" s="311"/>
      <c r="I56" s="311"/>
      <c r="J56" s="311"/>
      <c r="K56" s="311"/>
      <c r="L56" s="311"/>
      <c r="AD56" s="310"/>
      <c r="AE56" s="310"/>
    </row>
    <row r="57" spans="2:31">
      <c r="B57" s="310" t="s">
        <v>645</v>
      </c>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row>
    <row r="58" spans="2:31" ht="15" customHeight="1">
      <c r="B58" s="443" t="s">
        <v>646</v>
      </c>
      <c r="C58" s="453"/>
      <c r="D58" s="311"/>
      <c r="E58" s="311"/>
      <c r="F58" s="311"/>
      <c r="G58" s="311"/>
      <c r="H58" s="311"/>
      <c r="I58" s="311"/>
      <c r="J58" s="311"/>
      <c r="K58" s="311"/>
      <c r="L58" s="311"/>
    </row>
    <row r="59" spans="2:31">
      <c r="B59" s="310" t="s">
        <v>647</v>
      </c>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row>
    <row r="60" spans="2:31">
      <c r="B60" s="310" t="s">
        <v>648</v>
      </c>
      <c r="C60" s="310"/>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row>
    <row r="61" spans="2:31">
      <c r="B61" s="310" t="s">
        <v>649</v>
      </c>
      <c r="C61" s="310"/>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row>
    <row r="62" spans="2:31">
      <c r="B62" s="310" t="s">
        <v>650</v>
      </c>
      <c r="C62" s="310"/>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row>
    <row r="63" spans="2:31">
      <c r="B63" s="310" t="s">
        <v>651</v>
      </c>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row>
    <row r="64" spans="2:31">
      <c r="B64" s="310" t="s">
        <v>652</v>
      </c>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row>
    <row r="65" spans="2:47" ht="16">
      <c r="B65" s="310" t="s">
        <v>653</v>
      </c>
      <c r="C65" s="310"/>
      <c r="D65" s="305"/>
      <c r="E65" s="305"/>
      <c r="F65" s="305"/>
      <c r="G65" s="305"/>
      <c r="H65" s="305"/>
      <c r="I65" s="305"/>
      <c r="J65" s="305"/>
      <c r="K65" s="305"/>
      <c r="L65" s="305"/>
    </row>
    <row r="66" spans="2:47">
      <c r="B66" s="310" t="s">
        <v>654</v>
      </c>
      <c r="C66" s="310"/>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row>
    <row r="67" spans="2:47" ht="16">
      <c r="B67" s="310" t="s">
        <v>655</v>
      </c>
      <c r="C67" s="310"/>
      <c r="D67" s="305"/>
      <c r="E67" s="305"/>
      <c r="F67" s="305"/>
      <c r="G67" s="305"/>
      <c r="H67" s="305"/>
      <c r="I67" s="305"/>
      <c r="J67" s="305"/>
      <c r="K67" s="305"/>
      <c r="L67" s="305"/>
    </row>
    <row r="68" spans="2:47"/>
    <row r="69" spans="2:47" ht="16">
      <c r="B69" s="444" t="s">
        <v>656</v>
      </c>
      <c r="C69" s="445"/>
      <c r="D69" s="446"/>
      <c r="E69" s="312"/>
      <c r="F69" s="312"/>
      <c r="G69" s="312"/>
      <c r="H69" s="312"/>
      <c r="I69" s="312"/>
      <c r="J69" s="312"/>
      <c r="K69" s="312"/>
      <c r="L69" s="312"/>
      <c r="N69" s="447" t="s">
        <v>656</v>
      </c>
      <c r="O69" s="442"/>
      <c r="P69" s="442"/>
    </row>
    <row r="70" spans="2:47" ht="16">
      <c r="B70" s="441" t="s">
        <v>602</v>
      </c>
      <c r="C70" s="442"/>
      <c r="D70" s="305"/>
      <c r="E70" s="305"/>
      <c r="F70" s="305"/>
      <c r="G70" s="305"/>
      <c r="H70" s="305"/>
      <c r="I70" s="305"/>
      <c r="J70" s="305"/>
      <c r="K70" s="305"/>
      <c r="L70" s="305"/>
      <c r="N70" s="441" t="s">
        <v>603</v>
      </c>
      <c r="O70" s="442"/>
      <c r="P70" s="305"/>
      <c r="S70" s="313" t="s">
        <v>657</v>
      </c>
      <c r="T70" s="313" t="s">
        <v>658</v>
      </c>
      <c r="U70" s="313" t="s">
        <v>659</v>
      </c>
    </row>
    <row r="71" spans="2:47">
      <c r="B71" s="327"/>
      <c r="C71" s="327" t="s">
        <v>604</v>
      </c>
      <c r="D71" s="331" t="s">
        <v>605</v>
      </c>
      <c r="E71" s="331">
        <v>2000</v>
      </c>
      <c r="F71" s="331">
        <v>2005</v>
      </c>
      <c r="G71" s="331">
        <v>2010</v>
      </c>
      <c r="H71" s="331">
        <v>2015</v>
      </c>
      <c r="I71" s="331">
        <v>2020</v>
      </c>
      <c r="J71" s="331">
        <v>2021</v>
      </c>
      <c r="K71" s="331">
        <v>2022</v>
      </c>
      <c r="L71" s="331">
        <v>2023</v>
      </c>
      <c r="N71" s="327"/>
      <c r="O71" s="327" t="s">
        <v>604</v>
      </c>
      <c r="P71" s="327" t="s">
        <v>606</v>
      </c>
      <c r="R71" s="313" t="s">
        <v>660</v>
      </c>
      <c r="S71" s="313">
        <v>74100</v>
      </c>
      <c r="T71" s="313">
        <v>0.83340000000000003</v>
      </c>
    </row>
    <row r="72" spans="2:47">
      <c r="B72" s="323" t="s">
        <v>661</v>
      </c>
      <c r="C72" s="324" t="s">
        <v>496</v>
      </c>
      <c r="D72" s="328"/>
      <c r="E72" s="328"/>
      <c r="F72" s="328"/>
      <c r="G72" s="329">
        <v>2361</v>
      </c>
      <c r="H72" s="329">
        <v>2219</v>
      </c>
      <c r="I72" s="329">
        <v>2708</v>
      </c>
      <c r="J72" s="329">
        <v>2831</v>
      </c>
      <c r="K72" s="329">
        <v>2703</v>
      </c>
      <c r="L72" s="329">
        <v>2794</v>
      </c>
      <c r="N72" s="323" t="s">
        <v>609</v>
      </c>
      <c r="O72" s="324" t="s">
        <v>662</v>
      </c>
      <c r="P72" s="329">
        <v>9640</v>
      </c>
      <c r="AD72" s="310"/>
      <c r="AE72" s="310"/>
      <c r="AF72" s="310"/>
      <c r="AG72" s="310"/>
      <c r="AH72" s="310"/>
      <c r="AI72" s="310"/>
      <c r="AJ72" s="310"/>
      <c r="AK72" s="310"/>
      <c r="AL72" s="310"/>
      <c r="AM72" s="310"/>
      <c r="AN72" s="310"/>
      <c r="AO72" s="310"/>
      <c r="AP72" s="310"/>
      <c r="AQ72" s="310"/>
      <c r="AR72" s="310"/>
      <c r="AS72" s="310"/>
      <c r="AT72" s="310"/>
      <c r="AU72" s="314"/>
    </row>
    <row r="73" spans="2:47">
      <c r="B73" s="323" t="s">
        <v>663</v>
      </c>
      <c r="C73" s="324" t="s">
        <v>496</v>
      </c>
      <c r="D73" s="328"/>
      <c r="E73" s="328"/>
      <c r="F73" s="328"/>
      <c r="G73" s="329">
        <v>1769</v>
      </c>
      <c r="H73" s="329">
        <v>1769</v>
      </c>
      <c r="I73" s="329">
        <v>1769</v>
      </c>
      <c r="J73" s="329">
        <v>1769</v>
      </c>
      <c r="K73" s="329">
        <v>1769</v>
      </c>
      <c r="L73" s="329">
        <v>1769</v>
      </c>
      <c r="N73" s="323" t="s">
        <v>664</v>
      </c>
      <c r="O73" s="324" t="s">
        <v>496</v>
      </c>
      <c r="P73" s="329">
        <v>2182</v>
      </c>
    </row>
    <row r="74" spans="2:47">
      <c r="B74" s="323" t="s">
        <v>607</v>
      </c>
      <c r="C74" s="324" t="s">
        <v>662</v>
      </c>
      <c r="D74" s="329">
        <v>6244</v>
      </c>
      <c r="E74" s="329">
        <v>6253</v>
      </c>
      <c r="F74" s="329">
        <v>6301</v>
      </c>
      <c r="G74" s="329">
        <v>6166</v>
      </c>
      <c r="H74" s="329">
        <v>6139</v>
      </c>
      <c r="I74" s="329">
        <v>6120</v>
      </c>
      <c r="J74" s="329">
        <v>6128</v>
      </c>
      <c r="K74" s="329">
        <v>6094</v>
      </c>
      <c r="L74" s="329">
        <v>6118</v>
      </c>
      <c r="N74" s="323" t="s">
        <v>665</v>
      </c>
      <c r="O74" s="324" t="s">
        <v>496</v>
      </c>
      <c r="P74" s="329">
        <v>9500</v>
      </c>
    </row>
    <row r="75" spans="2:47">
      <c r="B75" s="323" t="s">
        <v>666</v>
      </c>
      <c r="C75" s="324" t="s">
        <v>496</v>
      </c>
      <c r="D75" s="329">
        <v>7000</v>
      </c>
      <c r="E75" s="329">
        <v>7000</v>
      </c>
      <c r="F75" s="329">
        <v>7000</v>
      </c>
      <c r="G75" s="329">
        <v>7000</v>
      </c>
      <c r="H75" s="329">
        <v>7000</v>
      </c>
      <c r="I75" s="329">
        <v>7000</v>
      </c>
      <c r="J75" s="329">
        <v>7000</v>
      </c>
      <c r="K75" s="329">
        <v>2740</v>
      </c>
      <c r="L75" s="329">
        <v>2740</v>
      </c>
      <c r="N75" s="323" t="s">
        <v>667</v>
      </c>
      <c r="O75" s="324" t="s">
        <v>496</v>
      </c>
      <c r="P75" s="329">
        <v>6400</v>
      </c>
      <c r="AD75" s="310"/>
      <c r="AE75" s="310"/>
      <c r="AF75" s="310"/>
      <c r="AG75" s="310"/>
      <c r="AH75" s="310"/>
      <c r="AI75" s="310"/>
      <c r="AJ75" s="310"/>
      <c r="AK75" s="310"/>
      <c r="AL75" s="310"/>
      <c r="AM75" s="310"/>
      <c r="AN75" s="310"/>
      <c r="AO75" s="310"/>
      <c r="AP75" s="310"/>
      <c r="AQ75" s="310"/>
      <c r="AR75" s="310"/>
      <c r="AS75" s="310"/>
      <c r="AT75" s="310"/>
      <c r="AU75" s="310"/>
    </row>
    <row r="76" spans="2:47">
      <c r="B76" s="323" t="s">
        <v>668</v>
      </c>
      <c r="C76" s="324" t="s">
        <v>662</v>
      </c>
      <c r="D76" s="329">
        <v>8362</v>
      </c>
      <c r="E76" s="329">
        <v>9117</v>
      </c>
      <c r="F76" s="329">
        <v>9438</v>
      </c>
      <c r="G76" s="329">
        <v>9608</v>
      </c>
      <c r="H76" s="329">
        <v>9382</v>
      </c>
      <c r="I76" s="329">
        <v>9188</v>
      </c>
      <c r="J76" s="329">
        <v>9285</v>
      </c>
      <c r="K76" s="329">
        <v>9156</v>
      </c>
      <c r="L76" s="329">
        <v>9239</v>
      </c>
      <c r="N76" s="323" t="s">
        <v>669</v>
      </c>
      <c r="O76" s="324" t="s">
        <v>496</v>
      </c>
      <c r="P76" s="329">
        <v>9386</v>
      </c>
    </row>
    <row r="77" spans="2:47">
      <c r="B77" s="323" t="s">
        <v>612</v>
      </c>
      <c r="C77" s="324" t="s">
        <v>662</v>
      </c>
      <c r="D77" s="329">
        <v>8549</v>
      </c>
      <c r="E77" s="329">
        <v>9490</v>
      </c>
      <c r="F77" s="329">
        <v>9476</v>
      </c>
      <c r="G77" s="329">
        <v>9674</v>
      </c>
      <c r="H77" s="329">
        <v>9462</v>
      </c>
      <c r="I77" s="329">
        <v>9267</v>
      </c>
      <c r="J77" s="329">
        <v>9356</v>
      </c>
      <c r="K77" s="329">
        <v>9197</v>
      </c>
      <c r="L77" s="329">
        <v>9288</v>
      </c>
      <c r="N77" s="323" t="s">
        <v>670</v>
      </c>
      <c r="O77" s="324" t="s">
        <v>496</v>
      </c>
      <c r="P77" s="329">
        <v>8000</v>
      </c>
      <c r="AD77" s="315"/>
      <c r="AE77" s="315"/>
    </row>
    <row r="78" spans="2:47">
      <c r="B78" s="323" t="s">
        <v>614</v>
      </c>
      <c r="C78" s="324" t="s">
        <v>662</v>
      </c>
      <c r="D78" s="329">
        <v>8691</v>
      </c>
      <c r="E78" s="329">
        <v>9601</v>
      </c>
      <c r="F78" s="329">
        <v>9567</v>
      </c>
      <c r="G78" s="329">
        <v>9570</v>
      </c>
      <c r="H78" s="329">
        <v>9597</v>
      </c>
      <c r="I78" s="329">
        <v>9401</v>
      </c>
      <c r="J78" s="329">
        <v>9533</v>
      </c>
      <c r="K78" s="329">
        <v>9257</v>
      </c>
      <c r="L78" s="329">
        <v>9439</v>
      </c>
      <c r="N78" s="323" t="s">
        <v>617</v>
      </c>
      <c r="O78" s="324" t="s">
        <v>496</v>
      </c>
      <c r="P78" s="329">
        <v>7500</v>
      </c>
      <c r="AD78" s="310"/>
      <c r="AE78" s="310"/>
      <c r="AF78" s="310"/>
      <c r="AG78" s="310"/>
      <c r="AH78" s="310"/>
      <c r="AI78" s="310"/>
      <c r="AJ78" s="310"/>
      <c r="AK78" s="310"/>
      <c r="AL78" s="310"/>
      <c r="AM78" s="310"/>
      <c r="AN78" s="310"/>
      <c r="AO78" s="310"/>
      <c r="AP78" s="310"/>
      <c r="AQ78" s="310"/>
      <c r="AR78" s="310"/>
      <c r="AS78" s="310"/>
      <c r="AT78" s="310"/>
      <c r="AU78" s="315"/>
    </row>
    <row r="79" spans="2:47">
      <c r="B79" s="323" t="s">
        <v>671</v>
      </c>
      <c r="C79" s="324" t="s">
        <v>662</v>
      </c>
      <c r="D79" s="328"/>
      <c r="E79" s="328"/>
      <c r="F79" s="329">
        <v>9542</v>
      </c>
      <c r="G79" s="329">
        <v>9614</v>
      </c>
      <c r="H79" s="329">
        <v>9515</v>
      </c>
      <c r="I79" s="329">
        <v>9370</v>
      </c>
      <c r="J79" s="329">
        <v>9472</v>
      </c>
      <c r="K79" s="329">
        <v>9201</v>
      </c>
      <c r="L79" s="329">
        <v>9299</v>
      </c>
      <c r="N79" s="323" t="s">
        <v>672</v>
      </c>
      <c r="O79" s="324" t="s">
        <v>496</v>
      </c>
      <c r="P79" s="329">
        <v>2850</v>
      </c>
      <c r="AD79" s="316"/>
      <c r="AE79" s="316"/>
      <c r="AF79" s="316"/>
      <c r="AG79" s="316"/>
      <c r="AH79" s="316"/>
      <c r="AI79" s="316"/>
      <c r="AJ79" s="316"/>
      <c r="AK79" s="316"/>
      <c r="AL79" s="316"/>
      <c r="AM79" s="316"/>
      <c r="AN79" s="316"/>
      <c r="AO79" s="316"/>
      <c r="AP79" s="316"/>
      <c r="AQ79" s="316"/>
      <c r="AR79" s="316"/>
      <c r="AS79" s="316"/>
      <c r="AT79" s="316"/>
      <c r="AU79" s="316"/>
    </row>
    <row r="80" spans="2:47">
      <c r="B80" s="323" t="s">
        <v>673</v>
      </c>
      <c r="C80" s="324" t="s">
        <v>662</v>
      </c>
      <c r="D80" s="328"/>
      <c r="E80" s="328"/>
      <c r="F80" s="328"/>
      <c r="G80" s="328"/>
      <c r="H80" s="329">
        <v>9515</v>
      </c>
      <c r="I80" s="329">
        <v>9429</v>
      </c>
      <c r="J80" s="329">
        <v>9515</v>
      </c>
      <c r="K80" s="329">
        <v>9309</v>
      </c>
      <c r="L80" s="329">
        <v>9346</v>
      </c>
      <c r="N80" s="323" t="s">
        <v>674</v>
      </c>
      <c r="O80" s="324" t="s">
        <v>496</v>
      </c>
      <c r="P80" s="329">
        <v>3800</v>
      </c>
    </row>
    <row r="81" spans="2:47">
      <c r="B81" s="323" t="s">
        <v>622</v>
      </c>
      <c r="C81" s="324" t="s">
        <v>662</v>
      </c>
      <c r="D81" s="328"/>
      <c r="E81" s="328"/>
      <c r="F81" s="328"/>
      <c r="G81" s="328"/>
      <c r="H81" s="328"/>
      <c r="I81" s="328"/>
      <c r="J81" s="328"/>
      <c r="K81" s="328"/>
      <c r="L81" s="328"/>
      <c r="N81" s="323" t="s">
        <v>675</v>
      </c>
      <c r="O81" s="324" t="s">
        <v>496</v>
      </c>
      <c r="P81" s="329">
        <v>3712</v>
      </c>
      <c r="AD81" s="316"/>
      <c r="AE81" s="316"/>
      <c r="AF81" s="316"/>
      <c r="AG81" s="316"/>
      <c r="AH81" s="316"/>
      <c r="AI81" s="316"/>
      <c r="AJ81" s="316"/>
      <c r="AK81" s="316"/>
      <c r="AL81" s="316"/>
      <c r="AM81" s="316"/>
      <c r="AN81" s="316"/>
      <c r="AO81" s="316"/>
      <c r="AP81" s="316"/>
      <c r="AQ81" s="316"/>
      <c r="AR81" s="316"/>
      <c r="AS81" s="316"/>
      <c r="AT81" s="315"/>
      <c r="AU81" s="315"/>
    </row>
    <row r="82" spans="2:47">
      <c r="B82" s="323" t="s">
        <v>624</v>
      </c>
      <c r="C82" s="324" t="s">
        <v>662</v>
      </c>
      <c r="D82" s="328"/>
      <c r="E82" s="328"/>
      <c r="F82" s="328"/>
      <c r="G82" s="328"/>
      <c r="H82" s="329">
        <v>8584</v>
      </c>
      <c r="I82" s="329">
        <v>8480</v>
      </c>
      <c r="J82" s="329">
        <v>8541</v>
      </c>
      <c r="K82" s="329">
        <v>8521</v>
      </c>
      <c r="L82" s="329">
        <v>8521</v>
      </c>
      <c r="N82" s="323" t="s">
        <v>676</v>
      </c>
      <c r="O82" s="324" t="s">
        <v>496</v>
      </c>
      <c r="P82" s="329">
        <v>6800</v>
      </c>
      <c r="AC82" s="310"/>
      <c r="AD82" s="316"/>
      <c r="AE82" s="316"/>
      <c r="AF82" s="316"/>
      <c r="AG82" s="316"/>
      <c r="AH82" s="316"/>
      <c r="AI82" s="315"/>
      <c r="AJ82" s="315"/>
      <c r="AK82" s="315"/>
      <c r="AL82" s="315"/>
      <c r="AM82" s="315"/>
    </row>
    <row r="83" spans="2:47">
      <c r="B83" s="456" t="s">
        <v>626</v>
      </c>
      <c r="C83" s="324" t="s">
        <v>662</v>
      </c>
      <c r="D83" s="328"/>
      <c r="E83" s="328"/>
      <c r="F83" s="328"/>
      <c r="G83" s="328"/>
      <c r="H83" s="329">
        <v>8697</v>
      </c>
      <c r="I83" s="329">
        <v>8562</v>
      </c>
      <c r="J83" s="329">
        <v>8583</v>
      </c>
      <c r="K83" s="329">
        <v>8554</v>
      </c>
      <c r="L83" s="329">
        <v>8551</v>
      </c>
      <c r="N83" s="323" t="s">
        <v>677</v>
      </c>
      <c r="O83" s="324" t="s">
        <v>678</v>
      </c>
      <c r="P83" s="329">
        <v>11000</v>
      </c>
      <c r="AD83" s="316"/>
      <c r="AE83" s="316"/>
      <c r="AF83" s="316"/>
      <c r="AG83" s="316"/>
      <c r="AH83" s="316"/>
      <c r="AI83" s="316"/>
      <c r="AJ83" s="316"/>
      <c r="AK83" s="316"/>
      <c r="AL83" s="316"/>
      <c r="AM83" s="316"/>
      <c r="AN83" s="316"/>
      <c r="AO83" s="316"/>
      <c r="AP83" s="316"/>
      <c r="AQ83" s="316"/>
      <c r="AR83" s="316"/>
      <c r="AS83" s="316"/>
      <c r="AT83" s="316"/>
      <c r="AU83" s="316"/>
    </row>
    <row r="84" spans="2:47">
      <c r="B84" s="457"/>
      <c r="C84" s="324" t="s">
        <v>679</v>
      </c>
      <c r="D84" s="328"/>
      <c r="E84" s="328"/>
      <c r="F84" s="328"/>
      <c r="G84" s="328"/>
      <c r="H84" s="328"/>
      <c r="I84" s="330">
        <v>5.1400000000000001E-2</v>
      </c>
      <c r="J84" s="330">
        <v>4.07E-2</v>
      </c>
      <c r="K84" s="330">
        <v>7.0000000000000001E-3</v>
      </c>
      <c r="L84" s="328" t="s">
        <v>299</v>
      </c>
      <c r="N84" s="323" t="s">
        <v>620</v>
      </c>
      <c r="O84" s="324" t="s">
        <v>678</v>
      </c>
      <c r="P84" s="329">
        <v>8300</v>
      </c>
      <c r="AD84" s="310"/>
      <c r="AE84" s="310"/>
      <c r="AF84" s="310"/>
      <c r="AG84" s="310"/>
      <c r="AH84" s="310"/>
      <c r="AI84" s="310"/>
      <c r="AJ84" s="310"/>
      <c r="AK84" s="310"/>
      <c r="AL84" s="310"/>
      <c r="AM84" s="310"/>
      <c r="AN84" s="310"/>
      <c r="AO84" s="310"/>
      <c r="AP84" s="310"/>
      <c r="AQ84" s="310"/>
      <c r="AR84" s="310"/>
      <c r="AS84" s="310"/>
      <c r="AT84" s="310"/>
      <c r="AU84" s="310"/>
    </row>
    <row r="85" spans="2:47">
      <c r="B85" s="323" t="s">
        <v>628</v>
      </c>
      <c r="C85" s="324" t="s">
        <v>662</v>
      </c>
      <c r="D85" s="328"/>
      <c r="E85" s="328"/>
      <c r="F85" s="329">
        <v>8691</v>
      </c>
      <c r="G85" s="329">
        <v>8682</v>
      </c>
      <c r="H85" s="329">
        <v>8796</v>
      </c>
      <c r="I85" s="329">
        <v>8719</v>
      </c>
      <c r="J85" s="329">
        <v>8776</v>
      </c>
      <c r="K85" s="329">
        <v>8724</v>
      </c>
      <c r="L85" s="329">
        <v>8690</v>
      </c>
      <c r="N85" s="323" t="s">
        <v>680</v>
      </c>
      <c r="O85" s="324" t="s">
        <v>681</v>
      </c>
      <c r="P85" s="329">
        <v>2400</v>
      </c>
      <c r="AC85" s="310"/>
      <c r="AD85" s="310"/>
      <c r="AE85" s="310"/>
      <c r="AF85" s="310"/>
      <c r="AG85" s="310"/>
      <c r="AH85" s="310"/>
      <c r="AI85" s="310"/>
      <c r="AJ85" s="310"/>
      <c r="AK85" s="310"/>
      <c r="AL85" s="310"/>
      <c r="AM85" s="310"/>
      <c r="AN85" s="310"/>
      <c r="AO85" s="310"/>
      <c r="AP85" s="310"/>
      <c r="AQ85" s="310"/>
      <c r="AR85" s="310"/>
      <c r="AS85" s="310"/>
      <c r="AT85" s="310"/>
      <c r="AU85" s="310"/>
    </row>
    <row r="86" spans="2:47">
      <c r="B86" s="323" t="s">
        <v>630</v>
      </c>
      <c r="C86" s="324" t="s">
        <v>662</v>
      </c>
      <c r="D86" s="329">
        <v>7970</v>
      </c>
      <c r="E86" s="329">
        <v>8183</v>
      </c>
      <c r="F86" s="329">
        <v>7653</v>
      </c>
      <c r="G86" s="329">
        <v>7625</v>
      </c>
      <c r="H86" s="329">
        <v>7582</v>
      </c>
      <c r="I86" s="329">
        <v>7542</v>
      </c>
      <c r="J86" s="329">
        <v>7519</v>
      </c>
      <c r="K86" s="329">
        <v>7486</v>
      </c>
      <c r="L86" s="329">
        <v>7580</v>
      </c>
      <c r="N86" s="323" t="s">
        <v>682</v>
      </c>
      <c r="O86" s="324" t="s">
        <v>496</v>
      </c>
      <c r="P86" s="329">
        <v>2700</v>
      </c>
      <c r="AD86" s="310"/>
      <c r="AE86" s="310"/>
      <c r="AF86" s="310"/>
      <c r="AG86" s="310"/>
      <c r="AH86" s="310"/>
      <c r="AI86" s="310"/>
      <c r="AJ86" s="310"/>
      <c r="AK86" s="310"/>
      <c r="AL86" s="310"/>
      <c r="AM86" s="310"/>
      <c r="AN86" s="310"/>
      <c r="AO86" s="310"/>
      <c r="AP86" s="310"/>
      <c r="AQ86" s="310"/>
      <c r="AR86" s="310"/>
      <c r="AS86" s="310"/>
      <c r="AT86" s="310"/>
      <c r="AU86" s="310"/>
    </row>
    <row r="87" spans="2:47">
      <c r="B87" s="323" t="s">
        <v>632</v>
      </c>
      <c r="C87" s="324" t="s">
        <v>662</v>
      </c>
      <c r="D87" s="328"/>
      <c r="E87" s="328"/>
      <c r="F87" s="328"/>
      <c r="G87" s="328"/>
      <c r="H87" s="329">
        <v>8024</v>
      </c>
      <c r="I87" s="329">
        <v>7904</v>
      </c>
      <c r="J87" s="329">
        <v>7863</v>
      </c>
      <c r="K87" s="329">
        <v>7860</v>
      </c>
      <c r="L87" s="329">
        <v>7849</v>
      </c>
      <c r="N87" s="323" t="s">
        <v>623</v>
      </c>
      <c r="O87" s="324" t="s">
        <v>662</v>
      </c>
      <c r="P87" s="329">
        <v>9090</v>
      </c>
      <c r="AC87" s="315"/>
      <c r="AD87" s="310"/>
      <c r="AE87" s="310"/>
      <c r="AF87" s="310"/>
      <c r="AG87" s="310"/>
      <c r="AH87" s="310"/>
      <c r="AI87" s="310"/>
      <c r="AJ87" s="310"/>
      <c r="AK87" s="310"/>
      <c r="AL87" s="310"/>
      <c r="AM87" s="310"/>
      <c r="AN87" s="310"/>
      <c r="AO87" s="310"/>
      <c r="AP87" s="310"/>
      <c r="AQ87" s="310"/>
      <c r="AR87" s="310"/>
      <c r="AS87" s="310"/>
      <c r="AT87" s="310"/>
      <c r="AU87" s="310"/>
    </row>
    <row r="88" spans="2:47">
      <c r="B88" s="323" t="s">
        <v>634</v>
      </c>
      <c r="C88" s="324" t="s">
        <v>662</v>
      </c>
      <c r="D88" s="328"/>
      <c r="E88" s="328"/>
      <c r="F88" s="328"/>
      <c r="G88" s="328"/>
      <c r="H88" s="329">
        <v>7969</v>
      </c>
      <c r="I88" s="329">
        <v>7847</v>
      </c>
      <c r="J88" s="329">
        <v>7797</v>
      </c>
      <c r="K88" s="329">
        <v>7788</v>
      </c>
      <c r="L88" s="329">
        <v>7774</v>
      </c>
      <c r="N88" s="323" t="s">
        <v>683</v>
      </c>
      <c r="O88" s="324" t="s">
        <v>496</v>
      </c>
      <c r="P88" s="329">
        <v>3600</v>
      </c>
      <c r="AC88" s="310"/>
    </row>
    <row r="89" spans="2:47">
      <c r="B89" s="323" t="s">
        <v>684</v>
      </c>
      <c r="C89" s="324" t="s">
        <v>496</v>
      </c>
      <c r="D89" s="329">
        <v>3300</v>
      </c>
      <c r="E89" s="329">
        <v>3300</v>
      </c>
      <c r="F89" s="329">
        <v>3300</v>
      </c>
      <c r="G89" s="329">
        <v>3009</v>
      </c>
      <c r="H89" s="329">
        <v>3015</v>
      </c>
      <c r="I89" s="329">
        <v>3016</v>
      </c>
      <c r="J89" s="329">
        <v>3017</v>
      </c>
      <c r="K89" s="329">
        <v>3016</v>
      </c>
      <c r="L89" s="329">
        <v>3162</v>
      </c>
      <c r="N89" s="323" t="s">
        <v>625</v>
      </c>
      <c r="O89" s="324"/>
      <c r="P89" s="328"/>
      <c r="AC89" s="316"/>
      <c r="AD89" s="310"/>
      <c r="AE89" s="317"/>
    </row>
    <row r="90" spans="2:47">
      <c r="B90" s="323" t="s">
        <v>636</v>
      </c>
      <c r="C90" s="324" t="s">
        <v>662</v>
      </c>
      <c r="D90" s="329">
        <v>8923</v>
      </c>
      <c r="E90" s="329">
        <v>10216</v>
      </c>
      <c r="F90" s="329">
        <v>8790</v>
      </c>
      <c r="G90" s="329">
        <v>8700</v>
      </c>
      <c r="H90" s="329">
        <v>8717</v>
      </c>
      <c r="I90" s="329">
        <v>8457</v>
      </c>
      <c r="J90" s="329">
        <v>8509</v>
      </c>
      <c r="K90" s="329">
        <v>8416</v>
      </c>
      <c r="L90" s="329">
        <v>8466</v>
      </c>
      <c r="N90" s="310" t="s">
        <v>627</v>
      </c>
      <c r="O90" s="314"/>
      <c r="P90" s="317"/>
      <c r="AD90" s="314"/>
      <c r="AE90" s="314"/>
    </row>
    <row r="91" spans="2:47">
      <c r="B91" s="323" t="s">
        <v>638</v>
      </c>
      <c r="C91" s="324" t="s">
        <v>496</v>
      </c>
      <c r="D91" s="329">
        <v>10990</v>
      </c>
      <c r="E91" s="329">
        <v>11041</v>
      </c>
      <c r="F91" s="329">
        <v>10993</v>
      </c>
      <c r="G91" s="329">
        <v>11073</v>
      </c>
      <c r="H91" s="329">
        <v>10050</v>
      </c>
      <c r="I91" s="329">
        <v>11000</v>
      </c>
      <c r="J91" s="329">
        <v>10974</v>
      </c>
      <c r="K91" s="329">
        <v>11000</v>
      </c>
      <c r="L91" s="329">
        <v>11004</v>
      </c>
      <c r="N91" s="310" t="s">
        <v>685</v>
      </c>
      <c r="O91" s="310"/>
      <c r="P91" s="310"/>
      <c r="AC91" s="316"/>
    </row>
    <row r="92" spans="2:47">
      <c r="B92" s="323" t="s">
        <v>640</v>
      </c>
      <c r="C92" s="324" t="s">
        <v>662</v>
      </c>
      <c r="D92" s="329">
        <v>8195</v>
      </c>
      <c r="E92" s="329">
        <v>8288</v>
      </c>
      <c r="F92" s="329">
        <v>8256</v>
      </c>
      <c r="G92" s="329">
        <v>8258</v>
      </c>
      <c r="H92" s="329">
        <v>8277</v>
      </c>
      <c r="I92" s="329">
        <v>8293</v>
      </c>
      <c r="J92" s="329">
        <v>8281</v>
      </c>
      <c r="K92" s="329">
        <v>8299</v>
      </c>
      <c r="L92" s="329">
        <v>8313</v>
      </c>
      <c r="N92" s="310" t="s">
        <v>686</v>
      </c>
      <c r="O92" s="310"/>
      <c r="P92" s="310"/>
      <c r="AC92" s="316"/>
      <c r="AD92" s="317"/>
      <c r="AE92" s="317"/>
    </row>
    <row r="93" spans="2:47">
      <c r="B93" s="323" t="s">
        <v>687</v>
      </c>
      <c r="C93" s="324" t="s">
        <v>496</v>
      </c>
      <c r="D93" s="328"/>
      <c r="E93" s="328"/>
      <c r="F93" s="328"/>
      <c r="G93" s="328"/>
      <c r="H93" s="329">
        <v>6280</v>
      </c>
      <c r="I93" s="329">
        <v>6732</v>
      </c>
      <c r="J93" s="329">
        <v>6932</v>
      </c>
      <c r="K93" s="329">
        <v>7048</v>
      </c>
      <c r="L93" s="329">
        <v>7482</v>
      </c>
      <c r="N93" s="310" t="s">
        <v>688</v>
      </c>
      <c r="O93" s="310"/>
      <c r="P93" s="310"/>
      <c r="AC93" s="316"/>
      <c r="AD93" s="310"/>
      <c r="AE93" s="310"/>
    </row>
    <row r="94" spans="2:47">
      <c r="B94" s="323" t="s">
        <v>689</v>
      </c>
      <c r="C94" s="324" t="s">
        <v>662</v>
      </c>
      <c r="D94" s="329">
        <v>8098</v>
      </c>
      <c r="E94" s="329">
        <v>8098</v>
      </c>
      <c r="F94" s="329">
        <v>8029</v>
      </c>
      <c r="G94" s="329">
        <v>8045</v>
      </c>
      <c r="H94" s="329">
        <v>7939</v>
      </c>
      <c r="I94" s="329">
        <v>7993</v>
      </c>
      <c r="J94" s="329">
        <v>8012</v>
      </c>
      <c r="K94" s="329">
        <v>7948</v>
      </c>
      <c r="L94" s="329">
        <v>7971</v>
      </c>
      <c r="N94" s="310" t="s">
        <v>690</v>
      </c>
      <c r="O94" s="310"/>
      <c r="P94" s="310"/>
      <c r="AC94" s="310"/>
    </row>
    <row r="95" spans="2:47">
      <c r="B95" s="323" t="s">
        <v>642</v>
      </c>
      <c r="C95" s="324" t="s">
        <v>496</v>
      </c>
      <c r="D95" s="329">
        <v>11150</v>
      </c>
      <c r="E95" s="329">
        <v>10890</v>
      </c>
      <c r="F95" s="329">
        <v>10908</v>
      </c>
      <c r="G95" s="329">
        <v>10913</v>
      </c>
      <c r="H95" s="329">
        <v>10930</v>
      </c>
      <c r="I95" s="329">
        <v>10923</v>
      </c>
      <c r="J95" s="329">
        <v>10912</v>
      </c>
      <c r="K95" s="329">
        <v>10918</v>
      </c>
      <c r="L95" s="329">
        <v>10927</v>
      </c>
      <c r="N95" s="310" t="s">
        <v>691</v>
      </c>
      <c r="O95" s="310"/>
      <c r="P95" s="310"/>
      <c r="AC95" s="310"/>
      <c r="AD95" s="317"/>
      <c r="AE95" s="317"/>
    </row>
    <row r="96" spans="2:47">
      <c r="B96" s="323" t="s">
        <v>643</v>
      </c>
      <c r="C96" s="324" t="s">
        <v>662</v>
      </c>
      <c r="D96" s="329">
        <v>8220</v>
      </c>
      <c r="E96" s="329">
        <v>8264</v>
      </c>
      <c r="F96" s="329">
        <v>8290</v>
      </c>
      <c r="G96" s="329">
        <v>8349</v>
      </c>
      <c r="H96" s="329">
        <v>8383</v>
      </c>
      <c r="I96" s="329">
        <v>8302</v>
      </c>
      <c r="J96" s="329">
        <v>8327</v>
      </c>
      <c r="K96" s="329">
        <v>8304</v>
      </c>
      <c r="L96" s="329">
        <v>8296</v>
      </c>
      <c r="N96" s="310" t="s">
        <v>692</v>
      </c>
      <c r="O96" s="310"/>
      <c r="P96" s="310"/>
      <c r="AC96" s="310"/>
    </row>
    <row r="97" spans="2:31">
      <c r="B97" s="323" t="s">
        <v>693</v>
      </c>
      <c r="C97" s="324"/>
      <c r="D97" s="328"/>
      <c r="E97" s="328"/>
      <c r="F97" s="328"/>
      <c r="G97" s="328"/>
      <c r="H97" s="328"/>
      <c r="I97" s="328"/>
      <c r="J97" s="328"/>
      <c r="K97" s="328"/>
      <c r="L97" s="328"/>
      <c r="N97" s="315"/>
      <c r="O97" s="314"/>
      <c r="P97" s="317"/>
      <c r="AC97" s="310"/>
      <c r="AD97" s="310"/>
      <c r="AE97" s="310"/>
    </row>
    <row r="98" spans="2:31">
      <c r="B98" s="310" t="s">
        <v>627</v>
      </c>
      <c r="C98" s="314"/>
      <c r="D98" s="317"/>
      <c r="E98" s="317"/>
      <c r="F98" s="317"/>
      <c r="G98" s="317"/>
      <c r="H98" s="317"/>
      <c r="I98" s="317"/>
      <c r="J98" s="317"/>
      <c r="K98" s="317"/>
      <c r="L98" s="317"/>
      <c r="N98" s="310" t="s">
        <v>694</v>
      </c>
      <c r="O98" s="314"/>
      <c r="P98" s="317"/>
      <c r="AD98" s="310"/>
      <c r="AE98" s="310"/>
    </row>
    <row r="99" spans="2:31">
      <c r="B99" s="310" t="s">
        <v>695</v>
      </c>
      <c r="C99" s="310"/>
      <c r="D99" s="310"/>
      <c r="E99" s="310"/>
      <c r="F99" s="310"/>
      <c r="G99" s="310"/>
      <c r="H99" s="310"/>
      <c r="I99" s="310"/>
      <c r="J99" s="310"/>
      <c r="K99" s="310"/>
      <c r="L99" s="310"/>
      <c r="M99" s="310"/>
      <c r="N99" s="443" t="s">
        <v>696</v>
      </c>
      <c r="O99" s="442"/>
      <c r="P99" s="318"/>
      <c r="Q99" s="310"/>
      <c r="R99" s="310"/>
      <c r="S99" s="310"/>
      <c r="T99" s="310"/>
      <c r="U99" s="310"/>
      <c r="V99" s="310"/>
      <c r="W99" s="310"/>
      <c r="X99" s="310"/>
      <c r="Y99" s="310"/>
      <c r="Z99" s="310"/>
      <c r="AA99" s="310"/>
      <c r="AB99" s="310"/>
      <c r="AC99" s="310"/>
      <c r="AD99" s="310"/>
      <c r="AE99" s="310"/>
    </row>
    <row r="100" spans="2:31">
      <c r="B100" s="438" t="s">
        <v>697</v>
      </c>
      <c r="C100" s="439"/>
      <c r="D100" s="440"/>
      <c r="E100" s="317"/>
      <c r="F100" s="317"/>
      <c r="G100" s="317"/>
      <c r="H100" s="317"/>
      <c r="I100" s="317"/>
      <c r="J100" s="317"/>
      <c r="K100" s="317"/>
      <c r="L100" s="317"/>
      <c r="AC100" s="314"/>
    </row>
    <row r="101" spans="2:31">
      <c r="B101" s="438" t="s">
        <v>646</v>
      </c>
      <c r="C101" s="439"/>
      <c r="D101" s="439"/>
      <c r="E101" s="439"/>
      <c r="F101" s="439"/>
      <c r="G101" s="439"/>
      <c r="H101" s="440"/>
      <c r="I101" s="317"/>
      <c r="J101" s="317"/>
      <c r="K101" s="317"/>
      <c r="L101" s="317"/>
      <c r="M101" s="317"/>
      <c r="N101" s="317"/>
      <c r="O101" s="317"/>
      <c r="AD101" s="310"/>
      <c r="AE101" s="310"/>
    </row>
    <row r="102" spans="2:31">
      <c r="B102" s="310" t="s">
        <v>698</v>
      </c>
      <c r="C102" s="310"/>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0"/>
    </row>
    <row r="103" spans="2:31">
      <c r="B103" s="310" t="s">
        <v>699</v>
      </c>
      <c r="C103" s="310"/>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310"/>
      <c r="AC103" s="310"/>
    </row>
    <row r="104" spans="2:31">
      <c r="B104" s="310" t="s">
        <v>700</v>
      </c>
      <c r="C104" s="310"/>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row>
    <row r="105" spans="2:31">
      <c r="B105" s="310" t="s">
        <v>649</v>
      </c>
      <c r="C105" s="310"/>
      <c r="D105" s="310"/>
      <c r="E105" s="310"/>
      <c r="F105" s="310"/>
      <c r="G105" s="310"/>
      <c r="H105" s="310"/>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0"/>
    </row>
    <row r="106" spans="2:31">
      <c r="B106" s="310" t="s">
        <v>701</v>
      </c>
      <c r="C106" s="310"/>
      <c r="D106" s="310"/>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310"/>
      <c r="AC106" s="310"/>
    </row>
    <row r="107" spans="2:31">
      <c r="B107" s="310" t="s">
        <v>702</v>
      </c>
      <c r="C107" s="310"/>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310"/>
      <c r="AC107" s="310"/>
    </row>
    <row r="108" spans="2:31">
      <c r="B108" s="310" t="s">
        <v>703</v>
      </c>
      <c r="C108" s="310"/>
      <c r="D108" s="310"/>
      <c r="E108" s="310"/>
      <c r="F108" s="310"/>
      <c r="G108" s="310"/>
      <c r="H108" s="310"/>
      <c r="I108" s="310"/>
      <c r="J108" s="310"/>
      <c r="K108" s="310"/>
      <c r="L108" s="310"/>
      <c r="M108" s="310"/>
      <c r="N108" s="310"/>
      <c r="O108" s="310"/>
      <c r="P108" s="310"/>
      <c r="Q108" s="310"/>
      <c r="R108" s="310"/>
      <c r="S108" s="310"/>
      <c r="T108" s="310"/>
      <c r="U108" s="310"/>
      <c r="V108" s="310"/>
      <c r="W108" s="310"/>
      <c r="X108" s="310"/>
      <c r="Y108" s="310"/>
      <c r="Z108" s="310"/>
      <c r="AA108" s="310"/>
      <c r="AB108" s="310"/>
      <c r="AC108" s="310"/>
    </row>
    <row r="109" spans="2:31" ht="15" customHeight="1">
      <c r="B109" s="310" t="s">
        <v>704</v>
      </c>
      <c r="C109" s="310"/>
      <c r="D109" s="310"/>
      <c r="E109" s="310"/>
      <c r="F109" s="310"/>
      <c r="G109" s="310"/>
      <c r="H109" s="310"/>
      <c r="I109" s="310"/>
      <c r="J109" s="310"/>
      <c r="K109" s="310"/>
      <c r="L109" s="310"/>
      <c r="M109" s="310"/>
      <c r="N109" s="310"/>
      <c r="O109" s="310"/>
      <c r="P109" s="310"/>
      <c r="Q109" s="310"/>
      <c r="R109" s="310"/>
      <c r="S109" s="310"/>
      <c r="T109" s="310"/>
      <c r="U109" s="310"/>
      <c r="V109" s="310"/>
      <c r="W109" s="310"/>
      <c r="X109" s="310"/>
      <c r="Y109" s="310"/>
      <c r="Z109" s="310"/>
      <c r="AA109" s="310"/>
      <c r="AB109" s="310"/>
      <c r="AC109" s="310"/>
    </row>
    <row r="110" spans="2:31">
      <c r="B110" s="443" t="s">
        <v>705</v>
      </c>
      <c r="C110" s="442"/>
      <c r="D110" s="317"/>
      <c r="E110" s="317"/>
      <c r="F110" s="317"/>
      <c r="G110" s="317"/>
      <c r="H110" s="317"/>
      <c r="I110" s="317"/>
      <c r="J110" s="317"/>
      <c r="K110" s="317"/>
      <c r="L110" s="317"/>
    </row>
    <row r="111" spans="2:31">
      <c r="B111" s="310" t="s">
        <v>706</v>
      </c>
      <c r="C111" s="310"/>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row>
    <row r="112" spans="2:31">
      <c r="B112" s="310" t="s">
        <v>707</v>
      </c>
      <c r="C112" s="310"/>
      <c r="D112" s="310"/>
      <c r="E112" s="310"/>
      <c r="F112" s="310"/>
      <c r="G112" s="310"/>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row>
    <row r="113" spans="2:29" ht="16">
      <c r="B113" s="310" t="s">
        <v>708</v>
      </c>
      <c r="C113" s="306"/>
      <c r="D113" s="306"/>
      <c r="E113" s="306"/>
      <c r="F113" s="306"/>
      <c r="G113" s="306"/>
      <c r="H113" s="306"/>
      <c r="I113" s="306"/>
      <c r="J113" s="306"/>
      <c r="K113" s="306"/>
      <c r="L113" s="306"/>
    </row>
    <row r="114" spans="2:29">
      <c r="B114" s="310" t="s">
        <v>709</v>
      </c>
      <c r="C114" s="310"/>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row>
    <row r="115" spans="2:29">
      <c r="B115" s="310" t="s">
        <v>710</v>
      </c>
      <c r="C115" s="310"/>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row>
    <row r="116" spans="2:29">
      <c r="B116" s="315"/>
      <c r="C116" s="314"/>
      <c r="D116" s="317"/>
      <c r="E116" s="317"/>
      <c r="F116" s="317"/>
      <c r="G116" s="317"/>
      <c r="H116" s="317"/>
      <c r="I116" s="317"/>
      <c r="J116" s="317"/>
      <c r="K116" s="317"/>
      <c r="L116" s="317"/>
    </row>
    <row r="117" spans="2:29">
      <c r="B117" s="310" t="s">
        <v>694</v>
      </c>
      <c r="C117" s="314"/>
      <c r="D117" s="317"/>
      <c r="E117" s="317"/>
      <c r="F117" s="317"/>
      <c r="G117" s="317"/>
      <c r="H117" s="317"/>
      <c r="I117" s="317"/>
      <c r="J117" s="317"/>
      <c r="K117" s="317"/>
      <c r="L117" s="317"/>
    </row>
    <row r="118" spans="2:29">
      <c r="B118" s="443" t="s">
        <v>696</v>
      </c>
      <c r="C118" s="442"/>
      <c r="D118" s="318"/>
      <c r="E118" s="318"/>
      <c r="F118" s="318"/>
      <c r="G118" s="318"/>
      <c r="H118" s="318"/>
      <c r="I118" s="318"/>
      <c r="J118" s="318"/>
      <c r="K118" s="318"/>
      <c r="L118" s="318"/>
    </row>
    <row r="119" spans="2:29"/>
    <row r="120" spans="2:29" ht="16">
      <c r="B120" s="444" t="s">
        <v>711</v>
      </c>
      <c r="C120" s="445"/>
      <c r="D120" s="446"/>
      <c r="E120" s="306"/>
      <c r="F120" s="306"/>
      <c r="G120" s="306"/>
      <c r="H120" s="306"/>
      <c r="I120" s="306"/>
      <c r="J120" s="306"/>
      <c r="K120" s="306"/>
      <c r="L120" s="306"/>
      <c r="N120" s="447" t="s">
        <v>711</v>
      </c>
      <c r="O120" s="442"/>
      <c r="P120" s="442"/>
    </row>
    <row r="121" spans="2:29" ht="16">
      <c r="B121" s="441" t="s">
        <v>602</v>
      </c>
      <c r="C121" s="442"/>
      <c r="D121" s="305"/>
      <c r="E121" s="305"/>
      <c r="F121" s="305"/>
      <c r="G121" s="305"/>
      <c r="H121" s="305"/>
      <c r="I121" s="305"/>
      <c r="J121" s="305"/>
      <c r="K121" s="305"/>
      <c r="L121" s="305"/>
      <c r="N121" s="441" t="s">
        <v>603</v>
      </c>
      <c r="O121" s="442"/>
      <c r="P121" s="305"/>
    </row>
    <row r="122" spans="2:29">
      <c r="B122" s="327"/>
      <c r="C122" s="327" t="s">
        <v>604</v>
      </c>
      <c r="D122" s="331" t="s">
        <v>605</v>
      </c>
      <c r="E122" s="331">
        <v>2000</v>
      </c>
      <c r="F122" s="331">
        <v>2005</v>
      </c>
      <c r="G122" s="331">
        <v>2010</v>
      </c>
      <c r="H122" s="331">
        <v>2015</v>
      </c>
      <c r="I122" s="331">
        <v>2020</v>
      </c>
      <c r="J122" s="331">
        <v>2021</v>
      </c>
      <c r="K122" s="331">
        <v>2022</v>
      </c>
      <c r="L122" s="331">
        <v>2023</v>
      </c>
      <c r="N122" s="327"/>
      <c r="O122" s="327" t="s">
        <v>604</v>
      </c>
      <c r="P122" s="327" t="s">
        <v>606</v>
      </c>
    </row>
    <row r="123" spans="2:29">
      <c r="B123" s="323" t="s">
        <v>607</v>
      </c>
      <c r="C123" s="324" t="s">
        <v>662</v>
      </c>
      <c r="D123" s="329">
        <v>6944</v>
      </c>
      <c r="E123" s="329">
        <v>6741</v>
      </c>
      <c r="F123" s="329">
        <v>6785</v>
      </c>
      <c r="G123" s="329">
        <v>6683</v>
      </c>
      <c r="H123" s="329">
        <v>6608</v>
      </c>
      <c r="I123" s="329">
        <v>6636</v>
      </c>
      <c r="J123" s="329">
        <v>6644</v>
      </c>
      <c r="K123" s="329">
        <v>6607</v>
      </c>
      <c r="L123" s="329">
        <v>6634</v>
      </c>
      <c r="N123" s="323" t="s">
        <v>712</v>
      </c>
      <c r="O123" s="324" t="s">
        <v>496</v>
      </c>
      <c r="P123" s="329">
        <v>9813</v>
      </c>
    </row>
    <row r="124" spans="2:29">
      <c r="B124" s="323" t="s">
        <v>713</v>
      </c>
      <c r="C124" s="324" t="s">
        <v>662</v>
      </c>
      <c r="D124" s="329">
        <v>9692</v>
      </c>
      <c r="E124" s="329">
        <v>9984</v>
      </c>
      <c r="F124" s="329">
        <v>9983</v>
      </c>
      <c r="G124" s="329">
        <v>10064</v>
      </c>
      <c r="H124" s="329">
        <v>9937</v>
      </c>
      <c r="I124" s="329">
        <v>9750</v>
      </c>
      <c r="J124" s="329">
        <v>9845</v>
      </c>
      <c r="K124" s="329">
        <v>9720</v>
      </c>
      <c r="L124" s="329">
        <v>9802</v>
      </c>
      <c r="N124" s="323" t="s">
        <v>676</v>
      </c>
      <c r="O124" s="324" t="s">
        <v>496</v>
      </c>
      <c r="P124" s="329">
        <v>7500</v>
      </c>
    </row>
    <row r="125" spans="2:29">
      <c r="B125" s="323" t="s">
        <v>714</v>
      </c>
      <c r="C125" s="324" t="s">
        <v>662</v>
      </c>
      <c r="D125" s="329">
        <v>9859</v>
      </c>
      <c r="E125" s="329">
        <v>10044</v>
      </c>
      <c r="F125" s="329">
        <v>10025</v>
      </c>
      <c r="G125" s="329">
        <v>12034</v>
      </c>
      <c r="H125" s="329">
        <v>10018</v>
      </c>
      <c r="I125" s="329">
        <v>9829</v>
      </c>
      <c r="J125" s="329">
        <v>9916</v>
      </c>
      <c r="K125" s="329">
        <v>9760</v>
      </c>
      <c r="L125" s="329">
        <v>9850</v>
      </c>
      <c r="N125" s="323" t="s">
        <v>715</v>
      </c>
      <c r="O125" s="324" t="s">
        <v>678</v>
      </c>
      <c r="P125" s="329">
        <v>9300</v>
      </c>
    </row>
    <row r="126" spans="2:29">
      <c r="B126" s="323" t="s">
        <v>614</v>
      </c>
      <c r="C126" s="324" t="s">
        <v>662</v>
      </c>
      <c r="D126" s="329">
        <v>10017</v>
      </c>
      <c r="E126" s="329">
        <v>10112</v>
      </c>
      <c r="F126" s="329">
        <v>10094</v>
      </c>
      <c r="G126" s="329">
        <v>10030</v>
      </c>
      <c r="H126" s="329">
        <v>10102</v>
      </c>
      <c r="I126" s="329">
        <v>9958</v>
      </c>
      <c r="J126" s="329">
        <v>10087</v>
      </c>
      <c r="K126" s="329">
        <v>9818</v>
      </c>
      <c r="L126" s="329">
        <v>9997</v>
      </c>
      <c r="N126" s="323" t="s">
        <v>716</v>
      </c>
      <c r="O126" s="324"/>
      <c r="P126" s="328"/>
    </row>
    <row r="127" spans="2:29">
      <c r="B127" s="323" t="s">
        <v>717</v>
      </c>
      <c r="C127" s="324" t="s">
        <v>662</v>
      </c>
      <c r="D127" s="328"/>
      <c r="E127" s="328"/>
      <c r="F127" s="328"/>
      <c r="G127" s="328"/>
      <c r="H127" s="328"/>
      <c r="I127" s="328"/>
      <c r="J127" s="328"/>
      <c r="K127" s="328"/>
      <c r="L127" s="328"/>
      <c r="N127" s="310" t="s">
        <v>627</v>
      </c>
      <c r="O127" s="311"/>
      <c r="P127" s="319"/>
    </row>
    <row r="128" spans="2:29">
      <c r="B128" s="323" t="s">
        <v>718</v>
      </c>
      <c r="C128" s="324" t="s">
        <v>662</v>
      </c>
      <c r="D128" s="328"/>
      <c r="E128" s="328"/>
      <c r="F128" s="328"/>
      <c r="G128" s="328"/>
      <c r="H128" s="329">
        <v>9151</v>
      </c>
      <c r="I128" s="329">
        <v>9047</v>
      </c>
      <c r="J128" s="329">
        <v>9109</v>
      </c>
      <c r="K128" s="329">
        <v>9089</v>
      </c>
      <c r="L128" s="329">
        <v>9088</v>
      </c>
      <c r="N128" s="310" t="s">
        <v>719</v>
      </c>
      <c r="O128" s="310"/>
      <c r="P128" s="310"/>
    </row>
    <row r="129" spans="2:31">
      <c r="B129" s="323" t="s">
        <v>720</v>
      </c>
      <c r="C129" s="324" t="s">
        <v>662</v>
      </c>
      <c r="D129" s="328"/>
      <c r="E129" s="328"/>
      <c r="F129" s="328"/>
      <c r="G129" s="328"/>
      <c r="H129" s="329">
        <v>9265</v>
      </c>
      <c r="I129" s="329">
        <v>9130</v>
      </c>
      <c r="J129" s="329">
        <v>9150</v>
      </c>
      <c r="K129" s="329">
        <v>9122</v>
      </c>
      <c r="L129" s="329">
        <v>9118</v>
      </c>
      <c r="N129" s="310" t="s">
        <v>721</v>
      </c>
      <c r="O129" s="310"/>
      <c r="P129" s="310"/>
    </row>
    <row r="130" spans="2:31">
      <c r="B130" s="323" t="s">
        <v>722</v>
      </c>
      <c r="C130" s="324" t="s">
        <v>662</v>
      </c>
      <c r="D130" s="328"/>
      <c r="E130" s="328"/>
      <c r="F130" s="329">
        <v>9237</v>
      </c>
      <c r="G130" s="329">
        <v>9247</v>
      </c>
      <c r="H130" s="329">
        <v>9364</v>
      </c>
      <c r="I130" s="329">
        <v>9287</v>
      </c>
      <c r="J130" s="329">
        <v>9344</v>
      </c>
      <c r="K130" s="329">
        <v>9292</v>
      </c>
      <c r="L130" s="329">
        <v>9258</v>
      </c>
      <c r="N130" s="310" t="s">
        <v>723</v>
      </c>
      <c r="O130" s="310"/>
      <c r="P130" s="310"/>
    </row>
    <row r="131" spans="2:31">
      <c r="B131" s="323" t="s">
        <v>630</v>
      </c>
      <c r="C131" s="324" t="s">
        <v>662</v>
      </c>
      <c r="D131" s="329">
        <v>8544</v>
      </c>
      <c r="E131" s="329">
        <v>8844</v>
      </c>
      <c r="F131" s="329">
        <v>8207</v>
      </c>
      <c r="G131" s="329">
        <v>8178</v>
      </c>
      <c r="H131" s="329">
        <v>8134</v>
      </c>
      <c r="I131" s="329">
        <v>8093</v>
      </c>
      <c r="J131" s="329">
        <v>8069</v>
      </c>
      <c r="K131" s="329">
        <v>8036</v>
      </c>
      <c r="L131" s="329">
        <v>8131</v>
      </c>
      <c r="N131" s="310"/>
      <c r="O131" s="311"/>
      <c r="P131" s="319"/>
    </row>
    <row r="132" spans="2:31" ht="16">
      <c r="B132" s="323" t="s">
        <v>724</v>
      </c>
      <c r="C132" s="324" t="s">
        <v>662</v>
      </c>
      <c r="D132" s="328"/>
      <c r="E132" s="328"/>
      <c r="F132" s="328"/>
      <c r="G132" s="328"/>
      <c r="H132" s="329">
        <v>8585</v>
      </c>
      <c r="I132" s="329">
        <v>8463</v>
      </c>
      <c r="J132" s="329">
        <v>8421</v>
      </c>
      <c r="K132" s="329">
        <v>8418</v>
      </c>
      <c r="L132" s="329">
        <v>8407</v>
      </c>
      <c r="N132" s="310" t="s">
        <v>694</v>
      </c>
      <c r="O132" s="306"/>
      <c r="P132" s="306"/>
      <c r="AD132" s="310"/>
      <c r="AE132" s="319"/>
    </row>
    <row r="133" spans="2:31" ht="16">
      <c r="B133" s="323" t="s">
        <v>725</v>
      </c>
      <c r="C133" s="324" t="s">
        <v>662</v>
      </c>
      <c r="D133" s="328"/>
      <c r="E133" s="328"/>
      <c r="F133" s="328"/>
      <c r="G133" s="328"/>
      <c r="H133" s="329">
        <v>8529</v>
      </c>
      <c r="I133" s="329">
        <v>8405</v>
      </c>
      <c r="J133" s="329">
        <v>8354</v>
      </c>
      <c r="K133" s="329">
        <v>8345</v>
      </c>
      <c r="L133" s="329">
        <v>8330</v>
      </c>
      <c r="N133" s="443" t="s">
        <v>696</v>
      </c>
      <c r="O133" s="442"/>
      <c r="P133" s="306"/>
      <c r="AD133" s="310"/>
      <c r="AE133" s="310"/>
    </row>
    <row r="134" spans="2:31">
      <c r="B134" s="323" t="s">
        <v>636</v>
      </c>
      <c r="C134" s="324" t="s">
        <v>662</v>
      </c>
      <c r="D134" s="328"/>
      <c r="E134" s="329">
        <v>10780</v>
      </c>
      <c r="F134" s="329">
        <v>9299</v>
      </c>
      <c r="G134" s="329">
        <v>9263</v>
      </c>
      <c r="H134" s="329">
        <v>9283</v>
      </c>
      <c r="I134" s="329">
        <v>9023</v>
      </c>
      <c r="J134" s="329">
        <v>9075</v>
      </c>
      <c r="K134" s="329">
        <v>8982</v>
      </c>
      <c r="L134" s="329">
        <v>9033</v>
      </c>
    </row>
    <row r="135" spans="2:31">
      <c r="B135" s="323" t="s">
        <v>638</v>
      </c>
      <c r="C135" s="324" t="s">
        <v>496</v>
      </c>
      <c r="D135" s="329">
        <v>11899</v>
      </c>
      <c r="E135" s="329">
        <v>11951</v>
      </c>
      <c r="F135" s="329">
        <v>11836</v>
      </c>
      <c r="G135" s="329">
        <v>12035</v>
      </c>
      <c r="H135" s="329">
        <v>11990</v>
      </c>
      <c r="I135" s="329">
        <v>11859</v>
      </c>
      <c r="J135" s="329">
        <v>11795</v>
      </c>
      <c r="K135" s="329">
        <v>11858</v>
      </c>
      <c r="L135" s="329">
        <v>11875</v>
      </c>
    </row>
    <row r="136" spans="2:31">
      <c r="B136" s="323" t="s">
        <v>640</v>
      </c>
      <c r="C136" s="324" t="s">
        <v>662</v>
      </c>
      <c r="D136" s="329">
        <v>8747</v>
      </c>
      <c r="E136" s="329">
        <v>8853</v>
      </c>
      <c r="F136" s="329">
        <v>8821</v>
      </c>
      <c r="G136" s="329">
        <v>9045</v>
      </c>
      <c r="H136" s="329">
        <v>8842</v>
      </c>
      <c r="I136" s="329">
        <v>8858</v>
      </c>
      <c r="J136" s="329">
        <v>8846</v>
      </c>
      <c r="K136" s="329">
        <v>8864</v>
      </c>
      <c r="L136" s="329">
        <v>8878</v>
      </c>
    </row>
    <row r="137" spans="2:31">
      <c r="B137" s="323" t="s">
        <v>726</v>
      </c>
      <c r="C137" s="324" t="s">
        <v>662</v>
      </c>
      <c r="D137" s="329">
        <v>8260</v>
      </c>
      <c r="E137" s="329">
        <v>8260</v>
      </c>
      <c r="F137" s="329">
        <v>8591</v>
      </c>
      <c r="G137" s="329">
        <v>8605</v>
      </c>
      <c r="H137" s="329">
        <v>8497</v>
      </c>
      <c r="I137" s="329">
        <v>8555</v>
      </c>
      <c r="J137" s="329">
        <v>8574</v>
      </c>
      <c r="K137" s="329">
        <v>8508</v>
      </c>
      <c r="L137" s="329">
        <v>8532</v>
      </c>
    </row>
    <row r="138" spans="2:31">
      <c r="B138" s="323" t="s">
        <v>642</v>
      </c>
      <c r="C138" s="324" t="s">
        <v>496</v>
      </c>
      <c r="D138" s="329">
        <v>12400</v>
      </c>
      <c r="E138" s="329">
        <v>11740</v>
      </c>
      <c r="F138" s="329">
        <v>11751</v>
      </c>
      <c r="G138" s="329">
        <v>11828</v>
      </c>
      <c r="H138" s="329">
        <v>11870</v>
      </c>
      <c r="I138" s="329">
        <v>11789</v>
      </c>
      <c r="J138" s="329">
        <v>11771</v>
      </c>
      <c r="K138" s="329">
        <v>11786</v>
      </c>
      <c r="L138" s="329">
        <v>11812</v>
      </c>
      <c r="AD138" s="310"/>
      <c r="AE138" s="310"/>
    </row>
    <row r="139" spans="2:31">
      <c r="B139" s="323" t="s">
        <v>643</v>
      </c>
      <c r="C139" s="324" t="s">
        <v>662</v>
      </c>
      <c r="D139" s="329">
        <v>8840</v>
      </c>
      <c r="E139" s="329">
        <v>8851</v>
      </c>
      <c r="F139" s="329">
        <v>8860</v>
      </c>
      <c r="G139" s="329">
        <v>8915</v>
      </c>
      <c r="H139" s="329">
        <v>8949</v>
      </c>
      <c r="I139" s="329">
        <v>8867</v>
      </c>
      <c r="J139" s="329">
        <v>8892</v>
      </c>
      <c r="K139" s="329">
        <v>8869</v>
      </c>
      <c r="L139" s="329">
        <v>8861</v>
      </c>
    </row>
    <row r="140" spans="2:31">
      <c r="B140" s="323" t="s">
        <v>727</v>
      </c>
      <c r="C140" s="324"/>
      <c r="D140" s="328"/>
      <c r="E140" s="328"/>
      <c r="F140" s="328"/>
      <c r="G140" s="328"/>
      <c r="H140" s="328"/>
      <c r="I140" s="328"/>
      <c r="J140" s="328"/>
      <c r="K140" s="328"/>
      <c r="L140" s="328"/>
    </row>
    <row r="141" spans="2:31">
      <c r="B141" s="310" t="s">
        <v>627</v>
      </c>
      <c r="C141" s="311"/>
      <c r="D141" s="319"/>
      <c r="E141" s="319"/>
      <c r="F141" s="319"/>
      <c r="G141" s="319"/>
      <c r="H141" s="319"/>
      <c r="I141" s="319"/>
      <c r="J141" s="319"/>
      <c r="K141" s="319"/>
      <c r="L141" s="319"/>
    </row>
    <row r="142" spans="2:31">
      <c r="B142" s="310" t="s">
        <v>695</v>
      </c>
      <c r="C142" s="310"/>
      <c r="D142" s="310"/>
      <c r="E142" s="310"/>
      <c r="F142" s="310"/>
      <c r="G142" s="310"/>
      <c r="H142" s="310"/>
      <c r="I142" s="310"/>
      <c r="J142" s="310"/>
      <c r="K142" s="310"/>
      <c r="L142" s="310"/>
      <c r="M142" s="310"/>
      <c r="N142" s="310"/>
      <c r="O142" s="310"/>
      <c r="P142" s="310"/>
      <c r="Q142" s="310"/>
      <c r="R142" s="310"/>
      <c r="S142" s="310"/>
      <c r="T142" s="310"/>
      <c r="U142" s="310"/>
      <c r="V142" s="310"/>
      <c r="W142" s="310"/>
      <c r="X142" s="310"/>
      <c r="Y142" s="310"/>
      <c r="Z142" s="310"/>
      <c r="AA142" s="310"/>
      <c r="AB142" s="310"/>
      <c r="AC142" s="310"/>
    </row>
    <row r="143" spans="2:31">
      <c r="B143" s="310" t="s">
        <v>728</v>
      </c>
      <c r="C143" s="310"/>
      <c r="D143" s="310"/>
      <c r="E143" s="310"/>
      <c r="F143" s="310"/>
      <c r="G143" s="310"/>
      <c r="H143" s="310"/>
      <c r="I143" s="310"/>
      <c r="J143" s="310"/>
      <c r="K143" s="310"/>
      <c r="L143" s="310"/>
      <c r="M143" s="310"/>
      <c r="N143" s="310"/>
      <c r="O143" s="310"/>
      <c r="P143" s="310"/>
      <c r="Q143" s="310"/>
      <c r="R143" s="310"/>
      <c r="S143" s="310"/>
      <c r="T143" s="310"/>
      <c r="U143" s="310"/>
      <c r="V143" s="310"/>
      <c r="W143" s="310"/>
      <c r="X143" s="310"/>
      <c r="Y143" s="310"/>
      <c r="Z143" s="310"/>
      <c r="AA143" s="310"/>
      <c r="AB143" s="310"/>
      <c r="AC143" s="310"/>
    </row>
    <row r="144" spans="2:31" ht="15" customHeight="1">
      <c r="B144" s="310" t="s">
        <v>729</v>
      </c>
      <c r="C144" s="310"/>
      <c r="D144" s="319"/>
      <c r="E144" s="319"/>
      <c r="F144" s="319"/>
      <c r="G144" s="319"/>
      <c r="H144" s="319"/>
      <c r="I144" s="319"/>
      <c r="J144" s="319"/>
      <c r="K144" s="319"/>
      <c r="L144" s="319"/>
    </row>
    <row r="145" spans="2:30">
      <c r="B145" s="310" t="s">
        <v>730</v>
      </c>
      <c r="C145" s="310"/>
      <c r="D145" s="319"/>
      <c r="E145" s="319"/>
      <c r="F145" s="319"/>
      <c r="G145" s="319"/>
      <c r="H145" s="319"/>
      <c r="I145" s="319"/>
      <c r="J145" s="319"/>
      <c r="K145" s="319"/>
      <c r="L145" s="319"/>
    </row>
    <row r="146" spans="2:30">
      <c r="B146" s="310" t="s">
        <v>731</v>
      </c>
      <c r="C146" s="310"/>
      <c r="D146" s="319"/>
      <c r="E146" s="319"/>
      <c r="F146" s="319"/>
      <c r="G146" s="319"/>
      <c r="H146" s="319"/>
      <c r="I146" s="319"/>
      <c r="J146" s="319"/>
      <c r="K146" s="319"/>
      <c r="L146" s="319"/>
    </row>
    <row r="147" spans="2:30">
      <c r="B147" s="310" t="s">
        <v>732</v>
      </c>
      <c r="C147" s="310"/>
      <c r="D147" s="319"/>
      <c r="E147" s="319"/>
      <c r="F147" s="319"/>
      <c r="G147" s="319"/>
      <c r="H147" s="319"/>
      <c r="I147" s="319"/>
      <c r="J147" s="319"/>
      <c r="K147" s="319"/>
      <c r="L147" s="319"/>
    </row>
    <row r="148" spans="2:30">
      <c r="B148" s="310" t="s">
        <v>733</v>
      </c>
      <c r="C148" s="310"/>
      <c r="D148" s="310"/>
      <c r="E148" s="310"/>
      <c r="F148" s="310"/>
      <c r="G148" s="310"/>
      <c r="H148" s="310"/>
      <c r="I148" s="310"/>
      <c r="J148" s="310"/>
      <c r="K148" s="310"/>
      <c r="L148" s="310"/>
      <c r="M148" s="310"/>
      <c r="N148" s="310"/>
      <c r="O148" s="310"/>
      <c r="P148" s="310"/>
      <c r="Q148" s="310"/>
      <c r="R148" s="310"/>
      <c r="S148" s="310"/>
      <c r="T148" s="310"/>
      <c r="U148" s="310"/>
      <c r="V148" s="310"/>
      <c r="W148" s="310"/>
      <c r="X148" s="310"/>
      <c r="Y148" s="310"/>
      <c r="Z148" s="310"/>
      <c r="AA148" s="310"/>
      <c r="AB148" s="310"/>
      <c r="AC148" s="310"/>
    </row>
    <row r="149" spans="2:30">
      <c r="B149" s="310" t="s">
        <v>734</v>
      </c>
      <c r="C149" s="310"/>
      <c r="D149" s="319"/>
      <c r="E149" s="319"/>
      <c r="F149" s="319"/>
      <c r="G149" s="443"/>
      <c r="H149" s="453"/>
      <c r="I149" s="319"/>
      <c r="J149" s="319"/>
      <c r="K149" s="319"/>
      <c r="L149" s="319"/>
    </row>
    <row r="150" spans="2:30">
      <c r="B150" s="310" t="s">
        <v>735</v>
      </c>
      <c r="C150" s="310"/>
      <c r="D150" s="319"/>
      <c r="E150" s="319"/>
      <c r="F150" s="319"/>
      <c r="G150" s="319"/>
      <c r="H150" s="319"/>
      <c r="I150" s="319"/>
      <c r="J150" s="319"/>
      <c r="K150" s="319"/>
      <c r="L150" s="319"/>
    </row>
    <row r="151" spans="2:30">
      <c r="B151" s="310"/>
      <c r="C151" s="311"/>
      <c r="D151" s="319"/>
      <c r="E151" s="319"/>
      <c r="F151" s="319"/>
      <c r="G151" s="319"/>
      <c r="H151" s="319"/>
      <c r="I151" s="319"/>
      <c r="J151" s="319"/>
      <c r="K151" s="319"/>
      <c r="L151" s="319"/>
      <c r="AD151" s="377"/>
    </row>
    <row r="152" spans="2:30" ht="16">
      <c r="B152" s="310" t="s">
        <v>694</v>
      </c>
      <c r="C152" s="306"/>
      <c r="D152" s="306"/>
      <c r="E152" s="306"/>
      <c r="F152" s="306"/>
      <c r="G152" s="306"/>
      <c r="H152" s="306"/>
      <c r="I152" s="306"/>
      <c r="J152" s="306"/>
      <c r="K152" s="306"/>
      <c r="L152" s="306"/>
    </row>
    <row r="153" spans="2:30" ht="16">
      <c r="B153" s="443" t="s">
        <v>696</v>
      </c>
      <c r="C153" s="442"/>
      <c r="D153" s="306"/>
      <c r="E153" s="306"/>
      <c r="F153" s="306"/>
      <c r="G153" s="306"/>
      <c r="H153" s="306"/>
      <c r="I153" s="306"/>
      <c r="J153" s="306"/>
      <c r="K153" s="306"/>
      <c r="L153" s="306"/>
      <c r="AD153" s="377"/>
    </row>
    <row r="154" spans="2:30">
      <c r="AD154" s="377"/>
    </row>
    <row r="155" spans="2:30" ht="16">
      <c r="B155" s="447" t="s">
        <v>736</v>
      </c>
      <c r="C155" s="442"/>
      <c r="D155" s="304"/>
      <c r="E155" s="306"/>
      <c r="G155" s="303" t="s">
        <v>737</v>
      </c>
      <c r="H155" s="303"/>
      <c r="I155" s="304"/>
      <c r="J155" s="304"/>
      <c r="K155" s="304"/>
      <c r="L155" s="306"/>
      <c r="M155" s="306"/>
      <c r="N155" s="306"/>
      <c r="O155" s="306"/>
      <c r="P155" s="306"/>
      <c r="Q155" s="306"/>
      <c r="R155" s="306"/>
      <c r="S155" s="306"/>
      <c r="T155" s="306"/>
      <c r="U155" s="306"/>
      <c r="V155" s="306"/>
      <c r="AD155" s="306"/>
    </row>
    <row r="156" spans="2:30" ht="16">
      <c r="B156" s="441" t="s">
        <v>603</v>
      </c>
      <c r="C156" s="442"/>
      <c r="D156" s="304"/>
      <c r="E156" s="306"/>
      <c r="G156" s="307" t="s">
        <v>602</v>
      </c>
      <c r="H156" s="304"/>
      <c r="I156" s="304"/>
      <c r="J156" s="304"/>
      <c r="K156" s="304"/>
      <c r="L156" s="306"/>
      <c r="M156" s="306"/>
      <c r="N156" s="306"/>
      <c r="O156" s="306"/>
      <c r="P156" s="306"/>
      <c r="Q156" s="306"/>
      <c r="R156" s="306"/>
      <c r="S156" s="306"/>
      <c r="T156" s="306"/>
      <c r="U156" s="306"/>
      <c r="V156" s="306"/>
      <c r="AD156" s="374"/>
    </row>
    <row r="157" spans="2:30">
      <c r="B157" s="335" t="s">
        <v>738</v>
      </c>
      <c r="C157" s="335" t="s">
        <v>739</v>
      </c>
      <c r="D157" s="336" t="s">
        <v>604</v>
      </c>
      <c r="E157" s="336" t="s">
        <v>740</v>
      </c>
      <c r="G157" s="335" t="s">
        <v>738</v>
      </c>
      <c r="H157" s="336" t="s">
        <v>604</v>
      </c>
      <c r="I157" s="337" t="s">
        <v>741</v>
      </c>
      <c r="J157" s="337">
        <v>2009</v>
      </c>
      <c r="K157" s="337">
        <v>2010</v>
      </c>
      <c r="L157" s="337">
        <v>2015</v>
      </c>
      <c r="M157" s="337">
        <v>2020</v>
      </c>
      <c r="N157" s="337">
        <v>2021</v>
      </c>
      <c r="O157" s="337">
        <v>2022</v>
      </c>
      <c r="P157" s="337">
        <v>2023</v>
      </c>
      <c r="Q157" s="320"/>
      <c r="R157" s="320"/>
      <c r="S157" s="320"/>
      <c r="T157" s="320"/>
      <c r="U157" s="320"/>
      <c r="V157" s="320"/>
    </row>
    <row r="158" spans="2:30">
      <c r="B158" s="332" t="s">
        <v>742</v>
      </c>
      <c r="C158" s="332" t="s">
        <v>742</v>
      </c>
      <c r="D158" s="333" t="s">
        <v>484</v>
      </c>
      <c r="E158" s="334">
        <v>70800</v>
      </c>
      <c r="G158" s="332" t="s">
        <v>743</v>
      </c>
      <c r="H158" s="333" t="s">
        <v>484</v>
      </c>
      <c r="I158" s="334">
        <v>106000</v>
      </c>
      <c r="J158" s="334">
        <v>98300</v>
      </c>
      <c r="K158" s="334">
        <v>98300</v>
      </c>
      <c r="L158" s="334">
        <v>98300</v>
      </c>
      <c r="M158" s="334">
        <v>98300</v>
      </c>
      <c r="N158" s="334">
        <v>98300</v>
      </c>
      <c r="O158" s="334">
        <v>101000</v>
      </c>
      <c r="P158" s="334">
        <v>101000</v>
      </c>
      <c r="Q158" s="308"/>
      <c r="R158" s="308"/>
      <c r="S158" s="308"/>
      <c r="T158" s="308"/>
      <c r="U158" s="308"/>
      <c r="V158" s="308"/>
    </row>
    <row r="159" spans="2:30">
      <c r="B159" s="332" t="s">
        <v>744</v>
      </c>
      <c r="C159" s="332" t="s">
        <v>745</v>
      </c>
      <c r="D159" s="333" t="s">
        <v>484</v>
      </c>
      <c r="E159" s="334">
        <v>70800</v>
      </c>
      <c r="G159" s="332" t="s">
        <v>746</v>
      </c>
      <c r="H159" s="333" t="s">
        <v>484</v>
      </c>
      <c r="I159" s="333"/>
      <c r="J159" s="333"/>
      <c r="K159" s="333"/>
      <c r="L159" s="334">
        <v>73300</v>
      </c>
      <c r="M159" s="334">
        <v>81937</v>
      </c>
      <c r="N159" s="334">
        <v>86525</v>
      </c>
      <c r="O159" s="334">
        <v>80773</v>
      </c>
      <c r="P159" s="334">
        <v>81062</v>
      </c>
      <c r="Q159" s="308"/>
      <c r="R159" s="308"/>
      <c r="S159" s="308"/>
      <c r="T159" s="308"/>
      <c r="U159" s="308"/>
      <c r="V159" s="308"/>
    </row>
    <row r="160" spans="2:30" ht="16">
      <c r="B160" s="332" t="s">
        <v>747</v>
      </c>
      <c r="C160" s="332" t="s">
        <v>617</v>
      </c>
      <c r="D160" s="333" t="s">
        <v>484</v>
      </c>
      <c r="E160" s="334">
        <v>112000</v>
      </c>
      <c r="G160" s="316" t="s">
        <v>627</v>
      </c>
      <c r="H160" s="311"/>
      <c r="I160" s="311"/>
      <c r="J160" s="311"/>
      <c r="K160" s="311"/>
      <c r="L160" s="311"/>
      <c r="M160" s="311"/>
      <c r="N160" s="311"/>
      <c r="O160" s="311"/>
      <c r="P160" s="311"/>
      <c r="Q160" s="306"/>
      <c r="R160" s="306"/>
      <c r="S160" s="306"/>
      <c r="T160" s="306"/>
      <c r="U160" s="306"/>
      <c r="V160" s="306"/>
    </row>
    <row r="161" spans="2:29">
      <c r="B161" s="332" t="s">
        <v>676</v>
      </c>
      <c r="C161" s="332" t="s">
        <v>748</v>
      </c>
      <c r="D161" s="333" t="s">
        <v>484</v>
      </c>
      <c r="E161" s="334">
        <v>107000</v>
      </c>
      <c r="G161" s="375" t="s">
        <v>749</v>
      </c>
      <c r="H161" s="376"/>
      <c r="I161" s="376"/>
      <c r="J161" s="376"/>
      <c r="K161" s="376"/>
      <c r="L161" s="376"/>
      <c r="M161" s="376"/>
      <c r="N161" s="376"/>
      <c r="O161" s="376"/>
      <c r="P161" s="376"/>
      <c r="Q161" s="376"/>
      <c r="R161" s="376"/>
      <c r="S161" s="376"/>
      <c r="T161" s="376"/>
      <c r="U161" s="376"/>
      <c r="V161" s="376"/>
      <c r="W161" s="376"/>
      <c r="X161" s="376"/>
      <c r="Y161" s="376"/>
      <c r="Z161" s="376"/>
      <c r="AA161" s="376"/>
      <c r="AB161" s="376"/>
      <c r="AC161" s="376"/>
    </row>
    <row r="162" spans="2:29" ht="16">
      <c r="B162" s="332" t="s">
        <v>669</v>
      </c>
      <c r="C162" s="332" t="s">
        <v>669</v>
      </c>
      <c r="D162" s="333" t="s">
        <v>484</v>
      </c>
      <c r="E162" s="334">
        <v>97500</v>
      </c>
      <c r="G162" s="459" t="s">
        <v>750</v>
      </c>
      <c r="H162" s="442"/>
      <c r="I162" s="311"/>
      <c r="J162" s="311"/>
      <c r="K162" s="311"/>
      <c r="L162" s="311"/>
      <c r="M162" s="311"/>
      <c r="N162" s="311"/>
      <c r="O162" s="311"/>
      <c r="P162" s="311"/>
      <c r="Q162" s="321"/>
      <c r="R162" s="321"/>
      <c r="S162" s="321"/>
      <c r="T162" s="321"/>
      <c r="U162" s="321"/>
      <c r="V162" s="321"/>
    </row>
    <row r="163" spans="2:29">
      <c r="B163" s="332" t="s">
        <v>751</v>
      </c>
      <c r="C163" s="332" t="s">
        <v>752</v>
      </c>
      <c r="D163" s="333" t="s">
        <v>484</v>
      </c>
      <c r="E163" s="334">
        <v>74100</v>
      </c>
      <c r="G163" s="375" t="s">
        <v>753</v>
      </c>
      <c r="H163" s="376"/>
      <c r="I163" s="376"/>
      <c r="J163" s="376"/>
      <c r="K163" s="376"/>
      <c r="L163" s="376"/>
      <c r="M163" s="376"/>
      <c r="N163" s="376"/>
      <c r="O163" s="376"/>
      <c r="P163" s="376"/>
      <c r="Q163" s="376"/>
      <c r="R163" s="376"/>
      <c r="S163" s="376"/>
      <c r="T163" s="376"/>
      <c r="U163" s="376"/>
      <c r="V163" s="376"/>
      <c r="W163" s="376"/>
      <c r="X163" s="376"/>
      <c r="Y163" s="376"/>
      <c r="Z163" s="376"/>
      <c r="AA163" s="376"/>
      <c r="AB163" s="376"/>
      <c r="AC163" s="376"/>
    </row>
    <row r="164" spans="2:29">
      <c r="B164" s="332" t="s">
        <v>754</v>
      </c>
      <c r="C164" s="332" t="s">
        <v>755</v>
      </c>
      <c r="D164" s="333" t="s">
        <v>484</v>
      </c>
      <c r="E164" s="334">
        <v>77400</v>
      </c>
      <c r="G164" s="375" t="s">
        <v>756</v>
      </c>
      <c r="H164" s="376"/>
      <c r="I164" s="376"/>
      <c r="J164" s="376"/>
      <c r="K164" s="376"/>
      <c r="L164" s="376"/>
      <c r="M164" s="376"/>
      <c r="N164" s="376"/>
      <c r="O164" s="376"/>
      <c r="P164" s="376"/>
      <c r="Q164" s="376"/>
      <c r="R164" s="376"/>
      <c r="S164" s="376"/>
      <c r="T164" s="376"/>
      <c r="U164" s="376"/>
      <c r="V164" s="376"/>
      <c r="W164" s="376"/>
      <c r="X164" s="376"/>
      <c r="Y164" s="376"/>
      <c r="Z164" s="376"/>
      <c r="AA164" s="376"/>
      <c r="AB164" s="376"/>
      <c r="AC164" s="376"/>
    </row>
    <row r="165" spans="2:29" ht="16">
      <c r="B165" s="332" t="s">
        <v>677</v>
      </c>
      <c r="C165" s="332" t="s">
        <v>757</v>
      </c>
      <c r="D165" s="333" t="s">
        <v>484</v>
      </c>
      <c r="E165" s="334">
        <v>57600</v>
      </c>
      <c r="G165" s="459" t="s">
        <v>758</v>
      </c>
      <c r="H165" s="442"/>
      <c r="I165" s="442"/>
      <c r="J165" s="442"/>
      <c r="K165" s="442"/>
      <c r="L165" s="442"/>
      <c r="M165" s="442"/>
      <c r="N165" s="442"/>
      <c r="O165" s="442"/>
      <c r="P165" s="442"/>
      <c r="Q165" s="442"/>
      <c r="R165" s="442"/>
      <c r="S165" s="442"/>
      <c r="T165" s="442"/>
      <c r="U165" s="442"/>
      <c r="V165" s="442"/>
      <c r="W165" s="306"/>
      <c r="X165" s="306"/>
      <c r="Y165" s="306"/>
      <c r="Z165" s="306"/>
      <c r="AA165" s="306"/>
      <c r="AB165" s="306"/>
      <c r="AC165" s="306"/>
    </row>
    <row r="166" spans="2:29">
      <c r="B166" s="332" t="s">
        <v>759</v>
      </c>
      <c r="C166" s="332" t="s">
        <v>760</v>
      </c>
      <c r="D166" s="333" t="s">
        <v>484</v>
      </c>
      <c r="E166" s="334">
        <v>44400</v>
      </c>
      <c r="G166" s="372" t="s">
        <v>761</v>
      </c>
      <c r="H166" s="373"/>
      <c r="I166" s="373"/>
      <c r="J166" s="373"/>
      <c r="K166" s="373"/>
      <c r="L166" s="373"/>
      <c r="M166" s="373"/>
      <c r="N166" s="373"/>
      <c r="O166" s="373"/>
      <c r="P166" s="373"/>
      <c r="Q166" s="373"/>
      <c r="R166" s="373"/>
      <c r="S166" s="373"/>
      <c r="T166" s="373"/>
      <c r="U166" s="373"/>
      <c r="V166" s="373"/>
      <c r="W166" s="373"/>
      <c r="X166" s="373"/>
      <c r="Y166" s="373"/>
      <c r="Z166" s="373"/>
      <c r="AA166" s="373"/>
      <c r="AB166" s="373"/>
      <c r="AC166" s="373"/>
    </row>
    <row r="167" spans="2:29">
      <c r="B167" s="332" t="s">
        <v>762</v>
      </c>
      <c r="C167" s="332" t="s">
        <v>762</v>
      </c>
      <c r="D167" s="333" t="s">
        <v>484</v>
      </c>
      <c r="E167" s="334">
        <v>56100</v>
      </c>
    </row>
    <row r="168" spans="2:29">
      <c r="B168" s="332" t="s">
        <v>763</v>
      </c>
      <c r="C168" s="332" t="s">
        <v>752</v>
      </c>
      <c r="D168" s="333" t="s">
        <v>484</v>
      </c>
      <c r="E168" s="334">
        <v>74100</v>
      </c>
    </row>
    <row r="169" spans="2:29">
      <c r="B169" s="332" t="s">
        <v>682</v>
      </c>
      <c r="C169" s="332" t="s">
        <v>764</v>
      </c>
      <c r="D169" s="333" t="s">
        <v>484</v>
      </c>
      <c r="E169" s="334">
        <v>112000</v>
      </c>
    </row>
    <row r="170" spans="2:29">
      <c r="B170" s="332" t="s">
        <v>765</v>
      </c>
      <c r="C170" s="332" t="s">
        <v>766</v>
      </c>
      <c r="D170" s="333" t="s">
        <v>484</v>
      </c>
      <c r="E170" s="334">
        <v>69300</v>
      </c>
    </row>
    <row r="171" spans="2:29">
      <c r="B171" s="332" t="s">
        <v>767</v>
      </c>
      <c r="C171" s="332" t="s">
        <v>768</v>
      </c>
      <c r="D171" s="333" t="s">
        <v>484</v>
      </c>
      <c r="E171" s="334">
        <v>70000</v>
      </c>
    </row>
    <row r="172" spans="2:29">
      <c r="B172" s="332" t="s">
        <v>769</v>
      </c>
      <c r="C172" s="332" t="s">
        <v>769</v>
      </c>
      <c r="D172" s="333" t="s">
        <v>484</v>
      </c>
      <c r="E172" s="334">
        <v>95300</v>
      </c>
    </row>
    <row r="173" spans="2:29" ht="15" customHeight="1">
      <c r="B173" s="332" t="s">
        <v>770</v>
      </c>
      <c r="C173" s="332" t="s">
        <v>771</v>
      </c>
      <c r="D173" s="333" t="s">
        <v>484</v>
      </c>
      <c r="E173" s="334">
        <v>73300</v>
      </c>
    </row>
    <row r="174" spans="2:29">
      <c r="B174" s="332" t="s">
        <v>638</v>
      </c>
      <c r="C174" s="332" t="s">
        <v>772</v>
      </c>
      <c r="D174" s="333" t="s">
        <v>484</v>
      </c>
      <c r="E174" s="334">
        <v>63100</v>
      </c>
    </row>
    <row r="175" spans="2:29">
      <c r="B175" s="332" t="s">
        <v>640</v>
      </c>
      <c r="C175" s="332" t="s">
        <v>773</v>
      </c>
      <c r="D175" s="333" t="s">
        <v>484</v>
      </c>
      <c r="E175" s="334">
        <v>71900</v>
      </c>
    </row>
    <row r="176" spans="2:29">
      <c r="B176" s="332" t="s">
        <v>774</v>
      </c>
      <c r="C176" s="332" t="s">
        <v>775</v>
      </c>
      <c r="D176" s="333" t="s">
        <v>484</v>
      </c>
      <c r="E176" s="334">
        <v>100000</v>
      </c>
    </row>
    <row r="177" spans="2:20">
      <c r="B177" s="332" t="s">
        <v>776</v>
      </c>
      <c r="C177" s="332" t="s">
        <v>777</v>
      </c>
      <c r="D177" s="333" t="s">
        <v>484</v>
      </c>
      <c r="E177" s="334">
        <v>143000</v>
      </c>
    </row>
    <row r="178" spans="2:20">
      <c r="B178" s="332" t="s">
        <v>642</v>
      </c>
      <c r="C178" s="332" t="s">
        <v>772</v>
      </c>
      <c r="D178" s="333" t="s">
        <v>484</v>
      </c>
      <c r="E178" s="334">
        <v>63100</v>
      </c>
    </row>
    <row r="179" spans="2:20">
      <c r="B179" s="332" t="s">
        <v>778</v>
      </c>
      <c r="C179" s="332" t="s">
        <v>779</v>
      </c>
      <c r="D179" s="333" t="s">
        <v>484</v>
      </c>
      <c r="E179" s="334">
        <v>71500</v>
      </c>
    </row>
    <row r="180" spans="2:20">
      <c r="B180" s="316" t="s">
        <v>627</v>
      </c>
      <c r="C180" s="316"/>
      <c r="D180" s="311"/>
      <c r="E180" s="311"/>
    </row>
    <row r="181" spans="2:20">
      <c r="B181" s="316" t="s">
        <v>780</v>
      </c>
      <c r="C181" s="316"/>
      <c r="D181" s="316"/>
      <c r="E181" s="316"/>
    </row>
    <row r="182" spans="2:20">
      <c r="B182" s="316" t="s">
        <v>781</v>
      </c>
      <c r="C182" s="316"/>
      <c r="D182" s="316"/>
      <c r="E182" s="311"/>
    </row>
    <row r="183" spans="2:20"/>
    <row r="184" spans="2:20" ht="16">
      <c r="B184" s="444" t="s">
        <v>782</v>
      </c>
      <c r="C184" s="445"/>
      <c r="D184" s="445"/>
      <c r="E184" s="445"/>
      <c r="F184" s="445"/>
      <c r="G184" s="445"/>
      <c r="H184" s="446"/>
      <c r="I184" s="306"/>
      <c r="J184" s="308"/>
      <c r="K184" s="308"/>
      <c r="L184" s="308"/>
      <c r="N184" s="447" t="s">
        <v>782</v>
      </c>
      <c r="O184" s="442"/>
      <c r="P184" s="442"/>
      <c r="Q184" s="442"/>
      <c r="R184" s="306"/>
      <c r="S184" s="306"/>
      <c r="T184" s="306"/>
    </row>
    <row r="185" spans="2:20" ht="16">
      <c r="B185" s="441" t="s">
        <v>602</v>
      </c>
      <c r="C185" s="442"/>
      <c r="D185" s="305"/>
      <c r="E185" s="305"/>
      <c r="F185" s="305"/>
      <c r="G185" s="305"/>
      <c r="H185" s="308"/>
      <c r="I185" s="308"/>
      <c r="J185" s="308"/>
      <c r="K185" s="308"/>
      <c r="L185" s="308"/>
      <c r="N185" s="441" t="s">
        <v>603</v>
      </c>
      <c r="O185" s="442"/>
      <c r="P185" s="305"/>
      <c r="Q185" s="306"/>
      <c r="R185" s="306"/>
      <c r="S185" s="306"/>
      <c r="T185" s="306"/>
    </row>
    <row r="186" spans="2:20" ht="16">
      <c r="B186" s="340"/>
      <c r="C186" s="327" t="s">
        <v>604</v>
      </c>
      <c r="D186" s="327" t="s">
        <v>605</v>
      </c>
      <c r="E186" s="327">
        <v>2000</v>
      </c>
      <c r="F186" s="327">
        <v>2005</v>
      </c>
      <c r="G186" s="327">
        <v>2010</v>
      </c>
      <c r="H186" s="327">
        <v>2015</v>
      </c>
      <c r="I186" s="327">
        <v>2020</v>
      </c>
      <c r="J186" s="327">
        <v>2021</v>
      </c>
      <c r="K186" s="327">
        <v>2022</v>
      </c>
      <c r="L186" s="327">
        <v>2023</v>
      </c>
      <c r="N186" s="327"/>
      <c r="O186" s="327" t="s">
        <v>604</v>
      </c>
      <c r="P186" s="327" t="s">
        <v>606</v>
      </c>
      <c r="Q186" s="309"/>
      <c r="R186" s="309"/>
      <c r="S186" s="309"/>
      <c r="T186" s="309"/>
    </row>
    <row r="187" spans="2:20" ht="16">
      <c r="B187" s="326" t="s">
        <v>783</v>
      </c>
      <c r="C187" s="324" t="s">
        <v>784</v>
      </c>
      <c r="D187" s="324"/>
      <c r="E187" s="324"/>
      <c r="F187" s="324"/>
      <c r="G187" s="324">
        <v>0.2361</v>
      </c>
      <c r="H187" s="324">
        <v>0.22189999999999999</v>
      </c>
      <c r="I187" s="324">
        <v>0.27079999999999999</v>
      </c>
      <c r="J187" s="324">
        <v>0.28310000000000002</v>
      </c>
      <c r="K187" s="324">
        <v>0.2702</v>
      </c>
      <c r="L187" s="324">
        <v>0.27939999999999998</v>
      </c>
      <c r="N187" s="456" t="s">
        <v>609</v>
      </c>
      <c r="O187" s="324" t="s">
        <v>785</v>
      </c>
      <c r="P187" s="324">
        <v>0.96399999999999997</v>
      </c>
      <c r="Q187" s="306"/>
      <c r="R187" s="306"/>
      <c r="S187" s="306"/>
      <c r="T187" s="306"/>
    </row>
    <row r="188" spans="2:20" ht="16">
      <c r="B188" s="326" t="s">
        <v>663</v>
      </c>
      <c r="C188" s="324" t="s">
        <v>784</v>
      </c>
      <c r="D188" s="324"/>
      <c r="E188" s="324"/>
      <c r="F188" s="324"/>
      <c r="G188" s="324">
        <v>0.1769</v>
      </c>
      <c r="H188" s="324">
        <v>0.1769</v>
      </c>
      <c r="I188" s="324">
        <v>0.1769</v>
      </c>
      <c r="J188" s="324">
        <v>0.1769</v>
      </c>
      <c r="K188" s="324">
        <v>0.1769</v>
      </c>
      <c r="L188" s="324">
        <v>0.1769</v>
      </c>
      <c r="N188" s="457"/>
      <c r="O188" s="324" t="s">
        <v>784</v>
      </c>
      <c r="P188" s="324">
        <v>0.96399999999999997</v>
      </c>
      <c r="Q188" s="306"/>
      <c r="R188" s="306"/>
      <c r="S188" s="306"/>
      <c r="T188" s="306"/>
    </row>
    <row r="189" spans="2:20" ht="16">
      <c r="B189" s="458" t="s">
        <v>607</v>
      </c>
      <c r="C189" s="324" t="s">
        <v>785</v>
      </c>
      <c r="D189" s="324">
        <v>0.62439999999999996</v>
      </c>
      <c r="E189" s="324">
        <v>0.62529999999999997</v>
      </c>
      <c r="F189" s="324">
        <v>0.63009999999999999</v>
      </c>
      <c r="G189" s="324">
        <v>0.61660000000000004</v>
      </c>
      <c r="H189" s="324">
        <v>0.6139</v>
      </c>
      <c r="I189" s="324">
        <v>0.61199999999999999</v>
      </c>
      <c r="J189" s="324">
        <v>0.61280000000000001</v>
      </c>
      <c r="K189" s="324">
        <v>0.60940000000000005</v>
      </c>
      <c r="L189" s="324">
        <v>0.61180000000000001</v>
      </c>
      <c r="N189" s="326" t="s">
        <v>664</v>
      </c>
      <c r="O189" s="324" t="s">
        <v>785</v>
      </c>
      <c r="P189" s="324">
        <v>0.39279999999999998</v>
      </c>
      <c r="Q189" s="306"/>
      <c r="R189" s="306"/>
      <c r="S189" s="306"/>
      <c r="T189" s="306"/>
    </row>
    <row r="190" spans="2:20" ht="16">
      <c r="B190" s="457"/>
      <c r="C190" s="324" t="s">
        <v>784</v>
      </c>
      <c r="D190" s="324">
        <v>1.115</v>
      </c>
      <c r="E190" s="324">
        <v>1.089</v>
      </c>
      <c r="F190" s="324">
        <v>1.0864</v>
      </c>
      <c r="G190" s="324">
        <v>1.0912999999999999</v>
      </c>
      <c r="H190" s="324">
        <v>1.0963000000000001</v>
      </c>
      <c r="I190" s="324">
        <v>1.0948</v>
      </c>
      <c r="J190" s="324">
        <v>1.0939000000000001</v>
      </c>
      <c r="K190" s="324">
        <v>1.0946</v>
      </c>
      <c r="L190" s="324">
        <v>1.0946</v>
      </c>
      <c r="N190" s="456" t="s">
        <v>665</v>
      </c>
      <c r="O190" s="324" t="s">
        <v>785</v>
      </c>
      <c r="P190" s="324">
        <v>0.83120000000000005</v>
      </c>
      <c r="Q190" s="306"/>
      <c r="R190" s="306"/>
      <c r="S190" s="306"/>
      <c r="T190" s="306"/>
    </row>
    <row r="191" spans="2:20" ht="16">
      <c r="B191" s="326" t="s">
        <v>786</v>
      </c>
      <c r="C191" s="324" t="s">
        <v>784</v>
      </c>
      <c r="D191" s="324">
        <v>0.7</v>
      </c>
      <c r="E191" s="324">
        <v>0.7</v>
      </c>
      <c r="F191" s="324">
        <v>0.7</v>
      </c>
      <c r="G191" s="324">
        <v>0.7</v>
      </c>
      <c r="H191" s="324">
        <v>0.7</v>
      </c>
      <c r="I191" s="324">
        <v>0.7</v>
      </c>
      <c r="J191" s="324">
        <v>0.7</v>
      </c>
      <c r="K191" s="324">
        <v>0.27400000000000002</v>
      </c>
      <c r="L191" s="324">
        <v>0.27400000000000002</v>
      </c>
      <c r="N191" s="457"/>
      <c r="O191" s="324" t="s">
        <v>784</v>
      </c>
      <c r="P191" s="324">
        <v>0.95</v>
      </c>
      <c r="Q191" s="306"/>
      <c r="R191" s="306"/>
      <c r="S191" s="306"/>
      <c r="T191" s="306"/>
    </row>
    <row r="192" spans="2:20" ht="16">
      <c r="B192" s="456" t="s">
        <v>787</v>
      </c>
      <c r="C192" s="324" t="s">
        <v>785</v>
      </c>
      <c r="D192" s="324">
        <v>0.83620000000000005</v>
      </c>
      <c r="E192" s="324">
        <v>0.91169999999999995</v>
      </c>
      <c r="F192" s="324">
        <v>0.94379999999999997</v>
      </c>
      <c r="G192" s="324">
        <v>0.96079999999999999</v>
      </c>
      <c r="H192" s="324">
        <v>0.93820000000000003</v>
      </c>
      <c r="I192" s="324">
        <v>0.91879999999999995</v>
      </c>
      <c r="J192" s="324">
        <v>0.92849999999999999</v>
      </c>
      <c r="K192" s="324">
        <v>0.91559999999999997</v>
      </c>
      <c r="L192" s="324">
        <v>0.92390000000000005</v>
      </c>
      <c r="N192" s="458" t="s">
        <v>667</v>
      </c>
      <c r="O192" s="324" t="s">
        <v>785</v>
      </c>
      <c r="P192" s="324">
        <v>0.50660000000000005</v>
      </c>
      <c r="Q192" s="306"/>
      <c r="R192" s="306"/>
      <c r="S192" s="306"/>
      <c r="T192" s="306"/>
    </row>
    <row r="193" spans="2:20" ht="16">
      <c r="B193" s="457"/>
      <c r="C193" s="324" t="s">
        <v>784</v>
      </c>
      <c r="D193" s="324">
        <v>0.90600000000000003</v>
      </c>
      <c r="E193" s="324">
        <v>0.94259999999999999</v>
      </c>
      <c r="F193" s="324">
        <v>0.96489999999999998</v>
      </c>
      <c r="G193" s="324">
        <v>0.96179999999999999</v>
      </c>
      <c r="H193" s="324">
        <v>0.97570000000000001</v>
      </c>
      <c r="I193" s="324">
        <v>0.98899999999999999</v>
      </c>
      <c r="J193" s="324">
        <v>0.98550000000000004</v>
      </c>
      <c r="K193" s="324">
        <v>0.99580000000000002</v>
      </c>
      <c r="L193" s="324">
        <v>0.99109999999999998</v>
      </c>
      <c r="N193" s="457"/>
      <c r="O193" s="324" t="s">
        <v>784</v>
      </c>
      <c r="P193" s="324">
        <v>0.64</v>
      </c>
      <c r="Q193" s="306"/>
      <c r="R193" s="306"/>
      <c r="S193" s="306"/>
      <c r="T193" s="306"/>
    </row>
    <row r="194" spans="2:20" ht="16">
      <c r="B194" s="456" t="s">
        <v>788</v>
      </c>
      <c r="C194" s="324" t="s">
        <v>785</v>
      </c>
      <c r="D194" s="324">
        <v>0.85489999999999999</v>
      </c>
      <c r="E194" s="324">
        <v>0.94899999999999995</v>
      </c>
      <c r="F194" s="324">
        <v>0.9476</v>
      </c>
      <c r="G194" s="324">
        <v>0.96740000000000004</v>
      </c>
      <c r="H194" s="324">
        <v>0.94620000000000004</v>
      </c>
      <c r="I194" s="324">
        <v>0.92669999999999997</v>
      </c>
      <c r="J194" s="324">
        <v>0.93559999999999999</v>
      </c>
      <c r="K194" s="324">
        <v>0.91969999999999996</v>
      </c>
      <c r="L194" s="324">
        <v>0.92879999999999996</v>
      </c>
      <c r="N194" s="326" t="s">
        <v>617</v>
      </c>
      <c r="O194" s="324" t="s">
        <v>784</v>
      </c>
      <c r="P194" s="324">
        <v>0.75</v>
      </c>
      <c r="Q194" s="306"/>
      <c r="R194" s="306"/>
      <c r="S194" s="306"/>
      <c r="T194" s="306"/>
    </row>
    <row r="195" spans="2:20" ht="16">
      <c r="B195" s="457"/>
      <c r="C195" s="324" t="s">
        <v>784</v>
      </c>
      <c r="D195" s="324">
        <v>0.90180000000000005</v>
      </c>
      <c r="E195" s="324">
        <v>0.97270000000000001</v>
      </c>
      <c r="F195" s="324">
        <v>0.96679999999999999</v>
      </c>
      <c r="G195" s="324">
        <v>0.97660000000000002</v>
      </c>
      <c r="H195" s="324">
        <v>0.97619999999999996</v>
      </c>
      <c r="I195" s="324">
        <v>0.98760000000000003</v>
      </c>
      <c r="J195" s="324">
        <v>0.98660000000000003</v>
      </c>
      <c r="K195" s="324">
        <v>0.99339999999999995</v>
      </c>
      <c r="L195" s="324">
        <v>0.98540000000000005</v>
      </c>
      <c r="N195" s="326" t="s">
        <v>672</v>
      </c>
      <c r="O195" s="324" t="s">
        <v>784</v>
      </c>
      <c r="P195" s="324">
        <v>0.28499999999999998</v>
      </c>
      <c r="Q195" s="306"/>
      <c r="R195" s="306"/>
      <c r="S195" s="306"/>
      <c r="T195" s="306"/>
    </row>
    <row r="196" spans="2:20" ht="16">
      <c r="B196" s="456" t="s">
        <v>614</v>
      </c>
      <c r="C196" s="324" t="s">
        <v>785</v>
      </c>
      <c r="D196" s="324">
        <v>0.86909999999999998</v>
      </c>
      <c r="E196" s="324">
        <v>0.96009999999999995</v>
      </c>
      <c r="F196" s="324">
        <v>0.95669999999999999</v>
      </c>
      <c r="G196" s="324">
        <v>0.95699999999999996</v>
      </c>
      <c r="H196" s="324">
        <v>0.9597</v>
      </c>
      <c r="I196" s="324">
        <v>0.94010000000000005</v>
      </c>
      <c r="J196" s="324">
        <v>0.95330000000000004</v>
      </c>
      <c r="K196" s="324">
        <v>0.92569999999999997</v>
      </c>
      <c r="L196" s="324">
        <v>0.94389999999999996</v>
      </c>
      <c r="N196" s="326" t="s">
        <v>674</v>
      </c>
      <c r="O196" s="324" t="s">
        <v>784</v>
      </c>
      <c r="P196" s="324">
        <v>0.38</v>
      </c>
      <c r="Q196" s="306"/>
      <c r="R196" s="306"/>
      <c r="S196" s="306"/>
      <c r="T196" s="306"/>
    </row>
    <row r="197" spans="2:20" ht="16">
      <c r="B197" s="457"/>
      <c r="C197" s="324" t="s">
        <v>784</v>
      </c>
      <c r="D197" s="324">
        <v>0.90059999999999996</v>
      </c>
      <c r="E197" s="324">
        <v>0.97299999999999998</v>
      </c>
      <c r="F197" s="324">
        <v>0.95899999999999996</v>
      </c>
      <c r="G197" s="324">
        <v>0.95220000000000005</v>
      </c>
      <c r="H197" s="324">
        <v>0.96899999999999997</v>
      </c>
      <c r="I197" s="324">
        <v>0.97799999999999998</v>
      </c>
      <c r="J197" s="324">
        <v>0.97160000000000002</v>
      </c>
      <c r="K197" s="324">
        <v>0.98960000000000004</v>
      </c>
      <c r="L197" s="324">
        <v>0.97870000000000001</v>
      </c>
      <c r="N197" s="326" t="s">
        <v>675</v>
      </c>
      <c r="O197" s="324" t="s">
        <v>784</v>
      </c>
      <c r="P197" s="324">
        <v>0.37119999999999997</v>
      </c>
      <c r="Q197" s="306"/>
      <c r="R197" s="306"/>
      <c r="S197" s="306"/>
      <c r="T197" s="306"/>
    </row>
    <row r="198" spans="2:20" ht="16">
      <c r="B198" s="456" t="s">
        <v>789</v>
      </c>
      <c r="C198" s="324" t="s">
        <v>785</v>
      </c>
      <c r="D198" s="338"/>
      <c r="E198" s="338"/>
      <c r="F198" s="324">
        <v>0.95420000000000005</v>
      </c>
      <c r="G198" s="324">
        <v>0.96140000000000003</v>
      </c>
      <c r="H198" s="324">
        <v>0.95150000000000001</v>
      </c>
      <c r="I198" s="324">
        <v>0.93700000000000006</v>
      </c>
      <c r="J198" s="324">
        <v>0.94720000000000004</v>
      </c>
      <c r="K198" s="324">
        <v>0.92010000000000003</v>
      </c>
      <c r="L198" s="324">
        <v>0.92989999999999995</v>
      </c>
      <c r="N198" s="326" t="s">
        <v>676</v>
      </c>
      <c r="O198" s="324" t="s">
        <v>784</v>
      </c>
      <c r="P198" s="324">
        <v>0.68</v>
      </c>
      <c r="Q198" s="306"/>
      <c r="R198" s="306"/>
      <c r="S198" s="306"/>
      <c r="T198" s="306"/>
    </row>
    <row r="199" spans="2:20" ht="16">
      <c r="B199" s="457"/>
      <c r="C199" s="324" t="s">
        <v>784</v>
      </c>
      <c r="D199" s="338"/>
      <c r="E199" s="338"/>
      <c r="F199" s="324">
        <v>0.96220000000000006</v>
      </c>
      <c r="G199" s="324">
        <v>0.95950000000000002</v>
      </c>
      <c r="H199" s="324">
        <v>0.97599999999999998</v>
      </c>
      <c r="I199" s="324">
        <v>0.97989999999999999</v>
      </c>
      <c r="J199" s="324">
        <v>0.97599999999999998</v>
      </c>
      <c r="K199" s="324">
        <v>0.99319999999999997</v>
      </c>
      <c r="L199" s="324">
        <v>0.98719999999999997</v>
      </c>
      <c r="N199" s="326" t="s">
        <v>669</v>
      </c>
      <c r="O199" s="324" t="s">
        <v>784</v>
      </c>
      <c r="P199" s="324">
        <v>0.93859999999999999</v>
      </c>
      <c r="Q199" s="306"/>
      <c r="R199" s="306"/>
      <c r="S199" s="306"/>
      <c r="T199" s="306"/>
    </row>
    <row r="200" spans="2:20" ht="16">
      <c r="B200" s="456" t="s">
        <v>790</v>
      </c>
      <c r="C200" s="324" t="s">
        <v>785</v>
      </c>
      <c r="D200" s="338"/>
      <c r="E200" s="338"/>
      <c r="F200" s="338"/>
      <c r="G200" s="324"/>
      <c r="H200" s="324">
        <v>0.95150000000000001</v>
      </c>
      <c r="I200" s="324">
        <v>0.94289999999999996</v>
      </c>
      <c r="J200" s="324">
        <v>0.95150000000000001</v>
      </c>
      <c r="K200" s="324">
        <v>0.93089999999999995</v>
      </c>
      <c r="L200" s="324">
        <v>0.93459999999999999</v>
      </c>
      <c r="N200" s="326" t="s">
        <v>670</v>
      </c>
      <c r="O200" s="324" t="s">
        <v>784</v>
      </c>
      <c r="P200" s="324">
        <v>0.8</v>
      </c>
      <c r="Q200" s="306"/>
      <c r="R200" s="306"/>
      <c r="S200" s="306"/>
      <c r="T200" s="306"/>
    </row>
    <row r="201" spans="2:20" ht="16">
      <c r="B201" s="457"/>
      <c r="C201" s="324" t="s">
        <v>784</v>
      </c>
      <c r="D201" s="338"/>
      <c r="E201" s="338"/>
      <c r="F201" s="338"/>
      <c r="G201" s="324"/>
      <c r="H201" s="324">
        <v>0.97430000000000005</v>
      </c>
      <c r="I201" s="324">
        <v>0.97729999999999995</v>
      </c>
      <c r="J201" s="324">
        <v>0.97209999999999996</v>
      </c>
      <c r="K201" s="324">
        <v>0.98429999999999995</v>
      </c>
      <c r="L201" s="324">
        <v>0.98250000000000004</v>
      </c>
      <c r="N201" s="326" t="s">
        <v>677</v>
      </c>
      <c r="O201" s="324" t="s">
        <v>791</v>
      </c>
      <c r="P201" s="324">
        <v>1.1000000000000001</v>
      </c>
      <c r="Q201" s="306"/>
      <c r="R201" s="306"/>
      <c r="S201" s="306"/>
      <c r="T201" s="306"/>
    </row>
    <row r="202" spans="2:20" ht="16">
      <c r="B202" s="456" t="s">
        <v>792</v>
      </c>
      <c r="C202" s="324" t="s">
        <v>785</v>
      </c>
      <c r="D202" s="324"/>
      <c r="E202" s="324"/>
      <c r="F202" s="324"/>
      <c r="G202" s="324"/>
      <c r="H202" s="324"/>
      <c r="I202" s="324"/>
      <c r="J202" s="324"/>
      <c r="K202" s="324"/>
      <c r="L202" s="324"/>
      <c r="N202" s="326" t="s">
        <v>620</v>
      </c>
      <c r="O202" s="324" t="s">
        <v>791</v>
      </c>
      <c r="P202" s="324">
        <v>0.83</v>
      </c>
      <c r="Q202" s="306"/>
      <c r="R202" s="306"/>
      <c r="S202" s="306"/>
      <c r="T202" s="306"/>
    </row>
    <row r="203" spans="2:20" ht="16">
      <c r="B203" s="457"/>
      <c r="C203" s="324" t="s">
        <v>784</v>
      </c>
      <c r="D203" s="324"/>
      <c r="E203" s="324"/>
      <c r="F203" s="324"/>
      <c r="G203" s="324"/>
      <c r="H203" s="324"/>
      <c r="I203" s="324"/>
      <c r="J203" s="324"/>
      <c r="K203" s="324"/>
      <c r="L203" s="324"/>
      <c r="N203" s="326" t="s">
        <v>680</v>
      </c>
      <c r="O203" s="324" t="s">
        <v>791</v>
      </c>
      <c r="P203" s="324">
        <v>0.24</v>
      </c>
      <c r="Q203" s="306"/>
      <c r="R203" s="306"/>
      <c r="S203" s="306"/>
      <c r="T203" s="306"/>
    </row>
    <row r="204" spans="2:20" ht="16">
      <c r="B204" s="456" t="s">
        <v>793</v>
      </c>
      <c r="C204" s="324" t="s">
        <v>785</v>
      </c>
      <c r="D204" s="324"/>
      <c r="E204" s="324"/>
      <c r="F204" s="324"/>
      <c r="G204" s="324"/>
      <c r="H204" s="324">
        <v>0.85840000000000005</v>
      </c>
      <c r="I204" s="324">
        <v>0.84799999999999998</v>
      </c>
      <c r="J204" s="324">
        <v>0.85409999999999997</v>
      </c>
      <c r="K204" s="324">
        <v>0.85209999999999997</v>
      </c>
      <c r="L204" s="324">
        <v>0.85209999999999997</v>
      </c>
      <c r="N204" s="326" t="s">
        <v>682</v>
      </c>
      <c r="O204" s="324" t="s">
        <v>784</v>
      </c>
      <c r="P204" s="324">
        <v>0.27</v>
      </c>
      <c r="Q204" s="306"/>
      <c r="R204" s="306"/>
      <c r="S204" s="306"/>
      <c r="T204" s="306"/>
    </row>
    <row r="205" spans="2:20" ht="16">
      <c r="B205" s="457"/>
      <c r="C205" s="324" t="s">
        <v>784</v>
      </c>
      <c r="D205" s="324"/>
      <c r="E205" s="324"/>
      <c r="F205" s="324"/>
      <c r="G205" s="324"/>
      <c r="H205" s="324">
        <v>1.0248999999999999</v>
      </c>
      <c r="I205" s="324">
        <v>1.0285</v>
      </c>
      <c r="J205" s="324">
        <v>1.0264</v>
      </c>
      <c r="K205" s="324">
        <v>1.0269999999999999</v>
      </c>
      <c r="L205" s="324">
        <v>1.0270999999999999</v>
      </c>
      <c r="N205" s="458" t="s">
        <v>623</v>
      </c>
      <c r="O205" s="324" t="s">
        <v>785</v>
      </c>
      <c r="P205" s="324">
        <v>0.90900000000000003</v>
      </c>
      <c r="Q205" s="306"/>
      <c r="R205" s="306"/>
      <c r="S205" s="306"/>
      <c r="T205" s="306"/>
    </row>
    <row r="206" spans="2:20" ht="16">
      <c r="B206" s="323"/>
      <c r="C206" s="324" t="s">
        <v>785</v>
      </c>
      <c r="D206" s="324"/>
      <c r="E206" s="324"/>
      <c r="F206" s="324"/>
      <c r="G206" s="324"/>
      <c r="H206" s="324">
        <v>0.86970000000000003</v>
      </c>
      <c r="I206" s="324">
        <v>0.85619999999999996</v>
      </c>
      <c r="J206" s="324">
        <v>0.85829999999999995</v>
      </c>
      <c r="K206" s="324">
        <v>0.85540000000000005</v>
      </c>
      <c r="L206" s="324">
        <v>0.85509999999999997</v>
      </c>
      <c r="N206" s="457"/>
      <c r="O206" s="324" t="s">
        <v>784</v>
      </c>
      <c r="P206" s="324">
        <v>1.01</v>
      </c>
      <c r="Q206" s="306"/>
      <c r="R206" s="306"/>
      <c r="S206" s="306"/>
      <c r="T206" s="306"/>
    </row>
    <row r="207" spans="2:20" ht="16">
      <c r="B207" s="323" t="s">
        <v>794</v>
      </c>
      <c r="C207" s="324" t="s">
        <v>784</v>
      </c>
      <c r="D207" s="324"/>
      <c r="E207" s="324"/>
      <c r="F207" s="324"/>
      <c r="G207" s="324"/>
      <c r="H207" s="324">
        <v>1.0208999999999999</v>
      </c>
      <c r="I207" s="324">
        <v>1.0256000000000001</v>
      </c>
      <c r="J207" s="324">
        <v>1.0248999999999999</v>
      </c>
      <c r="K207" s="324">
        <v>1.0259</v>
      </c>
      <c r="L207" s="324">
        <v>1.026</v>
      </c>
      <c r="N207" s="326" t="s">
        <v>683</v>
      </c>
      <c r="O207" s="324" t="s">
        <v>784</v>
      </c>
      <c r="P207" s="324">
        <v>0.36</v>
      </c>
      <c r="Q207" s="306"/>
      <c r="R207" s="306"/>
      <c r="S207" s="306"/>
      <c r="T207" s="306"/>
    </row>
    <row r="208" spans="2:20" ht="16">
      <c r="B208" s="326"/>
      <c r="C208" s="324" t="s">
        <v>679</v>
      </c>
      <c r="D208" s="324"/>
      <c r="E208" s="324"/>
      <c r="F208" s="324"/>
      <c r="G208" s="324"/>
      <c r="H208" s="324"/>
      <c r="I208" s="339">
        <v>5.1400000000000001E-2</v>
      </c>
      <c r="J208" s="339">
        <v>4.07E-2</v>
      </c>
      <c r="K208" s="339">
        <v>7.0000000000000001E-3</v>
      </c>
      <c r="L208" s="324" t="s">
        <v>299</v>
      </c>
      <c r="N208" s="326" t="s">
        <v>625</v>
      </c>
      <c r="O208" s="324"/>
      <c r="P208" s="324"/>
      <c r="Q208" s="306"/>
      <c r="R208" s="306"/>
      <c r="S208" s="306"/>
      <c r="T208" s="306"/>
    </row>
    <row r="209" spans="2:20">
      <c r="B209" s="456" t="s">
        <v>795</v>
      </c>
      <c r="C209" s="324" t="s">
        <v>785</v>
      </c>
      <c r="D209" s="324"/>
      <c r="E209" s="324"/>
      <c r="F209" s="324">
        <v>0.86909999999999998</v>
      </c>
      <c r="G209" s="324">
        <v>0.86819999999999997</v>
      </c>
      <c r="H209" s="324">
        <v>0.87960000000000005</v>
      </c>
      <c r="I209" s="324">
        <v>0.87190000000000001</v>
      </c>
      <c r="J209" s="324">
        <v>0.87760000000000005</v>
      </c>
      <c r="K209" s="324">
        <v>0.87239999999999995</v>
      </c>
      <c r="L209" s="324">
        <v>0.86899999999999999</v>
      </c>
      <c r="N209" s="310" t="s">
        <v>627</v>
      </c>
      <c r="O209" s="314"/>
      <c r="P209" s="314"/>
      <c r="Q209" s="315"/>
      <c r="R209" s="315"/>
      <c r="S209" s="315"/>
      <c r="T209" s="315"/>
    </row>
    <row r="210" spans="2:20" ht="16">
      <c r="B210" s="457"/>
      <c r="C210" s="324" t="s">
        <v>784</v>
      </c>
      <c r="D210" s="324"/>
      <c r="E210" s="324"/>
      <c r="F210" s="324">
        <v>1.0178</v>
      </c>
      <c r="G210" s="324">
        <v>1.0149999999999999</v>
      </c>
      <c r="H210" s="324">
        <v>1.0158</v>
      </c>
      <c r="I210" s="324">
        <v>1.0193000000000001</v>
      </c>
      <c r="J210" s="324">
        <v>1.0173000000000001</v>
      </c>
      <c r="K210" s="324">
        <v>1.0192000000000001</v>
      </c>
      <c r="L210" s="324">
        <v>1.0206999999999999</v>
      </c>
      <c r="N210" s="443" t="s">
        <v>796</v>
      </c>
      <c r="O210" s="442"/>
      <c r="P210" s="442"/>
      <c r="Q210" s="442"/>
      <c r="R210" s="442"/>
      <c r="S210" s="442"/>
      <c r="T210" s="306"/>
    </row>
    <row r="211" spans="2:20" ht="16">
      <c r="B211" s="456" t="s">
        <v>630</v>
      </c>
      <c r="C211" s="324" t="s">
        <v>785</v>
      </c>
      <c r="D211" s="324">
        <v>0.79700000000000004</v>
      </c>
      <c r="E211" s="324">
        <v>0.81830000000000003</v>
      </c>
      <c r="F211" s="324">
        <v>0.76529999999999998</v>
      </c>
      <c r="G211" s="324">
        <v>0.76249999999999996</v>
      </c>
      <c r="H211" s="324">
        <v>0.75819999999999999</v>
      </c>
      <c r="I211" s="324">
        <v>0.75419999999999998</v>
      </c>
      <c r="J211" s="324">
        <v>0.75190000000000001</v>
      </c>
      <c r="K211" s="324">
        <v>0.74860000000000004</v>
      </c>
      <c r="L211" s="324">
        <v>0.75800000000000001</v>
      </c>
      <c r="N211" s="443" t="s">
        <v>686</v>
      </c>
      <c r="O211" s="442"/>
      <c r="P211" s="442"/>
      <c r="Q211" s="442"/>
      <c r="R211" s="306"/>
      <c r="S211" s="306"/>
      <c r="T211" s="306"/>
    </row>
    <row r="212" spans="2:20" ht="16">
      <c r="B212" s="457"/>
      <c r="C212" s="324" t="s">
        <v>784</v>
      </c>
      <c r="D212" s="324">
        <v>1.1100000000000001</v>
      </c>
      <c r="E212" s="324">
        <v>1.048</v>
      </c>
      <c r="F212" s="324">
        <v>1.0549999999999999</v>
      </c>
      <c r="G212" s="324">
        <v>1.0536000000000001</v>
      </c>
      <c r="H212" s="324">
        <v>1.0547</v>
      </c>
      <c r="I212" s="324">
        <v>1.0557000000000001</v>
      </c>
      <c r="J212" s="324">
        <v>1.0563</v>
      </c>
      <c r="K212" s="324">
        <v>1.0570999999999999</v>
      </c>
      <c r="L212" s="324">
        <v>1.0548</v>
      </c>
      <c r="N212" s="443" t="s">
        <v>688</v>
      </c>
      <c r="O212" s="442"/>
      <c r="P212" s="442"/>
      <c r="Q212" s="306"/>
      <c r="R212" s="306"/>
      <c r="S212" s="306"/>
      <c r="T212" s="306"/>
    </row>
    <row r="213" spans="2:20" ht="16">
      <c r="B213" s="456" t="s">
        <v>797</v>
      </c>
      <c r="C213" s="324" t="s">
        <v>785</v>
      </c>
      <c r="D213" s="324"/>
      <c r="E213" s="324"/>
      <c r="F213" s="324"/>
      <c r="G213" s="324"/>
      <c r="H213" s="324">
        <v>0.8024</v>
      </c>
      <c r="I213" s="324">
        <v>0.79039999999999999</v>
      </c>
      <c r="J213" s="324">
        <v>0.7863</v>
      </c>
      <c r="K213" s="324">
        <v>0.78600000000000003</v>
      </c>
      <c r="L213" s="324">
        <v>0.78490000000000004</v>
      </c>
      <c r="N213" s="443" t="s">
        <v>798</v>
      </c>
      <c r="O213" s="453"/>
      <c r="P213" s="306"/>
      <c r="Q213" s="306"/>
      <c r="R213" s="306"/>
      <c r="S213" s="306"/>
      <c r="T213" s="306"/>
    </row>
    <row r="214" spans="2:20">
      <c r="B214" s="457"/>
      <c r="C214" s="324" t="s">
        <v>784</v>
      </c>
      <c r="D214" s="324"/>
      <c r="E214" s="324"/>
      <c r="F214" s="324"/>
      <c r="G214" s="324"/>
      <c r="H214" s="324">
        <v>1.0427</v>
      </c>
      <c r="I214" s="324">
        <v>1.0461</v>
      </c>
      <c r="J214" s="324">
        <v>1.0472999999999999</v>
      </c>
      <c r="K214" s="324">
        <v>1.0472999999999999</v>
      </c>
      <c r="L214" s="324">
        <v>1.0476000000000001</v>
      </c>
      <c r="N214" s="443" t="s">
        <v>799</v>
      </c>
      <c r="O214" s="442"/>
      <c r="P214" s="442"/>
      <c r="Q214" s="442"/>
      <c r="R214" s="442"/>
      <c r="S214" s="442"/>
      <c r="T214" s="442"/>
    </row>
    <row r="215" spans="2:20" ht="16">
      <c r="B215" s="456" t="s">
        <v>800</v>
      </c>
      <c r="C215" s="324" t="s">
        <v>785</v>
      </c>
      <c r="D215" s="324"/>
      <c r="E215" s="324"/>
      <c r="F215" s="324"/>
      <c r="G215" s="324"/>
      <c r="H215" s="324">
        <v>0.79690000000000005</v>
      </c>
      <c r="I215" s="324">
        <v>0.78469999999999995</v>
      </c>
      <c r="J215" s="324">
        <v>0.77969999999999995</v>
      </c>
      <c r="K215" s="324">
        <v>0.77880000000000005</v>
      </c>
      <c r="L215" s="324">
        <v>0.77739999999999998</v>
      </c>
      <c r="N215" s="443" t="s">
        <v>801</v>
      </c>
      <c r="O215" s="442"/>
      <c r="P215" s="442"/>
      <c r="Q215" s="442"/>
      <c r="R215" s="442"/>
      <c r="S215" s="306"/>
      <c r="T215" s="306"/>
    </row>
    <row r="216" spans="2:20">
      <c r="B216" s="457"/>
      <c r="C216" s="324" t="s">
        <v>784</v>
      </c>
      <c r="D216" s="324"/>
      <c r="E216" s="324"/>
      <c r="F216" s="324"/>
      <c r="G216" s="324"/>
      <c r="H216" s="324">
        <v>1.0443</v>
      </c>
      <c r="I216" s="324">
        <v>1.0477000000000001</v>
      </c>
      <c r="J216" s="324">
        <v>1.0490999999999999</v>
      </c>
      <c r="K216" s="324">
        <v>1.0492999999999999</v>
      </c>
      <c r="L216" s="324">
        <v>1.0497000000000001</v>
      </c>
      <c r="N216" s="315"/>
      <c r="O216" s="314"/>
      <c r="P216" s="314"/>
      <c r="Q216" s="315"/>
      <c r="R216" s="315"/>
      <c r="S216" s="315"/>
      <c r="T216" s="315"/>
    </row>
    <row r="217" spans="2:20">
      <c r="B217" s="326" t="s">
        <v>802</v>
      </c>
      <c r="C217" s="324" t="s">
        <v>784</v>
      </c>
      <c r="D217" s="324">
        <v>0.33</v>
      </c>
      <c r="E217" s="324">
        <v>0.33</v>
      </c>
      <c r="F217" s="324">
        <v>0.33</v>
      </c>
      <c r="G217" s="324">
        <v>0.3009</v>
      </c>
      <c r="H217" s="324">
        <v>0.30149999999999999</v>
      </c>
      <c r="I217" s="324">
        <v>0.30159999999999998</v>
      </c>
      <c r="J217" s="324">
        <v>0.30170000000000002</v>
      </c>
      <c r="K217" s="324">
        <v>0.30159999999999998</v>
      </c>
      <c r="L217" s="324">
        <v>0.31619999999999998</v>
      </c>
      <c r="N217" s="316" t="s">
        <v>803</v>
      </c>
      <c r="O217" s="314"/>
      <c r="P217" s="314"/>
      <c r="Q217" s="315"/>
      <c r="R217" s="315"/>
      <c r="S217" s="315"/>
      <c r="T217" s="315"/>
    </row>
    <row r="218" spans="2:20">
      <c r="B218" s="456" t="s">
        <v>636</v>
      </c>
      <c r="C218" s="324" t="s">
        <v>785</v>
      </c>
      <c r="D218" s="324">
        <v>0.89229999999999998</v>
      </c>
      <c r="E218" s="324">
        <v>1.0216000000000001</v>
      </c>
      <c r="F218" s="324">
        <v>0.879</v>
      </c>
      <c r="G218" s="324">
        <v>0.87</v>
      </c>
      <c r="H218" s="324">
        <v>0.87170000000000003</v>
      </c>
      <c r="I218" s="324">
        <v>0.84570000000000001</v>
      </c>
      <c r="J218" s="324">
        <v>0.85089999999999999</v>
      </c>
      <c r="K218" s="324">
        <v>0.84160000000000001</v>
      </c>
      <c r="L218" s="324">
        <v>0.84660000000000002</v>
      </c>
      <c r="N218" s="459" t="s">
        <v>804</v>
      </c>
      <c r="O218" s="442"/>
      <c r="P218" s="442"/>
      <c r="Q218" s="442"/>
      <c r="R218" s="315"/>
      <c r="S218" s="315"/>
      <c r="T218" s="315"/>
    </row>
    <row r="219" spans="2:20">
      <c r="B219" s="457"/>
      <c r="C219" s="324" t="s">
        <v>784</v>
      </c>
      <c r="D219" s="324">
        <v>1.05</v>
      </c>
      <c r="E219" s="324">
        <v>1.1675</v>
      </c>
      <c r="F219" s="324">
        <v>1.0156000000000001</v>
      </c>
      <c r="G219" s="324">
        <v>1.0085</v>
      </c>
      <c r="H219" s="324">
        <v>1.0161</v>
      </c>
      <c r="I219" s="324">
        <v>1.0264</v>
      </c>
      <c r="J219" s="324">
        <v>1.0238</v>
      </c>
      <c r="K219" s="324">
        <v>1.0287999999999999</v>
      </c>
      <c r="L219" s="324">
        <v>1.0269999999999999</v>
      </c>
      <c r="N219" s="316" t="s">
        <v>805</v>
      </c>
      <c r="O219" s="314"/>
      <c r="P219" s="314"/>
      <c r="Q219" s="315"/>
      <c r="R219" s="315"/>
      <c r="S219" s="315"/>
      <c r="T219" s="315"/>
    </row>
    <row r="220" spans="2:20" ht="16">
      <c r="B220" s="456" t="s">
        <v>638</v>
      </c>
      <c r="C220" s="324" t="s">
        <v>785</v>
      </c>
      <c r="D220" s="324">
        <v>0.56940000000000002</v>
      </c>
      <c r="E220" s="324">
        <v>0.56659999999999999</v>
      </c>
      <c r="F220" s="324">
        <v>0.56820000000000004</v>
      </c>
      <c r="G220" s="324">
        <v>0.57579999999999998</v>
      </c>
      <c r="H220" s="324">
        <v>0.51259999999999994</v>
      </c>
      <c r="I220" s="324">
        <v>0.56759999999999999</v>
      </c>
      <c r="J220" s="324">
        <v>0.57089999999999996</v>
      </c>
      <c r="K220" s="324">
        <v>0.56999999999999995</v>
      </c>
      <c r="L220" s="324">
        <v>0.56920000000000004</v>
      </c>
      <c r="N220" s="316" t="s">
        <v>806</v>
      </c>
      <c r="O220" s="306"/>
      <c r="P220" s="306"/>
      <c r="Q220" s="306"/>
      <c r="R220" s="306"/>
      <c r="S220" s="306"/>
      <c r="T220" s="306"/>
    </row>
    <row r="221" spans="2:20" ht="16">
      <c r="B221" s="457"/>
      <c r="C221" s="324" t="s">
        <v>784</v>
      </c>
      <c r="D221" s="324">
        <v>1.099</v>
      </c>
      <c r="E221" s="324">
        <v>1.1041000000000001</v>
      </c>
      <c r="F221" s="324">
        <v>1.0992</v>
      </c>
      <c r="G221" s="324">
        <v>1.1073</v>
      </c>
      <c r="H221" s="324">
        <v>1.0049999999999999</v>
      </c>
      <c r="I221" s="324">
        <v>1.1000000000000001</v>
      </c>
      <c r="J221" s="324">
        <v>1.0973999999999999</v>
      </c>
      <c r="K221" s="324">
        <v>1.1000000000000001</v>
      </c>
      <c r="L221" s="324">
        <v>1.1004</v>
      </c>
      <c r="N221" s="316" t="s">
        <v>807</v>
      </c>
      <c r="O221" s="306"/>
      <c r="P221" s="306"/>
      <c r="Q221" s="306"/>
      <c r="R221" s="306"/>
      <c r="S221" s="306"/>
      <c r="T221" s="306"/>
    </row>
    <row r="222" spans="2:20">
      <c r="B222" s="456" t="s">
        <v>640</v>
      </c>
      <c r="C222" s="324" t="s">
        <v>785</v>
      </c>
      <c r="D222" s="324">
        <v>0.81950000000000001</v>
      </c>
      <c r="E222" s="324">
        <v>0.82879999999999998</v>
      </c>
      <c r="F222" s="324">
        <v>0.8256</v>
      </c>
      <c r="G222" s="324">
        <v>0.82579999999999998</v>
      </c>
      <c r="H222" s="324">
        <v>0.82769999999999999</v>
      </c>
      <c r="I222" s="324">
        <v>0.82930000000000004</v>
      </c>
      <c r="J222" s="324">
        <v>0.82809999999999995</v>
      </c>
      <c r="K222" s="324">
        <v>0.82989999999999997</v>
      </c>
      <c r="L222" s="324">
        <v>0.83130000000000004</v>
      </c>
      <c r="N222" s="316" t="s">
        <v>808</v>
      </c>
      <c r="O222" s="314"/>
      <c r="P222" s="314"/>
      <c r="Q222" s="315"/>
      <c r="R222" s="315"/>
      <c r="S222" s="315"/>
      <c r="T222" s="315"/>
    </row>
    <row r="223" spans="2:20">
      <c r="B223" s="457"/>
      <c r="C223" s="324" t="s">
        <v>784</v>
      </c>
      <c r="D223" s="324">
        <v>1.04</v>
      </c>
      <c r="E223" s="324">
        <v>1.0365</v>
      </c>
      <c r="F223" s="324">
        <v>1.0368999999999999</v>
      </c>
      <c r="G223" s="324">
        <v>1.0354000000000001</v>
      </c>
      <c r="H223" s="324">
        <v>1.0349999999999999</v>
      </c>
      <c r="I223" s="324">
        <v>1.0343</v>
      </c>
      <c r="J223" s="324">
        <v>1.0347999999999999</v>
      </c>
      <c r="K223" s="324">
        <v>1.0342</v>
      </c>
      <c r="L223" s="324">
        <v>1.0337000000000001</v>
      </c>
    </row>
    <row r="224" spans="2:20">
      <c r="B224" s="323" t="s">
        <v>809</v>
      </c>
      <c r="C224" s="324" t="s">
        <v>784</v>
      </c>
      <c r="D224" s="324"/>
      <c r="E224" s="324"/>
      <c r="F224" s="324"/>
      <c r="G224" s="324"/>
      <c r="H224" s="324">
        <v>0.628</v>
      </c>
      <c r="I224" s="324">
        <v>0.67320000000000002</v>
      </c>
      <c r="J224" s="324">
        <v>0.69320000000000004</v>
      </c>
      <c r="K224" s="324">
        <v>0.70479999999999998</v>
      </c>
      <c r="L224" s="324">
        <v>0.74819999999999998</v>
      </c>
    </row>
    <row r="225" spans="2:12">
      <c r="B225" s="456" t="s">
        <v>810</v>
      </c>
      <c r="C225" s="324" t="s">
        <v>785</v>
      </c>
      <c r="D225" s="324">
        <v>0.80979999999999996</v>
      </c>
      <c r="E225" s="324">
        <v>0.80979999999999996</v>
      </c>
      <c r="F225" s="324">
        <v>0.80289999999999995</v>
      </c>
      <c r="G225" s="324">
        <v>0.80449999999999999</v>
      </c>
      <c r="H225" s="324">
        <v>0.79390000000000005</v>
      </c>
      <c r="I225" s="324">
        <v>0.79930000000000001</v>
      </c>
      <c r="J225" s="324">
        <v>0.80120000000000002</v>
      </c>
      <c r="K225" s="324">
        <v>0.79479999999999995</v>
      </c>
      <c r="L225" s="324">
        <v>0.79710000000000003</v>
      </c>
    </row>
    <row r="226" spans="2:12">
      <c r="B226" s="457"/>
      <c r="C226" s="324" t="s">
        <v>784</v>
      </c>
      <c r="D226" s="324">
        <v>1.0489999999999999</v>
      </c>
      <c r="E226" s="324">
        <v>1.0489999999999999</v>
      </c>
      <c r="F226" s="324">
        <v>1.0443</v>
      </c>
      <c r="G226" s="324">
        <v>1.0415000000000001</v>
      </c>
      <c r="H226" s="324">
        <v>1.0447</v>
      </c>
      <c r="I226" s="324">
        <v>1.0430999999999999</v>
      </c>
      <c r="J226" s="324">
        <v>1.0427</v>
      </c>
      <c r="K226" s="324">
        <v>1.0444</v>
      </c>
      <c r="L226" s="324">
        <v>1.0438000000000001</v>
      </c>
    </row>
    <row r="227" spans="2:12">
      <c r="B227" s="456" t="s">
        <v>642</v>
      </c>
      <c r="C227" s="324" t="s">
        <v>785</v>
      </c>
      <c r="D227" s="324">
        <v>0.62439999999999996</v>
      </c>
      <c r="E227" s="324">
        <v>0.62529999999999997</v>
      </c>
      <c r="F227" s="324">
        <v>0.60860000000000003</v>
      </c>
      <c r="G227" s="324">
        <v>0.60460000000000003</v>
      </c>
      <c r="H227" s="324">
        <v>0.59570000000000001</v>
      </c>
      <c r="I227" s="324">
        <v>0.60729999999999995</v>
      </c>
      <c r="J227" s="324">
        <v>0.61240000000000006</v>
      </c>
      <c r="K227" s="324">
        <v>0.6109</v>
      </c>
      <c r="L227" s="324">
        <v>0.60950000000000004</v>
      </c>
    </row>
    <row r="228" spans="2:12">
      <c r="B228" s="457"/>
      <c r="C228" s="324" t="s">
        <v>784</v>
      </c>
      <c r="D228" s="324">
        <v>1.115</v>
      </c>
      <c r="E228" s="324">
        <v>1.089</v>
      </c>
      <c r="F228" s="324">
        <v>1.0909</v>
      </c>
      <c r="G228" s="324">
        <v>1.0912999999999999</v>
      </c>
      <c r="H228" s="324">
        <v>1.093</v>
      </c>
      <c r="I228" s="324">
        <v>1.0923</v>
      </c>
      <c r="J228" s="324">
        <v>1.0911999999999999</v>
      </c>
      <c r="K228" s="324">
        <v>1.0918000000000001</v>
      </c>
      <c r="L228" s="324">
        <v>1.0927</v>
      </c>
    </row>
    <row r="229" spans="2:12">
      <c r="B229" s="456" t="s">
        <v>643</v>
      </c>
      <c r="C229" s="324" t="s">
        <v>785</v>
      </c>
      <c r="D229" s="324">
        <v>0.82199999999999995</v>
      </c>
      <c r="E229" s="324">
        <v>0.82640000000000002</v>
      </c>
      <c r="F229" s="324">
        <v>0.82899999999999996</v>
      </c>
      <c r="G229" s="324">
        <v>0.83489999999999998</v>
      </c>
      <c r="H229" s="324">
        <v>0.83830000000000005</v>
      </c>
      <c r="I229" s="324">
        <v>0.83020000000000005</v>
      </c>
      <c r="J229" s="324">
        <v>0.8327</v>
      </c>
      <c r="K229" s="324">
        <v>0.83040000000000003</v>
      </c>
      <c r="L229" s="324">
        <v>0.8296</v>
      </c>
    </row>
    <row r="230" spans="2:12">
      <c r="B230" s="457"/>
      <c r="C230" s="324" t="s">
        <v>784</v>
      </c>
      <c r="D230" s="324">
        <v>1.034</v>
      </c>
      <c r="E230" s="324">
        <v>1.0346</v>
      </c>
      <c r="F230" s="324">
        <v>1.0367999999999999</v>
      </c>
      <c r="G230" s="324">
        <v>1.0324</v>
      </c>
      <c r="H230" s="324">
        <v>1.0311999999999999</v>
      </c>
      <c r="I230" s="324">
        <v>1.034</v>
      </c>
      <c r="J230" s="324">
        <v>1.0333000000000001</v>
      </c>
      <c r="K230" s="324">
        <v>1.034</v>
      </c>
      <c r="L230" s="324">
        <v>1.0341</v>
      </c>
    </row>
    <row r="231" spans="2:12">
      <c r="B231" s="323" t="s">
        <v>811</v>
      </c>
      <c r="C231" s="324"/>
      <c r="D231" s="324"/>
      <c r="E231" s="324"/>
      <c r="F231" s="324"/>
      <c r="G231" s="324"/>
      <c r="H231" s="324"/>
      <c r="I231" s="324"/>
      <c r="J231" s="324"/>
      <c r="K231" s="324"/>
      <c r="L231" s="324"/>
    </row>
    <row r="232" spans="2:12">
      <c r="B232" s="316" t="s">
        <v>627</v>
      </c>
      <c r="C232" s="314"/>
      <c r="D232" s="314"/>
      <c r="E232" s="314"/>
      <c r="F232" s="314"/>
      <c r="G232" s="314"/>
      <c r="H232" s="315"/>
      <c r="I232" s="315"/>
      <c r="J232" s="315"/>
      <c r="K232" s="315"/>
      <c r="L232" s="315"/>
    </row>
    <row r="233" spans="2:12">
      <c r="B233" s="310" t="s">
        <v>695</v>
      </c>
      <c r="C233" s="310"/>
      <c r="D233" s="310"/>
      <c r="E233" s="310"/>
      <c r="F233" s="310"/>
      <c r="G233" s="310"/>
      <c r="H233" s="310"/>
      <c r="I233" s="310"/>
      <c r="J233" s="310"/>
      <c r="K233" s="310"/>
      <c r="L233" s="310"/>
    </row>
    <row r="234" spans="2:12">
      <c r="B234" s="459" t="s">
        <v>697</v>
      </c>
      <c r="C234" s="442"/>
      <c r="D234" s="314"/>
      <c r="E234" s="314"/>
      <c r="F234" s="314"/>
      <c r="G234" s="314"/>
      <c r="H234" s="315"/>
      <c r="I234" s="315"/>
      <c r="J234" s="315"/>
      <c r="K234" s="315"/>
      <c r="L234" s="315"/>
    </row>
    <row r="235" spans="2:12" ht="16">
      <c r="B235" s="443" t="s">
        <v>812</v>
      </c>
      <c r="C235" s="442"/>
      <c r="D235" s="306"/>
      <c r="E235" s="306"/>
      <c r="F235" s="306"/>
      <c r="G235" s="306"/>
      <c r="H235" s="306"/>
      <c r="I235" s="306"/>
      <c r="J235" s="306"/>
      <c r="K235" s="306"/>
      <c r="L235" s="306"/>
    </row>
    <row r="236" spans="2:12">
      <c r="B236" s="310" t="s">
        <v>813</v>
      </c>
      <c r="C236" s="310"/>
      <c r="D236" s="310"/>
      <c r="E236" s="310"/>
      <c r="F236" s="310"/>
      <c r="G236" s="310"/>
      <c r="H236" s="310"/>
      <c r="I236" s="310"/>
      <c r="J236" s="310"/>
      <c r="K236" s="310"/>
      <c r="L236" s="310"/>
    </row>
    <row r="237" spans="2:12">
      <c r="B237" s="316" t="s">
        <v>814</v>
      </c>
      <c r="C237" s="314"/>
      <c r="D237" s="314"/>
      <c r="E237" s="314"/>
      <c r="F237" s="314"/>
      <c r="G237" s="314"/>
      <c r="H237" s="315"/>
      <c r="I237" s="315"/>
      <c r="J237" s="315"/>
      <c r="K237" s="315"/>
      <c r="L237" s="315"/>
    </row>
    <row r="238" spans="2:12">
      <c r="B238" s="310" t="s">
        <v>815</v>
      </c>
      <c r="C238" s="310"/>
      <c r="D238" s="310"/>
      <c r="E238" s="310"/>
      <c r="F238" s="310"/>
      <c r="G238" s="310"/>
      <c r="H238" s="310"/>
      <c r="I238" s="314"/>
      <c r="J238" s="314"/>
      <c r="K238" s="315"/>
      <c r="L238" s="315"/>
    </row>
    <row r="239" spans="2:12">
      <c r="B239" s="310" t="s">
        <v>816</v>
      </c>
      <c r="C239" s="310"/>
      <c r="D239" s="310"/>
      <c r="E239" s="310"/>
      <c r="F239" s="310"/>
      <c r="G239" s="310"/>
      <c r="H239" s="310"/>
      <c r="I239" s="310"/>
      <c r="J239" s="310"/>
      <c r="K239" s="310"/>
      <c r="L239" s="310"/>
    </row>
    <row r="240" spans="2:12">
      <c r="B240" s="316" t="s">
        <v>817</v>
      </c>
      <c r="C240" s="316"/>
      <c r="D240" s="316"/>
      <c r="E240" s="316"/>
      <c r="F240" s="316"/>
      <c r="G240" s="316"/>
      <c r="H240" s="316"/>
      <c r="I240" s="316"/>
      <c r="J240" s="316"/>
      <c r="K240" s="316"/>
      <c r="L240" s="316"/>
    </row>
    <row r="241" spans="2:12">
      <c r="B241" s="426" t="s">
        <v>818</v>
      </c>
      <c r="C241" s="427"/>
      <c r="D241" s="428"/>
      <c r="E241" s="314"/>
      <c r="F241" s="314"/>
      <c r="G241" s="314"/>
      <c r="H241" s="315"/>
      <c r="I241" s="315"/>
      <c r="J241" s="315"/>
      <c r="K241" s="315"/>
      <c r="L241" s="315"/>
    </row>
    <row r="242" spans="2:12">
      <c r="B242" s="316" t="s">
        <v>819</v>
      </c>
      <c r="C242" s="316"/>
      <c r="D242" s="316"/>
      <c r="E242" s="316"/>
      <c r="F242" s="316"/>
      <c r="G242" s="316"/>
      <c r="H242" s="316"/>
      <c r="I242" s="316"/>
      <c r="J242" s="316"/>
      <c r="K242" s="316"/>
      <c r="L242" s="316"/>
    </row>
    <row r="243" spans="2:12">
      <c r="B243" s="316" t="s">
        <v>820</v>
      </c>
      <c r="C243" s="316"/>
      <c r="D243" s="316"/>
      <c r="E243" s="316"/>
      <c r="F243" s="316"/>
      <c r="G243" s="316"/>
      <c r="H243" s="316"/>
      <c r="I243" s="316"/>
      <c r="J243" s="316"/>
      <c r="K243" s="316"/>
      <c r="L243" s="316"/>
    </row>
    <row r="244" spans="2:12">
      <c r="B244" s="316" t="s">
        <v>821</v>
      </c>
      <c r="C244" s="316"/>
      <c r="D244" s="316"/>
      <c r="E244" s="316"/>
      <c r="F244" s="316"/>
      <c r="G244" s="316"/>
      <c r="H244" s="316"/>
      <c r="I244" s="316"/>
      <c r="J244" s="316"/>
      <c r="K244" s="316"/>
      <c r="L244" s="316"/>
    </row>
    <row r="245" spans="2:12" ht="15" customHeight="1">
      <c r="B245" s="310" t="s">
        <v>822</v>
      </c>
      <c r="C245" s="310"/>
      <c r="D245" s="310"/>
      <c r="E245" s="310"/>
      <c r="F245" s="310"/>
      <c r="G245" s="310"/>
      <c r="H245" s="310"/>
      <c r="I245" s="310"/>
      <c r="J245" s="310"/>
      <c r="K245" s="310"/>
      <c r="L245" s="310"/>
    </row>
    <row r="246" spans="2:12" ht="15" customHeight="1">
      <c r="B246" s="310" t="s">
        <v>823</v>
      </c>
      <c r="C246" s="310"/>
      <c r="D246" s="310"/>
      <c r="E246" s="310"/>
      <c r="F246" s="310"/>
      <c r="G246" s="310"/>
      <c r="H246" s="310"/>
      <c r="I246" s="310"/>
      <c r="J246" s="310"/>
      <c r="K246" s="310"/>
      <c r="L246" s="310"/>
    </row>
    <row r="247" spans="2:12" ht="15" customHeight="1">
      <c r="B247" s="310" t="s">
        <v>824</v>
      </c>
      <c r="C247" s="310"/>
      <c r="D247" s="310"/>
      <c r="E247" s="310"/>
      <c r="F247" s="310"/>
      <c r="G247" s="310"/>
      <c r="H247" s="310"/>
      <c r="I247" s="310"/>
      <c r="J247" s="310"/>
      <c r="K247" s="310"/>
      <c r="L247" s="310"/>
    </row>
    <row r="248" spans="2:12" ht="15" customHeight="1">
      <c r="B248" s="310" t="s">
        <v>825</v>
      </c>
      <c r="C248" s="310"/>
      <c r="D248" s="310"/>
      <c r="E248" s="310"/>
      <c r="F248" s="310"/>
      <c r="G248" s="310"/>
      <c r="H248" s="310"/>
      <c r="I248" s="310"/>
      <c r="J248" s="310"/>
      <c r="K248" s="310"/>
      <c r="L248" s="310"/>
    </row>
    <row r="249" spans="2:12" ht="15" customHeight="1">
      <c r="B249" s="315"/>
      <c r="C249" s="314"/>
      <c r="D249" s="314"/>
      <c r="E249" s="314"/>
      <c r="F249" s="314"/>
      <c r="G249" s="314"/>
      <c r="H249" s="314"/>
      <c r="I249" s="314"/>
      <c r="J249" s="314"/>
      <c r="K249" s="314"/>
      <c r="L249" s="314"/>
    </row>
    <row r="250" spans="2:12" ht="15" customHeight="1">
      <c r="B250" s="316" t="s">
        <v>803</v>
      </c>
      <c r="C250" s="314"/>
      <c r="D250" s="314"/>
      <c r="E250" s="314"/>
      <c r="F250" s="314"/>
      <c r="G250" s="314"/>
      <c r="H250" s="314"/>
      <c r="I250" s="314"/>
      <c r="J250" s="314"/>
      <c r="K250" s="314"/>
      <c r="L250" s="314"/>
    </row>
    <row r="251" spans="2:12" ht="15" customHeight="1">
      <c r="B251" s="426" t="s">
        <v>804</v>
      </c>
      <c r="C251" s="427"/>
      <c r="D251" s="427"/>
      <c r="E251" s="427"/>
      <c r="F251" s="427"/>
      <c r="G251" s="427"/>
      <c r="H251" s="428"/>
      <c r="I251" s="314"/>
      <c r="J251" s="314"/>
      <c r="K251" s="314"/>
      <c r="L251" s="314"/>
    </row>
    <row r="252" spans="2:12" ht="15" customHeight="1">
      <c r="B252" s="316" t="s">
        <v>805</v>
      </c>
      <c r="C252" s="314"/>
      <c r="D252" s="314"/>
      <c r="E252" s="314"/>
      <c r="F252" s="314"/>
      <c r="G252" s="314"/>
      <c r="H252" s="314"/>
      <c r="I252" s="314"/>
      <c r="J252" s="314"/>
      <c r="K252" s="314"/>
      <c r="L252" s="314"/>
    </row>
    <row r="253" spans="2:12" ht="15" customHeight="1">
      <c r="B253" s="316" t="s">
        <v>806</v>
      </c>
      <c r="C253" s="314"/>
      <c r="D253" s="314"/>
      <c r="E253" s="314"/>
      <c r="F253" s="314"/>
      <c r="G253" s="314"/>
      <c r="H253" s="314"/>
      <c r="I253" s="314"/>
      <c r="J253" s="314"/>
      <c r="K253" s="314"/>
      <c r="L253" s="314"/>
    </row>
    <row r="254" spans="2:12" ht="15" customHeight="1">
      <c r="B254" s="316" t="s">
        <v>808</v>
      </c>
      <c r="C254" s="314"/>
      <c r="D254" s="314"/>
      <c r="E254" s="314"/>
      <c r="F254" s="314"/>
      <c r="G254" s="314"/>
      <c r="H254" s="314"/>
      <c r="I254" s="314"/>
      <c r="J254" s="314"/>
      <c r="K254" s="314"/>
      <c r="L254" s="314"/>
    </row>
  </sheetData>
  <mergeCells count="82">
    <mergeCell ref="B235:C235"/>
    <mergeCell ref="B220:B221"/>
    <mergeCell ref="B222:B223"/>
    <mergeCell ref="B225:B226"/>
    <mergeCell ref="B227:B228"/>
    <mergeCell ref="B229:B230"/>
    <mergeCell ref="B234:C234"/>
    <mergeCell ref="B218:B219"/>
    <mergeCell ref="N218:Q218"/>
    <mergeCell ref="N205:N206"/>
    <mergeCell ref="B209:B210"/>
    <mergeCell ref="N210:S210"/>
    <mergeCell ref="B211:B212"/>
    <mergeCell ref="N211:Q211"/>
    <mergeCell ref="N212:P212"/>
    <mergeCell ref="B204:B205"/>
    <mergeCell ref="B213:B214"/>
    <mergeCell ref="N213:O213"/>
    <mergeCell ref="N214:T214"/>
    <mergeCell ref="B215:B216"/>
    <mergeCell ref="N215:R215"/>
    <mergeCell ref="B194:B195"/>
    <mergeCell ref="B196:B197"/>
    <mergeCell ref="B198:B199"/>
    <mergeCell ref="B200:B201"/>
    <mergeCell ref="B202:B203"/>
    <mergeCell ref="B192:B193"/>
    <mergeCell ref="N192:N193"/>
    <mergeCell ref="G162:H162"/>
    <mergeCell ref="G165:V165"/>
    <mergeCell ref="B184:H184"/>
    <mergeCell ref="N184:Q184"/>
    <mergeCell ref="B185:C185"/>
    <mergeCell ref="N185:O185"/>
    <mergeCell ref="N187:N188"/>
    <mergeCell ref="B189:B190"/>
    <mergeCell ref="N190:N191"/>
    <mergeCell ref="N120:P120"/>
    <mergeCell ref="B121:C121"/>
    <mergeCell ref="N121:O121"/>
    <mergeCell ref="N133:O133"/>
    <mergeCell ref="G149:H149"/>
    <mergeCell ref="N70:O70"/>
    <mergeCell ref="B83:B84"/>
    <mergeCell ref="N99:O99"/>
    <mergeCell ref="B100:D100"/>
    <mergeCell ref="B110:C110"/>
    <mergeCell ref="N48:V48"/>
    <mergeCell ref="N49:U49"/>
    <mergeCell ref="B56:C56"/>
    <mergeCell ref="B58:C58"/>
    <mergeCell ref="B69:D69"/>
    <mergeCell ref="N69:P69"/>
    <mergeCell ref="N47:O47"/>
    <mergeCell ref="B33:C33"/>
    <mergeCell ref="N33:O33"/>
    <mergeCell ref="N44:O44"/>
    <mergeCell ref="N45:T45"/>
    <mergeCell ref="N46:Q46"/>
    <mergeCell ref="M21:Y21"/>
    <mergeCell ref="Z21:AB21"/>
    <mergeCell ref="F21:F22"/>
    <mergeCell ref="G21:G22"/>
    <mergeCell ref="H21:H22"/>
    <mergeCell ref="I21:I22"/>
    <mergeCell ref="J21:J22"/>
    <mergeCell ref="B251:H251"/>
    <mergeCell ref="B241:D241"/>
    <mergeCell ref="B2:C2"/>
    <mergeCell ref="K21:K22"/>
    <mergeCell ref="L21:L22"/>
    <mergeCell ref="B21:B22"/>
    <mergeCell ref="C21:C22"/>
    <mergeCell ref="D21:D22"/>
    <mergeCell ref="E21:E22"/>
    <mergeCell ref="B101:H101"/>
    <mergeCell ref="B70:C70"/>
    <mergeCell ref="B118:C118"/>
    <mergeCell ref="B120:D120"/>
    <mergeCell ref="B153:C153"/>
    <mergeCell ref="B155:C155"/>
    <mergeCell ref="B156:C156"/>
  </mergeCells>
  <hyperlinks>
    <hyperlink ref="G32" r:id="rId1" xr:uid="{85237E6D-C1C6-48B5-B07C-5C038386C0F0}"/>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9E57-F72F-4953-B977-B946C3FE96F1}">
  <sheetPr>
    <tabColor rgb="FF429EBD"/>
  </sheetPr>
  <dimension ref="A2:J11"/>
  <sheetViews>
    <sheetView topLeftCell="A6" zoomScale="60" zoomScaleNormal="60" workbookViewId="0">
      <selection activeCell="B11" sqref="B11"/>
    </sheetView>
  </sheetViews>
  <sheetFormatPr baseColWidth="10" defaultColWidth="8.6640625" defaultRowHeight="14"/>
  <cols>
    <col min="1" max="1" width="5.33203125" style="1" customWidth="1"/>
    <col min="2" max="2" width="20.1640625" style="17" customWidth="1"/>
    <col min="3" max="3" width="38.83203125" style="17" customWidth="1"/>
    <col min="4" max="4" width="32.83203125" style="17" customWidth="1"/>
    <col min="5" max="5" width="54" style="18" customWidth="1"/>
    <col min="6" max="16384" width="8.6640625" style="1"/>
  </cols>
  <sheetData>
    <row r="2" spans="1:10" s="7" customFormat="1" ht="23.25" customHeight="1">
      <c r="B2" s="395" t="s">
        <v>29</v>
      </c>
      <c r="C2" s="396"/>
      <c r="D2" s="396"/>
      <c r="E2" s="397"/>
    </row>
    <row r="3" spans="1:10" ht="15">
      <c r="B3" s="93" t="s">
        <v>30</v>
      </c>
      <c r="C3" s="93" t="s">
        <v>31</v>
      </c>
      <c r="D3" s="93" t="s">
        <v>32</v>
      </c>
      <c r="E3" s="94" t="s">
        <v>33</v>
      </c>
    </row>
    <row r="4" spans="1:10" ht="41.25" customHeight="1">
      <c r="A4" s="13"/>
      <c r="B4" s="32" t="s">
        <v>34</v>
      </c>
      <c r="C4" s="33" t="s">
        <v>35</v>
      </c>
      <c r="D4" s="33" t="s">
        <v>36</v>
      </c>
      <c r="E4" s="34" t="s">
        <v>37</v>
      </c>
      <c r="F4" s="15"/>
    </row>
    <row r="5" spans="1:10" ht="67.5" customHeight="1">
      <c r="A5" s="13"/>
      <c r="B5" s="32" t="s">
        <v>38</v>
      </c>
      <c r="C5" s="33" t="s">
        <v>39</v>
      </c>
      <c r="D5" s="33" t="s">
        <v>40</v>
      </c>
      <c r="E5" s="34" t="s">
        <v>41</v>
      </c>
      <c r="F5" s="15"/>
    </row>
    <row r="6" spans="1:10" ht="75">
      <c r="A6" s="13"/>
      <c r="B6" s="32" t="s">
        <v>42</v>
      </c>
      <c r="C6" s="33" t="s">
        <v>43</v>
      </c>
      <c r="D6" s="33" t="s">
        <v>44</v>
      </c>
      <c r="E6" s="35" t="s">
        <v>45</v>
      </c>
      <c r="F6" s="15"/>
      <c r="J6" s="7"/>
    </row>
    <row r="7" spans="1:10" ht="45">
      <c r="A7" s="13"/>
      <c r="B7" s="32" t="s">
        <v>46</v>
      </c>
      <c r="C7" s="33" t="s">
        <v>47</v>
      </c>
      <c r="D7" s="33" t="s">
        <v>48</v>
      </c>
      <c r="E7" s="36" t="s">
        <v>49</v>
      </c>
      <c r="F7" s="15"/>
    </row>
    <row r="8" spans="1:10" ht="166.5" customHeight="1">
      <c r="A8" s="13"/>
      <c r="B8" s="32" t="s">
        <v>50</v>
      </c>
      <c r="C8" s="33" t="s">
        <v>51</v>
      </c>
      <c r="D8" s="33" t="s">
        <v>52</v>
      </c>
      <c r="E8" s="34" t="s">
        <v>53</v>
      </c>
      <c r="F8" s="15"/>
    </row>
    <row r="9" spans="1:10" ht="105">
      <c r="A9" s="13"/>
      <c r="B9" s="39" t="s">
        <v>54</v>
      </c>
      <c r="C9" s="40" t="s">
        <v>55</v>
      </c>
      <c r="D9" s="40" t="s">
        <v>56</v>
      </c>
      <c r="E9" s="41" t="s">
        <v>57</v>
      </c>
      <c r="F9" s="15"/>
    </row>
    <row r="10" spans="1:10" ht="90">
      <c r="A10" s="13"/>
      <c r="B10" s="32" t="s">
        <v>58</v>
      </c>
      <c r="C10" s="40" t="s">
        <v>59</v>
      </c>
      <c r="D10" s="40" t="s">
        <v>60</v>
      </c>
      <c r="E10" s="388" t="s">
        <v>61</v>
      </c>
      <c r="F10" s="15"/>
    </row>
    <row r="11" spans="1:10">
      <c r="B11" s="37"/>
      <c r="C11" s="37"/>
      <c r="D11" s="37"/>
      <c r="E11" s="38"/>
    </row>
  </sheetData>
  <mergeCells count="1">
    <mergeCell ref="B2:E2"/>
  </mergeCells>
  <hyperlinks>
    <hyperlink ref="E5" r:id="rId1" xr:uid="{BE4FB76C-3C00-4DBF-9331-0082E390E3D9}"/>
    <hyperlink ref="E4" r:id="rId2" xr:uid="{A7CE27C4-105D-4A56-852F-656549B12CCD}"/>
    <hyperlink ref="E7" r:id="rId3" display="https://portfoliomanager.energystar.gov/pdf/reference/US National Median Table.pdf" xr:uid="{97F7A4B9-6202-489E-9FF6-264274E0499A}"/>
    <hyperlink ref="E6" r:id="rId4" xr:uid="{CE0B8DBD-53E8-4278-A7BA-11C2D9F7BF50}"/>
    <hyperlink ref="E8" r:id="rId5" xr:uid="{B1CA8FD2-1F32-4F1F-8B79-1461245F4F9E}"/>
    <hyperlink ref="E9" r:id="rId6" display="https://www.gub.uy/ministerio-ambiente/politicas-y-gestion/herramienta-calculo-huella-carbono-del-sector-industrial" xr:uid="{D51807E6-59CB-4BF8-ADBF-2F563B00A091}"/>
    <hyperlink ref="E10" r:id="rId7" xr:uid="{CFDF2337-720B-44BB-B00B-6AA13A40B7FE}"/>
  </hyperlinks>
  <pageMargins left="0.7" right="0.7" top="0.75" bottom="0.75" header="0.3" footer="0.3"/>
  <tableParts count="1">
    <tablePart r:id="rId8"/>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6585-9317-43AC-B9BF-6C8B3F684BC7}">
  <sheetPr>
    <tabColor theme="4" tint="0.79998168889431442"/>
  </sheetPr>
  <dimension ref="A2:O32"/>
  <sheetViews>
    <sheetView zoomScale="50" zoomScaleNormal="50" workbookViewId="0">
      <pane ySplit="3" topLeftCell="A4" activePane="bottomLeft" state="frozen"/>
      <selection pane="bottomLeft" activeCell="N4" sqref="N4"/>
    </sheetView>
  </sheetViews>
  <sheetFormatPr baseColWidth="10" defaultColWidth="11.5" defaultRowHeight="15" customHeight="1"/>
  <cols>
    <col min="1" max="1" width="3.5" style="1" customWidth="1"/>
    <col min="2" max="2" width="8.83203125" style="1" customWidth="1"/>
    <col min="3" max="3" width="20" style="19" customWidth="1"/>
    <col min="4" max="4" width="13.6640625" style="19" customWidth="1"/>
    <col min="5" max="5" width="11.1640625" style="19" customWidth="1"/>
    <col min="6" max="6" width="21.1640625" style="19" customWidth="1"/>
    <col min="7" max="7" width="20.33203125" style="19" customWidth="1"/>
    <col min="8" max="8" width="16" style="19" customWidth="1"/>
    <col min="9" max="9" width="14.5" style="1" customWidth="1"/>
    <col min="10" max="10" width="16.1640625" style="19" customWidth="1"/>
    <col min="11" max="11" width="15" style="19" customWidth="1"/>
    <col min="12" max="12" width="14" style="19" customWidth="1"/>
    <col min="13" max="13" width="88.33203125" style="19" customWidth="1"/>
    <col min="14" max="14" width="57.6640625" style="19" customWidth="1"/>
    <col min="15" max="16384" width="11.5" style="1"/>
  </cols>
  <sheetData>
    <row r="2" spans="1:15" ht="15" customHeight="1">
      <c r="B2" s="398" t="s">
        <v>62</v>
      </c>
      <c r="C2" s="399"/>
      <c r="D2" s="399"/>
      <c r="E2" s="399"/>
      <c r="F2" s="399"/>
      <c r="G2" s="399"/>
      <c r="H2" s="399"/>
      <c r="I2" s="399"/>
      <c r="J2" s="399"/>
      <c r="K2" s="399"/>
      <c r="L2" s="399"/>
      <c r="M2" s="399"/>
      <c r="N2" s="400"/>
    </row>
    <row r="3" spans="1:15" s="20" customFormat="1" ht="40.5" customHeight="1">
      <c r="B3" s="384" t="s">
        <v>63</v>
      </c>
      <c r="C3" s="95" t="s">
        <v>64</v>
      </c>
      <c r="D3" s="95" t="s">
        <v>65</v>
      </c>
      <c r="E3" s="95" t="s">
        <v>66</v>
      </c>
      <c r="F3" s="51" t="s">
        <v>67</v>
      </c>
      <c r="G3" s="51" t="s">
        <v>68</v>
      </c>
      <c r="H3" s="51" t="s">
        <v>69</v>
      </c>
      <c r="I3" s="95" t="s">
        <v>70</v>
      </c>
      <c r="J3" s="95" t="s">
        <v>71</v>
      </c>
      <c r="K3" s="95" t="s">
        <v>72</v>
      </c>
      <c r="L3" s="95" t="s">
        <v>73</v>
      </c>
      <c r="M3" s="95" t="s">
        <v>74</v>
      </c>
      <c r="N3" s="95" t="s">
        <v>75</v>
      </c>
    </row>
    <row r="4" spans="1:15" s="18" customFormat="1" ht="220.5" customHeight="1">
      <c r="A4" s="49"/>
      <c r="B4" s="385" t="s">
        <v>76</v>
      </c>
      <c r="C4" s="32" t="s">
        <v>77</v>
      </c>
      <c r="D4" s="42">
        <v>26156319</v>
      </c>
      <c r="E4" s="43" t="s">
        <v>78</v>
      </c>
      <c r="F4" s="43">
        <v>48798000000</v>
      </c>
      <c r="G4" s="42">
        <f>Tabla47[[#This Row],[Valor económico (UYU)]]/28.84</f>
        <v>1692024965.3259363</v>
      </c>
      <c r="H4" s="46" t="s">
        <v>79</v>
      </c>
      <c r="I4" s="44">
        <f>Tabla47[[#This Row],[Emisiones (tCO₂e)]]/Tabla47[[#This Row],[Valor económico (UYU)]]</f>
        <v>5.3601211115209641E-4</v>
      </c>
      <c r="J4" s="43">
        <f>Tabla47[[#This Row],[Proxy (tCO2/UYU)]]*1000</f>
        <v>0.53601211115209646</v>
      </c>
      <c r="K4" s="43">
        <f>Tabla47[[#This Row],[Emisiones (tCO₂e)]]/Tabla47[[#This Row],[Valor económico ( USD)]]</f>
        <v>1.5458589285626458E-2</v>
      </c>
      <c r="L4" s="43">
        <f>Tabla47[[#This Row],[Emisiones (tCO₂e)]]/Tabla47[[#This Row],[Valor económico ( USD)]]*1000</f>
        <v>15.458589285626458</v>
      </c>
      <c r="M4" s="386" t="s">
        <v>80</v>
      </c>
      <c r="N4" s="47" t="s">
        <v>81</v>
      </c>
      <c r="O4" s="50"/>
    </row>
    <row r="5" spans="1:15" s="18" customFormat="1" ht="161" customHeight="1">
      <c r="A5" s="49"/>
      <c r="B5" s="385" t="s">
        <v>82</v>
      </c>
      <c r="C5" s="32" t="s">
        <v>83</v>
      </c>
      <c r="D5" s="42">
        <v>2064585</v>
      </c>
      <c r="E5" s="43" t="s">
        <v>78</v>
      </c>
      <c r="F5" s="43">
        <v>51400000000</v>
      </c>
      <c r="G5" s="42">
        <f>Tabla47[[#This Row],[Valor económico (UYU)]]/28.84</f>
        <v>1782246879.3342581</v>
      </c>
      <c r="H5" s="46" t="s">
        <v>79</v>
      </c>
      <c r="I5" s="44">
        <f>Tabla47[[#This Row],[Emisiones (tCO₂e)]]/Tabla47[[#This Row],[Valor económico (UYU)]]</f>
        <v>4.0167023346303505E-5</v>
      </c>
      <c r="J5" s="43">
        <f>Tabla47[[#This Row],[Proxy (tCO2/UYU)]]*1000</f>
        <v>4.0167023346303503E-2</v>
      </c>
      <c r="K5" s="43">
        <f>Tabla47[[#This Row],[Emisiones (tCO₂e)]]/Tabla47[[#This Row],[Valor económico ( USD)]]</f>
        <v>1.1584169533073929E-3</v>
      </c>
      <c r="L5" s="43">
        <f>Tabla47[[#This Row],[Emisiones (tCO₂e)]]/Tabla47[[#This Row],[Valor económico ( USD)]]*1000</f>
        <v>1.1584169533073929</v>
      </c>
      <c r="M5" s="33" t="s">
        <v>84</v>
      </c>
      <c r="N5" s="47" t="s">
        <v>81</v>
      </c>
      <c r="O5" s="50"/>
    </row>
    <row r="6" spans="1:15" s="18" customFormat="1" ht="161.5" customHeight="1">
      <c r="A6" s="49"/>
      <c r="B6" s="385" t="s">
        <v>85</v>
      </c>
      <c r="C6" s="32" t="s">
        <v>86</v>
      </c>
      <c r="D6" s="45">
        <v>801982</v>
      </c>
      <c r="E6" s="43" t="s">
        <v>78</v>
      </c>
      <c r="F6" s="45">
        <v>36578000000</v>
      </c>
      <c r="G6" s="43">
        <f>Tabla47[[#This Row],[Valor económico (UYU)]]/28.84</f>
        <v>1268307905.6865466</v>
      </c>
      <c r="H6" s="46" t="s">
        <v>79</v>
      </c>
      <c r="I6" s="44">
        <f>Tabla47[[#This Row],[Emisiones (tCO₂e)]]/Tabla47[[#This Row],[Valor económico (UYU)]]</f>
        <v>2.1925255618131118E-5</v>
      </c>
      <c r="J6" s="43">
        <f>Tabla47[[#This Row],[Proxy (tCO2/UYU)]]*1000</f>
        <v>2.1925255618131117E-2</v>
      </c>
      <c r="K6" s="43">
        <f>Tabla47[[#This Row],[Emisiones (tCO₂e)]]/Tabla47[[#This Row],[Valor económico ( USD)]]</f>
        <v>6.3232437202690134E-4</v>
      </c>
      <c r="L6" s="43">
        <f>Tabla47[[#This Row],[Emisiones (tCO₂e)]]/Tabla47[[#This Row],[Valor económico ( USD)]]*1000</f>
        <v>0.63232437202690128</v>
      </c>
      <c r="M6" s="47" t="s">
        <v>87</v>
      </c>
      <c r="N6" s="47" t="s">
        <v>81</v>
      </c>
      <c r="O6" s="50"/>
    </row>
    <row r="7" spans="1:15" s="18" customFormat="1" ht="96">
      <c r="A7" s="49"/>
      <c r="B7" s="385" t="s">
        <v>88</v>
      </c>
      <c r="C7" s="32" t="s">
        <v>89</v>
      </c>
      <c r="D7" s="42">
        <v>3655900</v>
      </c>
      <c r="E7" s="43" t="s">
        <v>78</v>
      </c>
      <c r="F7" s="45">
        <v>88200000000</v>
      </c>
      <c r="G7" s="43">
        <f>Tabla47[[#This Row],[Valor económico (UYU)]]/28.84</f>
        <v>3058252427.1844659</v>
      </c>
      <c r="H7" s="46" t="s">
        <v>79</v>
      </c>
      <c r="I7" s="44">
        <f>Tabla47[[#This Row],[Emisiones (tCO₂e)]]/Tabla47[[#This Row],[Valor económico (UYU)]]</f>
        <v>4.1450113378684809E-5</v>
      </c>
      <c r="J7" s="43">
        <f>Tabla47[[#This Row],[Proxy (tCO2/UYU)]]*1000</f>
        <v>4.1450113378684809E-2</v>
      </c>
      <c r="K7" s="43">
        <f>Tabla47[[#This Row],[Emisiones (tCO₂e)]]/Tabla47[[#This Row],[Valor económico ( USD)]]</f>
        <v>1.1954212698412699E-3</v>
      </c>
      <c r="L7" s="43">
        <f>Tabla47[[#This Row],[Emisiones (tCO₂e)]]/Tabla47[[#This Row],[Valor económico ( USD)]]*1000</f>
        <v>1.1954212698412698</v>
      </c>
      <c r="M7" s="33" t="s">
        <v>90</v>
      </c>
      <c r="N7" s="47" t="s">
        <v>81</v>
      </c>
      <c r="O7" s="50"/>
    </row>
    <row r="8" spans="1:15" s="18" customFormat="1" ht="150" customHeight="1">
      <c r="A8" s="49"/>
      <c r="B8" s="385" t="s">
        <v>91</v>
      </c>
      <c r="C8" s="387" t="s">
        <v>92</v>
      </c>
      <c r="D8" s="48"/>
      <c r="E8" s="43" t="s">
        <v>78</v>
      </c>
      <c r="F8" s="48"/>
      <c r="G8" s="43"/>
      <c r="H8" s="46" t="s">
        <v>79</v>
      </c>
      <c r="I8" s="44" t="e">
        <f>Tabla47[[#This Row],[Emisiones (tCO₂e)]]/Tabla47[[#This Row],[Valor económico (UYU)]]</f>
        <v>#DIV/0!</v>
      </c>
      <c r="J8" s="43" t="e">
        <f>Tabla47[[#This Row],[Proxy (tCO2/UYU)]]*1000</f>
        <v>#DIV/0!</v>
      </c>
      <c r="K8" s="43" t="e">
        <f>Tabla47[[#This Row],[Emisiones (tCO₂e)]]/Tabla47[[#This Row],[Valor económico ( USD)]]</f>
        <v>#DIV/0!</v>
      </c>
      <c r="L8" s="43" t="e">
        <f>Tabla47[[#This Row],[Emisiones (tCO₂e)]]/Tabla47[[#This Row],[Valor económico ( USD)]]*1000</f>
        <v>#DIV/0!</v>
      </c>
      <c r="M8" s="47" t="s">
        <v>93</v>
      </c>
      <c r="N8" s="47" t="s">
        <v>81</v>
      </c>
      <c r="O8" s="50"/>
    </row>
    <row r="9" spans="1:15" s="18" customFormat="1" ht="68" customHeight="1">
      <c r="A9" s="49"/>
      <c r="B9" s="385" t="s">
        <v>94</v>
      </c>
      <c r="C9" s="387" t="s">
        <v>95</v>
      </c>
      <c r="D9" s="48"/>
      <c r="E9" s="43" t="s">
        <v>78</v>
      </c>
      <c r="F9" s="48"/>
      <c r="G9" s="43"/>
      <c r="H9" s="46" t="s">
        <v>79</v>
      </c>
      <c r="I9" s="44" t="e">
        <f>Tabla47[[#This Row],[Emisiones (tCO₂e)]]/Tabla47[[#This Row],[Valor económico (UYU)]]</f>
        <v>#DIV/0!</v>
      </c>
      <c r="J9" s="43" t="e">
        <f>Tabla47[[#This Row],[Proxy (tCO2/UYU)]]*1000</f>
        <v>#DIV/0!</v>
      </c>
      <c r="K9" s="43" t="e">
        <f>Tabla47[[#This Row],[Emisiones (tCO₂e)]]/Tabla47[[#This Row],[Valor económico ( USD)]]</f>
        <v>#DIV/0!</v>
      </c>
      <c r="L9" s="43" t="e">
        <f>Tabla47[[#This Row],[Emisiones (tCO₂e)]]/Tabla47[[#This Row],[Valor económico ( USD)]]*1000</f>
        <v>#DIV/0!</v>
      </c>
      <c r="M9" s="47" t="s">
        <v>96</v>
      </c>
      <c r="N9" s="47" t="s">
        <v>81</v>
      </c>
      <c r="O9" s="50"/>
    </row>
    <row r="10" spans="1:15" ht="33" customHeight="1">
      <c r="B10" s="7"/>
      <c r="C10" s="52"/>
      <c r="D10" s="52"/>
      <c r="E10" s="52"/>
      <c r="F10" s="52"/>
      <c r="G10" s="52"/>
      <c r="H10" s="52"/>
      <c r="I10" s="7"/>
      <c r="J10" s="52"/>
      <c r="K10" s="52"/>
      <c r="L10" s="52"/>
      <c r="M10" s="52"/>
      <c r="N10" s="52"/>
    </row>
    <row r="22" spans="3:4" ht="15" customHeight="1">
      <c r="C22" s="22"/>
    </row>
    <row r="24" spans="3:4" ht="15" customHeight="1">
      <c r="C24" s="22"/>
      <c r="D24" s="22"/>
    </row>
    <row r="26" spans="3:4" ht="15" customHeight="1">
      <c r="C26" s="22"/>
    </row>
    <row r="28" spans="3:4" ht="15" customHeight="1">
      <c r="C28" s="22"/>
    </row>
    <row r="32" spans="3:4" ht="15" customHeight="1">
      <c r="C32" s="22"/>
    </row>
  </sheetData>
  <mergeCells count="1">
    <mergeCell ref="B2:N2"/>
  </mergeCells>
  <phoneticPr fontId="35" type="noConversion"/>
  <pageMargins left="0.7" right="0.7" top="0.75" bottom="0.75" header="0.3" footer="0.3"/>
  <pageSetup orientation="portrait" horizontalDpi="360" verticalDpi="360"/>
  <drawing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C612D-67B2-4654-B53D-130E8E4FD67C}">
  <sheetPr>
    <tabColor theme="4" tint="0.79998168889431442"/>
  </sheetPr>
  <dimension ref="A2:O32"/>
  <sheetViews>
    <sheetView topLeftCell="I1" zoomScale="70" zoomScaleNormal="70" workbookViewId="0">
      <pane ySplit="3" topLeftCell="A8" activePane="bottomLeft" state="frozen"/>
      <selection pane="bottomLeft" activeCell="M7" sqref="M7"/>
    </sheetView>
  </sheetViews>
  <sheetFormatPr baseColWidth="10" defaultColWidth="11.5" defaultRowHeight="15" customHeight="1"/>
  <cols>
    <col min="1" max="1" width="3.5" style="1" customWidth="1"/>
    <col min="2" max="2" width="8.83203125" style="1" customWidth="1"/>
    <col min="3" max="3" width="20" style="19" customWidth="1"/>
    <col min="4" max="4" width="13.6640625" style="19" customWidth="1"/>
    <col min="5" max="5" width="11.1640625" style="19" customWidth="1"/>
    <col min="6" max="6" width="21.1640625" style="19" customWidth="1"/>
    <col min="7" max="7" width="15" style="19" customWidth="1"/>
    <col min="8" max="8" width="16" style="19" customWidth="1"/>
    <col min="9" max="9" width="14.5" style="1" customWidth="1"/>
    <col min="10" max="10" width="16.1640625" style="19" customWidth="1"/>
    <col min="11" max="11" width="15" style="19" customWidth="1"/>
    <col min="12" max="12" width="14" style="19" customWidth="1"/>
    <col min="13" max="13" width="79.5" style="19" customWidth="1"/>
    <col min="14" max="14" width="57.6640625" style="19" customWidth="1"/>
    <col min="15" max="16384" width="11.5" style="1"/>
  </cols>
  <sheetData>
    <row r="2" spans="1:15" ht="15" customHeight="1">
      <c r="B2" s="398" t="s">
        <v>62</v>
      </c>
      <c r="C2" s="399"/>
      <c r="D2" s="399"/>
      <c r="E2" s="399"/>
      <c r="F2" s="399"/>
      <c r="G2" s="399"/>
      <c r="H2" s="399"/>
      <c r="I2" s="399"/>
      <c r="J2" s="399"/>
      <c r="K2" s="399"/>
      <c r="L2" s="399"/>
      <c r="M2" s="399"/>
      <c r="N2" s="400"/>
    </row>
    <row r="3" spans="1:15" s="20" customFormat="1" ht="40.5" customHeight="1">
      <c r="B3" s="384" t="s">
        <v>63</v>
      </c>
      <c r="C3" s="95" t="s">
        <v>64</v>
      </c>
      <c r="D3" s="95" t="s">
        <v>65</v>
      </c>
      <c r="E3" s="95" t="s">
        <v>66</v>
      </c>
      <c r="F3" s="51" t="s">
        <v>67</v>
      </c>
      <c r="G3" s="51" t="s">
        <v>68</v>
      </c>
      <c r="H3" s="51" t="s">
        <v>69</v>
      </c>
      <c r="I3" s="95" t="s">
        <v>70</v>
      </c>
      <c r="J3" s="95" t="s">
        <v>71</v>
      </c>
      <c r="K3" s="95" t="s">
        <v>72</v>
      </c>
      <c r="L3" s="95" t="s">
        <v>73</v>
      </c>
      <c r="M3" s="95" t="s">
        <v>74</v>
      </c>
      <c r="N3" s="95" t="s">
        <v>75</v>
      </c>
    </row>
    <row r="4" spans="1:15" s="18" customFormat="1" ht="169.5" customHeight="1">
      <c r="A4" s="49"/>
      <c r="B4" s="385" t="s">
        <v>76</v>
      </c>
      <c r="C4" s="32" t="s">
        <v>77</v>
      </c>
      <c r="D4" s="42">
        <v>26049866.899999999</v>
      </c>
      <c r="E4" s="43" t="s">
        <v>97</v>
      </c>
      <c r="F4" s="43">
        <v>46665000000</v>
      </c>
      <c r="G4" s="42">
        <f>Tabla479[[#This Row],[Valor económico (UYU)]]/28.84</f>
        <v>1618065187.2399445</v>
      </c>
      <c r="H4" s="46" t="s">
        <v>98</v>
      </c>
      <c r="I4" s="44">
        <f>Tabla479[[#This Row],[Emisiones (tCO₂e)]]/Tabla479[[#This Row],[Valor económico (UYU)]]</f>
        <v>5.5823137040608586E-4</v>
      </c>
      <c r="J4" s="43">
        <f>Tabla479[[#This Row],[Proxy (tCO2/UYU)]]*1000</f>
        <v>0.55823137040608584</v>
      </c>
      <c r="K4" s="43">
        <f>Tabla479[[#This Row],[Emisiones (tCO₂e)]]/Tabla479[[#This Row],[Valor económico ( USD)]]</f>
        <v>1.6099392722511516E-2</v>
      </c>
      <c r="L4" s="43">
        <f>Tabla479[[#This Row],[Emisiones (tCO₂e)]]/Tabla479[[#This Row],[Valor económico ( USD)]]*1000</f>
        <v>16.099392722511517</v>
      </c>
      <c r="M4" s="33" t="s">
        <v>99</v>
      </c>
      <c r="N4" s="33" t="s">
        <v>100</v>
      </c>
      <c r="O4" s="50"/>
    </row>
    <row r="5" spans="1:15" s="18" customFormat="1" ht="141" customHeight="1">
      <c r="A5" s="49"/>
      <c r="B5" s="385" t="s">
        <v>82</v>
      </c>
      <c r="C5" s="32" t="s">
        <v>83</v>
      </c>
      <c r="D5" s="42">
        <v>2075925</v>
      </c>
      <c r="E5" s="43" t="s">
        <v>97</v>
      </c>
      <c r="F5" s="43">
        <v>40403000000</v>
      </c>
      <c r="G5" s="42">
        <f>Tabla479[[#This Row],[Valor económico (UYU)]]/28.84</f>
        <v>1400936199.7226076</v>
      </c>
      <c r="H5" s="46" t="s">
        <v>98</v>
      </c>
      <c r="I5" s="44">
        <f>Tabla479[[#This Row],[Emisiones (tCO₂e)]]/Tabla479[[#This Row],[Valor económico (UYU)]]</f>
        <v>5.1380466797020023E-5</v>
      </c>
      <c r="J5" s="43">
        <f>Tabla479[[#This Row],[Proxy (tCO2/UYU)]]*1000</f>
        <v>5.1380466797020026E-2</v>
      </c>
      <c r="K5" s="43">
        <f>Tabla479[[#This Row],[Emisiones (tCO₂e)]]/Tabla479[[#This Row],[Valor económico ( USD)]]</f>
        <v>1.4818126624260573E-3</v>
      </c>
      <c r="L5" s="43">
        <f>Tabla479[[#This Row],[Emisiones (tCO₂e)]]/Tabla479[[#This Row],[Valor económico ( USD)]]*1000</f>
        <v>1.4818126624260572</v>
      </c>
      <c r="M5" s="33" t="s">
        <v>101</v>
      </c>
      <c r="N5" s="33" t="s">
        <v>102</v>
      </c>
      <c r="O5" s="50"/>
    </row>
    <row r="6" spans="1:15" s="18" customFormat="1" ht="177.5" customHeight="1">
      <c r="A6" s="49"/>
      <c r="B6" s="385" t="s">
        <v>85</v>
      </c>
      <c r="C6" s="32" t="s">
        <v>86</v>
      </c>
      <c r="D6" s="45">
        <v>189901</v>
      </c>
      <c r="E6" s="43" t="s">
        <v>97</v>
      </c>
      <c r="F6" s="45">
        <v>37944000000</v>
      </c>
      <c r="G6" s="43">
        <f>Tabla479[[#This Row],[Valor económico (UYU)]]/28.84</f>
        <v>1315672676.8377254</v>
      </c>
      <c r="H6" s="46" t="s">
        <v>98</v>
      </c>
      <c r="I6" s="44">
        <f>Tabla479[[#This Row],[Emisiones (tCO₂e)]]/Tabla479[[#This Row],[Valor económico (UYU)]]</f>
        <v>5.0047701876449507E-6</v>
      </c>
      <c r="J6" s="43">
        <f>Tabla479[[#This Row],[Proxy (tCO2/UYU)]]*1000</f>
        <v>5.0047701876449503E-3</v>
      </c>
      <c r="K6" s="43">
        <f>Tabla479[[#This Row],[Emisiones (tCO₂e)]]/Tabla479[[#This Row],[Valor económico ( USD)]]</f>
        <v>1.4433757221168038E-4</v>
      </c>
      <c r="L6" s="43">
        <f>Tabla479[[#This Row],[Emisiones (tCO₂e)]]/Tabla479[[#This Row],[Valor económico ( USD)]]*1000</f>
        <v>0.14433757221168039</v>
      </c>
      <c r="M6" s="40" t="s">
        <v>103</v>
      </c>
      <c r="N6" s="40" t="s">
        <v>81</v>
      </c>
      <c r="O6" s="50"/>
    </row>
    <row r="7" spans="1:15" s="18" customFormat="1" ht="90">
      <c r="A7" s="49"/>
      <c r="B7" s="385" t="s">
        <v>88</v>
      </c>
      <c r="C7" s="32" t="s">
        <v>89</v>
      </c>
      <c r="D7" s="42">
        <v>3796100</v>
      </c>
      <c r="E7" s="43" t="s">
        <v>97</v>
      </c>
      <c r="F7" s="45">
        <v>90915000000</v>
      </c>
      <c r="G7" s="43">
        <f>Tabla479[[#This Row],[Valor económico (UYU)]]/28.84</f>
        <v>3152392510.4022193</v>
      </c>
      <c r="H7" s="46" t="s">
        <v>98</v>
      </c>
      <c r="I7" s="44">
        <f>Tabla479[[#This Row],[Emisiones (tCO₂e)]]/Tabla479[[#This Row],[Valor económico (UYU)]]</f>
        <v>4.175438596491228E-5</v>
      </c>
      <c r="J7" s="43">
        <f>Tabla479[[#This Row],[Proxy (tCO2/UYU)]]*1000</f>
        <v>4.175438596491228E-2</v>
      </c>
      <c r="K7" s="43">
        <f>Tabla479[[#This Row],[Emisiones (tCO₂e)]]/Tabla479[[#This Row],[Valor económico ( USD)]]</f>
        <v>1.2041964912280702E-3</v>
      </c>
      <c r="L7" s="43">
        <f>Tabla479[[#This Row],[Emisiones (tCO₂e)]]/Tabla479[[#This Row],[Valor económico ( USD)]]*1000</f>
        <v>1.2041964912280703</v>
      </c>
      <c r="M7" s="33" t="s">
        <v>104</v>
      </c>
      <c r="N7" s="40" t="s">
        <v>81</v>
      </c>
      <c r="O7" s="50"/>
    </row>
    <row r="8" spans="1:15" s="18" customFormat="1" ht="200" customHeight="1">
      <c r="A8" s="49"/>
      <c r="B8" s="385" t="s">
        <v>91</v>
      </c>
      <c r="C8" s="387" t="s">
        <v>92</v>
      </c>
      <c r="D8" s="48"/>
      <c r="E8" s="43" t="s">
        <v>97</v>
      </c>
      <c r="F8" s="48"/>
      <c r="G8" s="43">
        <f>Tabla479[[#This Row],[Valor económico (UYU)]]/28.84</f>
        <v>0</v>
      </c>
      <c r="H8" s="46" t="s">
        <v>98</v>
      </c>
      <c r="I8" s="44" t="e">
        <f>Tabla479[[#This Row],[Emisiones (tCO₂e)]]/Tabla479[[#This Row],[Valor económico (UYU)]]</f>
        <v>#DIV/0!</v>
      </c>
      <c r="J8" s="43" t="e">
        <f>Tabla479[[#This Row],[Proxy (tCO2/UYU)]]*1000</f>
        <v>#DIV/0!</v>
      </c>
      <c r="K8" s="43" t="e">
        <f>Tabla479[[#This Row],[Emisiones (tCO₂e)]]/Tabla479[[#This Row],[Valor económico ( USD)]]</f>
        <v>#DIV/0!</v>
      </c>
      <c r="L8" s="43" t="e">
        <f>Tabla479[[#This Row],[Emisiones (tCO₂e)]]/Tabla479[[#This Row],[Valor económico ( USD)]]*1000</f>
        <v>#DIV/0!</v>
      </c>
      <c r="M8" s="40" t="s">
        <v>105</v>
      </c>
      <c r="N8" s="40" t="s">
        <v>81</v>
      </c>
      <c r="O8" s="50"/>
    </row>
    <row r="9" spans="1:15" s="18" customFormat="1" ht="68" customHeight="1">
      <c r="A9" s="49"/>
      <c r="B9" s="385" t="s">
        <v>94</v>
      </c>
      <c r="C9" s="387" t="s">
        <v>95</v>
      </c>
      <c r="D9" s="48"/>
      <c r="E9" s="43" t="s">
        <v>97</v>
      </c>
      <c r="F9" s="48"/>
      <c r="G9" s="43">
        <f>Tabla479[[#This Row],[Valor económico (UYU)]]/28.84</f>
        <v>0</v>
      </c>
      <c r="H9" s="46" t="s">
        <v>98</v>
      </c>
      <c r="I9" s="44" t="e">
        <f>Tabla479[[#This Row],[Emisiones (tCO₂e)]]/Tabla479[[#This Row],[Valor económico (UYU)]]</f>
        <v>#DIV/0!</v>
      </c>
      <c r="J9" s="43" t="e">
        <f>Tabla479[[#This Row],[Proxy (tCO2/UYU)]]*1000</f>
        <v>#DIV/0!</v>
      </c>
      <c r="K9" s="43" t="e">
        <f>Tabla479[[#This Row],[Emisiones (tCO₂e)]]/Tabla479[[#This Row],[Valor económico ( USD)]]</f>
        <v>#DIV/0!</v>
      </c>
      <c r="L9" s="43" t="e">
        <f>Tabla479[[#This Row],[Emisiones (tCO₂e)]]/Tabla479[[#This Row],[Valor económico ( USD)]]*1000</f>
        <v>#DIV/0!</v>
      </c>
      <c r="M9" s="40" t="s">
        <v>106</v>
      </c>
      <c r="N9" s="40" t="s">
        <v>81</v>
      </c>
      <c r="O9" s="50"/>
    </row>
    <row r="10" spans="1:15" ht="33" customHeight="1">
      <c r="B10" s="7"/>
      <c r="C10" s="52"/>
      <c r="D10" s="52"/>
      <c r="E10" s="52"/>
      <c r="F10" s="52"/>
      <c r="G10" s="52"/>
      <c r="H10" s="52"/>
      <c r="I10" s="7"/>
      <c r="J10" s="52"/>
      <c r="K10" s="52"/>
      <c r="L10" s="52"/>
      <c r="M10" s="52"/>
      <c r="N10" s="52"/>
    </row>
    <row r="22" spans="3:4" ht="15" customHeight="1">
      <c r="C22" s="22"/>
    </row>
    <row r="24" spans="3:4" ht="15" customHeight="1">
      <c r="C24" s="22"/>
      <c r="D24" s="22"/>
    </row>
    <row r="26" spans="3:4" ht="15" customHeight="1">
      <c r="C26" s="22"/>
    </row>
    <row r="28" spans="3:4" ht="15" customHeight="1">
      <c r="C28" s="22"/>
    </row>
    <row r="32" spans="3:4" ht="15" customHeight="1">
      <c r="C32" s="22"/>
    </row>
  </sheetData>
  <mergeCells count="1">
    <mergeCell ref="B2:N2"/>
  </mergeCells>
  <phoneticPr fontId="35" type="noConversion"/>
  <pageMargins left="0.7" right="0.7" top="0.75" bottom="0.75" header="0.3" footer="0.3"/>
  <pageSetup orientation="portrait" horizontalDpi="360" verticalDpi="360"/>
  <drawing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4ABC-CCD0-4BDE-9FFA-E539E1F6D9AD}">
  <sheetPr>
    <tabColor rgb="FF1F669D"/>
  </sheetPr>
  <dimension ref="A2:O32"/>
  <sheetViews>
    <sheetView zoomScale="70" zoomScaleNormal="70" workbookViewId="0">
      <pane ySplit="3" topLeftCell="A4" activePane="bottomLeft" state="frozen"/>
      <selection pane="bottomLeft" activeCell="M26" sqref="M26"/>
    </sheetView>
  </sheetViews>
  <sheetFormatPr baseColWidth="10" defaultColWidth="11.5" defaultRowHeight="15" customHeight="1"/>
  <cols>
    <col min="1" max="1" width="3.5" style="1" customWidth="1"/>
    <col min="2" max="2" width="8.83203125" style="1" customWidth="1"/>
    <col min="3" max="3" width="20" style="19" customWidth="1"/>
    <col min="4" max="4" width="13.6640625" style="19" customWidth="1"/>
    <col min="5" max="5" width="11.1640625" style="19" customWidth="1"/>
    <col min="6" max="6" width="21.1640625" style="19" customWidth="1"/>
    <col min="7" max="7" width="15" style="19" customWidth="1"/>
    <col min="8" max="8" width="16" style="19" customWidth="1"/>
    <col min="9" max="9" width="14.5" style="1" customWidth="1"/>
    <col min="10" max="10" width="16.1640625" style="19" customWidth="1"/>
    <col min="11" max="11" width="15" style="19" customWidth="1"/>
    <col min="12" max="12" width="14" style="19" customWidth="1"/>
    <col min="13" max="13" width="81.5" style="19" customWidth="1"/>
    <col min="14" max="14" width="57.6640625" style="19" customWidth="1"/>
    <col min="15" max="16384" width="11.5" style="1"/>
  </cols>
  <sheetData>
    <row r="2" spans="1:15" ht="15" customHeight="1">
      <c r="B2" s="398" t="s">
        <v>62</v>
      </c>
      <c r="C2" s="399"/>
      <c r="D2" s="399"/>
      <c r="E2" s="399"/>
      <c r="F2" s="399"/>
      <c r="G2" s="399"/>
      <c r="H2" s="399"/>
      <c r="I2" s="399"/>
      <c r="J2" s="399"/>
      <c r="K2" s="399"/>
      <c r="L2" s="399"/>
      <c r="M2" s="399"/>
      <c r="N2" s="400"/>
    </row>
    <row r="3" spans="1:15" s="20" customFormat="1" ht="40.5" customHeight="1">
      <c r="B3" s="384" t="s">
        <v>63</v>
      </c>
      <c r="C3" s="95" t="s">
        <v>64</v>
      </c>
      <c r="D3" s="95" t="s">
        <v>65</v>
      </c>
      <c r="E3" s="95" t="s">
        <v>66</v>
      </c>
      <c r="F3" s="51" t="s">
        <v>67</v>
      </c>
      <c r="G3" s="51" t="s">
        <v>68</v>
      </c>
      <c r="H3" s="51" t="s">
        <v>69</v>
      </c>
      <c r="I3" s="95" t="s">
        <v>70</v>
      </c>
      <c r="J3" s="95" t="s">
        <v>71</v>
      </c>
      <c r="K3" s="95" t="s">
        <v>72</v>
      </c>
      <c r="L3" s="95" t="s">
        <v>73</v>
      </c>
      <c r="M3" s="95" t="s">
        <v>74</v>
      </c>
      <c r="N3" s="95" t="s">
        <v>75</v>
      </c>
    </row>
    <row r="4" spans="1:15" s="18" customFormat="1" ht="148.5" customHeight="1">
      <c r="A4" s="49"/>
      <c r="B4" s="385" t="s">
        <v>76</v>
      </c>
      <c r="C4" s="32" t="s">
        <v>77</v>
      </c>
      <c r="D4" s="42">
        <v>19403023</v>
      </c>
      <c r="E4" s="43" t="s">
        <v>107</v>
      </c>
      <c r="F4" s="43"/>
      <c r="G4" s="42"/>
      <c r="H4" s="46" t="s">
        <v>108</v>
      </c>
      <c r="I4" s="44" t="e">
        <f>Tabla4[[#This Row],[Emisiones (tCO₂e)]]/Tabla4[[#This Row],[Valor económico (UYU)]]</f>
        <v>#DIV/0!</v>
      </c>
      <c r="J4" s="43" t="e">
        <f>Tabla4[[#This Row],[Proxy (tCO2/UYU)]]*1000</f>
        <v>#DIV/0!</v>
      </c>
      <c r="K4" s="43" t="e">
        <f>Tabla4[[#This Row],[Emisiones (tCO₂e)]]/Tabla4[[#This Row],[Valor económico ( USD)]]</f>
        <v>#DIV/0!</v>
      </c>
      <c r="L4" s="43" t="e">
        <f>Tabla4[[#This Row],[Emisiones (tCO₂e)]]/Tabla4[[#This Row],[Valor económico ( USD)]]*1000</f>
        <v>#DIV/0!</v>
      </c>
      <c r="M4" s="390" t="s">
        <v>109</v>
      </c>
      <c r="N4" s="33" t="s">
        <v>100</v>
      </c>
      <c r="O4" s="50"/>
    </row>
    <row r="5" spans="1:15" s="18" customFormat="1" ht="131.5" customHeight="1">
      <c r="A5" s="49"/>
      <c r="B5" s="385" t="s">
        <v>82</v>
      </c>
      <c r="C5" s="32" t="s">
        <v>83</v>
      </c>
      <c r="D5" s="42">
        <v>7958053.4500000002</v>
      </c>
      <c r="E5" s="43" t="s">
        <v>107</v>
      </c>
      <c r="F5" s="43"/>
      <c r="G5" s="42"/>
      <c r="H5" s="46" t="s">
        <v>108</v>
      </c>
      <c r="I5" s="44" t="e">
        <f>Tabla4[[#This Row],[Emisiones (tCO₂e)]]/Tabla4[[#This Row],[Valor económico (UYU)]]</f>
        <v>#DIV/0!</v>
      </c>
      <c r="J5" s="43" t="e">
        <f>Tabla4[[#This Row],[Proxy (tCO2/UYU)]]*1000</f>
        <v>#DIV/0!</v>
      </c>
      <c r="K5" s="43" t="e">
        <f>Tabla4[[#This Row],[Emisiones (tCO₂e)]]/Tabla4[[#This Row],[Valor económico ( USD)]]</f>
        <v>#DIV/0!</v>
      </c>
      <c r="L5" s="43" t="e">
        <f>Tabla4[[#This Row],[Emisiones (tCO₂e)]]/Tabla4[[#This Row],[Valor económico ( USD)]]*1000</f>
        <v>#DIV/0!</v>
      </c>
      <c r="M5" s="390" t="s">
        <v>110</v>
      </c>
      <c r="N5" s="33" t="s">
        <v>102</v>
      </c>
      <c r="O5" s="50"/>
    </row>
    <row r="6" spans="1:15" s="18" customFormat="1" ht="167" customHeight="1">
      <c r="A6" s="49"/>
      <c r="B6" s="385" t="s">
        <v>85</v>
      </c>
      <c r="C6" s="32" t="s">
        <v>86</v>
      </c>
      <c r="D6" s="45">
        <v>801982</v>
      </c>
      <c r="E6" s="43" t="s">
        <v>107</v>
      </c>
      <c r="F6" s="45"/>
      <c r="G6" s="43"/>
      <c r="H6" s="46" t="s">
        <v>108</v>
      </c>
      <c r="I6" s="44" t="e">
        <f>Tabla4[[#This Row],[Emisiones (tCO₂e)]]/Tabla4[[#This Row],[Valor económico (UYU)]]</f>
        <v>#DIV/0!</v>
      </c>
      <c r="J6" s="43" t="e">
        <f>Tabla4[[#This Row],[Proxy (tCO2/UYU)]]*1000</f>
        <v>#DIV/0!</v>
      </c>
      <c r="K6" s="43" t="e">
        <f>Tabla4[[#This Row],[Emisiones (tCO₂e)]]/Tabla4[[#This Row],[Valor económico ( USD)]]</f>
        <v>#DIV/0!</v>
      </c>
      <c r="L6" s="43" t="e">
        <f>Tabla4[[#This Row],[Emisiones (tCO₂e)]]/Tabla4[[#This Row],[Valor económico ( USD)]]*1000</f>
        <v>#DIV/0!</v>
      </c>
      <c r="M6" s="40" t="s">
        <v>111</v>
      </c>
      <c r="N6" s="47" t="s">
        <v>81</v>
      </c>
      <c r="O6" s="50"/>
    </row>
    <row r="7" spans="1:15" s="18" customFormat="1" ht="96">
      <c r="A7" s="49"/>
      <c r="B7" s="385" t="s">
        <v>88</v>
      </c>
      <c r="C7" s="32" t="s">
        <v>89</v>
      </c>
      <c r="D7" s="42">
        <v>4258360</v>
      </c>
      <c r="E7" s="43" t="s">
        <v>107</v>
      </c>
      <c r="F7" s="45"/>
      <c r="G7" s="43"/>
      <c r="H7" s="46" t="s">
        <v>108</v>
      </c>
      <c r="I7" s="44" t="e">
        <f>Tabla4[[#This Row],[Emisiones (tCO₂e)]]/Tabla4[[#This Row],[Valor económico (UYU)]]</f>
        <v>#DIV/0!</v>
      </c>
      <c r="J7" s="43" t="e">
        <f>Tabla4[[#This Row],[Proxy (tCO2/UYU)]]*1000</f>
        <v>#DIV/0!</v>
      </c>
      <c r="K7" s="43" t="e">
        <f>Tabla4[[#This Row],[Emisiones (tCO₂e)]]/Tabla4[[#This Row],[Valor económico ( USD)]]</f>
        <v>#DIV/0!</v>
      </c>
      <c r="L7" s="43" t="e">
        <f>Tabla4[[#This Row],[Emisiones (tCO₂e)]]/Tabla4[[#This Row],[Valor económico ( USD)]]*1000</f>
        <v>#DIV/0!</v>
      </c>
      <c r="M7" s="33" t="s">
        <v>112</v>
      </c>
      <c r="N7" s="47" t="s">
        <v>81</v>
      </c>
      <c r="O7" s="50"/>
    </row>
    <row r="8" spans="1:15" s="18" customFormat="1" ht="150" customHeight="1">
      <c r="A8" s="49"/>
      <c r="B8" s="385" t="s">
        <v>91</v>
      </c>
      <c r="C8" s="32" t="s">
        <v>92</v>
      </c>
      <c r="D8" s="48">
        <v>44265.55</v>
      </c>
      <c r="E8" s="43" t="s">
        <v>107</v>
      </c>
      <c r="F8" s="48"/>
      <c r="G8" s="43"/>
      <c r="H8" s="46" t="s">
        <v>108</v>
      </c>
      <c r="I8" s="44" t="e">
        <f>Tabla4[[#This Row],[Emisiones (tCO₂e)]]/Tabla4[[#This Row],[Valor económico (UYU)]]</f>
        <v>#DIV/0!</v>
      </c>
      <c r="J8" s="43" t="e">
        <f>Tabla4[[#This Row],[Proxy (tCO2/UYU)]]*1000</f>
        <v>#DIV/0!</v>
      </c>
      <c r="K8" s="43" t="e">
        <f>Tabla4[[#This Row],[Emisiones (tCO₂e)]]/Tabla4[[#This Row],[Valor económico ( USD)]]</f>
        <v>#DIV/0!</v>
      </c>
      <c r="L8" s="43" t="e">
        <f>Tabla4[[#This Row],[Emisiones (tCO₂e)]]/Tabla4[[#This Row],[Valor económico ( USD)]]*1000</f>
        <v>#DIV/0!</v>
      </c>
      <c r="M8" s="40" t="s">
        <v>113</v>
      </c>
      <c r="N8" s="47" t="s">
        <v>81</v>
      </c>
      <c r="O8" s="50"/>
    </row>
    <row r="9" spans="1:15" s="18" customFormat="1" ht="68" customHeight="1">
      <c r="A9" s="49"/>
      <c r="B9" s="385" t="s">
        <v>94</v>
      </c>
      <c r="C9" s="32" t="s">
        <v>95</v>
      </c>
      <c r="D9" s="48">
        <v>3175</v>
      </c>
      <c r="E9" s="43" t="s">
        <v>107</v>
      </c>
      <c r="F9" s="48"/>
      <c r="G9" s="43"/>
      <c r="H9" s="46" t="s">
        <v>108</v>
      </c>
      <c r="I9" s="44" t="e">
        <f>Tabla4[[#This Row],[Emisiones (tCO₂e)]]/Tabla4[[#This Row],[Valor económico (UYU)]]</f>
        <v>#DIV/0!</v>
      </c>
      <c r="J9" s="43" t="e">
        <f>Tabla4[[#This Row],[Proxy (tCO2/UYU)]]*1000</f>
        <v>#DIV/0!</v>
      </c>
      <c r="K9" s="43" t="e">
        <f>Tabla4[[#This Row],[Emisiones (tCO₂e)]]/Tabla4[[#This Row],[Valor económico ( USD)]]</f>
        <v>#DIV/0!</v>
      </c>
      <c r="L9" s="43" t="e">
        <f>Tabla4[[#This Row],[Emisiones (tCO₂e)]]/Tabla4[[#This Row],[Valor económico ( USD)]]*1000</f>
        <v>#DIV/0!</v>
      </c>
      <c r="M9" s="40" t="s">
        <v>114</v>
      </c>
      <c r="N9" s="47" t="s">
        <v>81</v>
      </c>
      <c r="O9" s="50"/>
    </row>
    <row r="10" spans="1:15" ht="33" customHeight="1">
      <c r="B10" s="7"/>
      <c r="C10" s="52"/>
      <c r="D10" s="52"/>
      <c r="E10" s="52"/>
      <c r="F10" s="52"/>
      <c r="G10" s="52"/>
      <c r="H10" s="52"/>
      <c r="I10" s="7"/>
      <c r="J10" s="52"/>
      <c r="K10" s="52"/>
      <c r="L10" s="52"/>
      <c r="M10" s="52"/>
      <c r="N10" s="52"/>
    </row>
    <row r="22" spans="3:4" ht="15" customHeight="1">
      <c r="C22" s="22"/>
    </row>
    <row r="24" spans="3:4" ht="15" customHeight="1">
      <c r="C24" s="22"/>
      <c r="D24" s="22"/>
    </row>
    <row r="26" spans="3:4" ht="15" customHeight="1">
      <c r="C26" s="22"/>
    </row>
    <row r="28" spans="3:4" ht="15" customHeight="1">
      <c r="C28" s="22"/>
    </row>
    <row r="32" spans="3:4" ht="15" customHeight="1">
      <c r="C32" s="22"/>
    </row>
  </sheetData>
  <mergeCells count="1">
    <mergeCell ref="B2:N2"/>
  </mergeCells>
  <phoneticPr fontId="35" type="noConversion"/>
  <pageMargins left="0.7" right="0.7" top="0.75" bottom="0.75" header="0.3" footer="0.3"/>
  <pageSetup orientation="portrait" horizontalDpi="360" verticalDpi="360"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56976-D0B7-4714-8179-0933331DDCAB}">
  <sheetPr>
    <tabColor rgb="FFF7AD19"/>
  </sheetPr>
  <dimension ref="B1:L56"/>
  <sheetViews>
    <sheetView zoomScale="62" workbookViewId="0">
      <selection activeCell="H3" sqref="H3"/>
    </sheetView>
  </sheetViews>
  <sheetFormatPr baseColWidth="10" defaultColWidth="8.6640625" defaultRowHeight="15"/>
  <cols>
    <col min="1" max="1" width="3.5" style="23" customWidth="1"/>
    <col min="2" max="2" width="18.6640625" style="28" customWidth="1"/>
    <col min="3" max="3" width="17.83203125" style="23" customWidth="1"/>
    <col min="4" max="4" width="20.33203125" style="23" customWidth="1"/>
    <col min="5" max="5" width="20.1640625" style="23" customWidth="1"/>
    <col min="6" max="6" width="25.83203125" style="23" customWidth="1"/>
    <col min="7" max="7" width="18.83203125" style="23" customWidth="1"/>
    <col min="8" max="8" width="19.1640625" style="23" customWidth="1"/>
    <col min="9" max="9" width="11.83203125" style="23" customWidth="1"/>
    <col min="10" max="10" width="14.5" style="23" customWidth="1"/>
    <col min="11" max="11" width="15.83203125" style="23" customWidth="1"/>
    <col min="12" max="12" width="18" style="23" customWidth="1"/>
    <col min="13" max="13" width="21.5" style="23" customWidth="1"/>
    <col min="14" max="14" width="20.6640625" style="23" customWidth="1"/>
    <col min="15" max="15" width="21" style="23" customWidth="1"/>
    <col min="16" max="16" width="23" style="23" customWidth="1"/>
    <col min="17" max="17" width="24.83203125" style="23" customWidth="1"/>
    <col min="18" max="18" width="47.6640625" style="23" customWidth="1"/>
    <col min="19" max="19" width="20.83203125" style="23" customWidth="1"/>
    <col min="20" max="16384" width="8.6640625" style="23"/>
  </cols>
  <sheetData>
    <row r="1" spans="2:6" ht="12" customHeight="1"/>
    <row r="2" spans="2:6" ht="15" customHeight="1">
      <c r="B2" s="402" t="s">
        <v>115</v>
      </c>
      <c r="C2" s="402"/>
      <c r="D2" s="402"/>
      <c r="E2" s="402"/>
      <c r="F2" s="402"/>
    </row>
    <row r="3" spans="2:6" ht="45">
      <c r="B3" s="92" t="s">
        <v>116</v>
      </c>
      <c r="C3" s="92" t="s">
        <v>117</v>
      </c>
      <c r="D3" s="92" t="s">
        <v>118</v>
      </c>
      <c r="E3" s="92" t="s">
        <v>119</v>
      </c>
      <c r="F3" s="92" t="s">
        <v>30</v>
      </c>
    </row>
    <row r="4" spans="2:6" s="31" customFormat="1" ht="60">
      <c r="B4" s="53" t="s">
        <v>120</v>
      </c>
      <c r="C4" s="53">
        <f>H24</f>
        <v>8.43E-2</v>
      </c>
      <c r="D4" s="54">
        <f>L24</f>
        <v>267.06666666666666</v>
      </c>
      <c r="E4" s="55">
        <v>5</v>
      </c>
      <c r="F4" s="53" t="s">
        <v>121</v>
      </c>
    </row>
    <row r="6" spans="2:6">
      <c r="B6" s="26"/>
    </row>
    <row r="8" spans="2:6">
      <c r="B8" s="26"/>
    </row>
    <row r="10" spans="2:6">
      <c r="B10" s="26"/>
    </row>
    <row r="16" spans="2:6" s="65" customFormat="1">
      <c r="B16" s="64"/>
    </row>
    <row r="17" spans="2:12" s="61" customFormat="1">
      <c r="B17" s="70" t="s">
        <v>122</v>
      </c>
      <c r="C17" s="63"/>
      <c r="D17" s="62"/>
      <c r="E17" s="62"/>
    </row>
    <row r="18" spans="2:12" s="66" customFormat="1">
      <c r="B18" s="67"/>
      <c r="C18" s="68"/>
      <c r="D18" s="69"/>
      <c r="E18" s="69"/>
    </row>
    <row r="19" spans="2:12" s="27" customFormat="1" ht="55.5" customHeight="1">
      <c r="B19" s="71" t="s">
        <v>123</v>
      </c>
      <c r="C19" s="72" t="s">
        <v>124</v>
      </c>
      <c r="D19" s="72" t="s">
        <v>125</v>
      </c>
      <c r="E19" s="72" t="s">
        <v>126</v>
      </c>
      <c r="F19" s="72" t="s">
        <v>127</v>
      </c>
      <c r="G19" s="72" t="s">
        <v>128</v>
      </c>
      <c r="H19" s="72" t="s">
        <v>129</v>
      </c>
      <c r="I19" s="72" t="s">
        <v>130</v>
      </c>
      <c r="J19" s="72" t="s">
        <v>131</v>
      </c>
      <c r="K19" s="72" t="s">
        <v>132</v>
      </c>
      <c r="L19" s="73" t="s">
        <v>118</v>
      </c>
    </row>
    <row r="20" spans="2:12" ht="16">
      <c r="B20" s="56" t="s">
        <v>133</v>
      </c>
      <c r="C20" s="57" t="s">
        <v>134</v>
      </c>
      <c r="D20" s="57" t="s">
        <v>135</v>
      </c>
      <c r="E20" s="57">
        <v>2023</v>
      </c>
      <c r="F20" s="57">
        <v>94.9</v>
      </c>
      <c r="G20" s="58" t="s">
        <v>136</v>
      </c>
      <c r="H20" s="57">
        <v>94.9</v>
      </c>
      <c r="I20" s="57" t="s">
        <v>137</v>
      </c>
      <c r="J20" s="57" t="s">
        <v>137</v>
      </c>
      <c r="K20" s="57" t="s">
        <v>137</v>
      </c>
      <c r="L20" s="78">
        <v>291.2</v>
      </c>
    </row>
    <row r="21" spans="2:12" ht="16">
      <c r="B21" s="56" t="s">
        <v>133</v>
      </c>
      <c r="C21" s="57" t="s">
        <v>134</v>
      </c>
      <c r="D21" s="57" t="s">
        <v>138</v>
      </c>
      <c r="E21" s="57">
        <v>2023</v>
      </c>
      <c r="F21" s="57">
        <v>87.8</v>
      </c>
      <c r="G21" s="58" t="s">
        <v>139</v>
      </c>
      <c r="H21" s="57">
        <v>8.7800000000000003E-2</v>
      </c>
      <c r="I21" s="57" t="s">
        <v>137</v>
      </c>
      <c r="J21" s="57" t="s">
        <v>137</v>
      </c>
      <c r="K21" s="57" t="s">
        <v>137</v>
      </c>
      <c r="L21" s="78">
        <v>280.3</v>
      </c>
    </row>
    <row r="22" spans="2:12" ht="16">
      <c r="B22" s="56" t="s">
        <v>140</v>
      </c>
      <c r="C22" s="57" t="s">
        <v>134</v>
      </c>
      <c r="D22" s="57" t="s">
        <v>141</v>
      </c>
      <c r="E22" s="57">
        <v>2024</v>
      </c>
      <c r="F22" s="57">
        <v>8.6999999999999994E-2</v>
      </c>
      <c r="G22" s="58" t="s">
        <v>136</v>
      </c>
      <c r="H22" s="57">
        <v>8.6999999999999994E-2</v>
      </c>
      <c r="I22" s="57">
        <v>2642998</v>
      </c>
      <c r="J22" s="57" t="s">
        <v>142</v>
      </c>
      <c r="K22" s="59">
        <v>0.28100000000000003</v>
      </c>
      <c r="L22" s="79">
        <v>281</v>
      </c>
    </row>
    <row r="23" spans="2:12" ht="16">
      <c r="B23" s="56" t="s">
        <v>143</v>
      </c>
      <c r="C23" s="57" t="s">
        <v>134</v>
      </c>
      <c r="D23" s="60" t="s">
        <v>141</v>
      </c>
      <c r="E23" s="57">
        <v>2023</v>
      </c>
      <c r="F23" s="57">
        <v>7.8100000000000003E-2</v>
      </c>
      <c r="G23" s="58" t="s">
        <v>136</v>
      </c>
      <c r="H23" s="59">
        <v>7.8100000000000003E-2</v>
      </c>
      <c r="I23" s="59" t="s">
        <v>137</v>
      </c>
      <c r="J23" s="59" t="s">
        <v>137</v>
      </c>
      <c r="K23" s="57">
        <v>0.2399</v>
      </c>
      <c r="L23" s="78">
        <v>239.9</v>
      </c>
    </row>
    <row r="24" spans="2:12" ht="18.75" customHeight="1">
      <c r="B24" s="74" t="s">
        <v>144</v>
      </c>
      <c r="C24" s="75" t="s">
        <v>134</v>
      </c>
      <c r="D24" s="75" t="s">
        <v>137</v>
      </c>
      <c r="E24" s="76"/>
      <c r="F24" s="77"/>
      <c r="G24" s="77"/>
      <c r="H24" s="77">
        <f>AVERAGE(H21:H23)</f>
        <v>8.43E-2</v>
      </c>
      <c r="I24" s="77"/>
      <c r="J24" s="77"/>
      <c r="K24" s="77"/>
      <c r="L24" s="80">
        <f>AVERAGE(L21:L23)</f>
        <v>267.06666666666666</v>
      </c>
    </row>
    <row r="25" spans="2:12">
      <c r="B25" s="26"/>
      <c r="C25" s="24"/>
      <c r="D25" s="24"/>
      <c r="E25" s="24"/>
      <c r="F25" s="24"/>
      <c r="G25" s="24"/>
      <c r="H25" s="24"/>
      <c r="I25" s="24"/>
      <c r="J25" s="24"/>
      <c r="K25" s="24"/>
      <c r="L25" s="24"/>
    </row>
    <row r="26" spans="2:12">
      <c r="B26" s="30"/>
      <c r="C26" s="25"/>
      <c r="D26" s="25"/>
      <c r="E26" s="25"/>
      <c r="F26" s="25"/>
    </row>
    <row r="27" spans="2:12">
      <c r="E27" s="25"/>
    </row>
    <row r="28" spans="2:12">
      <c r="E28" s="25"/>
    </row>
    <row r="29" spans="2:12">
      <c r="B29" s="30"/>
      <c r="E29" s="25"/>
    </row>
    <row r="30" spans="2:12">
      <c r="B30" s="29"/>
    </row>
    <row r="31" spans="2:12">
      <c r="B31" s="26"/>
      <c r="E31" s="25"/>
    </row>
    <row r="32" spans="2:12">
      <c r="B32" s="29"/>
    </row>
    <row r="33" spans="2:5">
      <c r="B33" s="26"/>
    </row>
    <row r="39" spans="2:5">
      <c r="B39" s="26"/>
    </row>
    <row r="42" spans="2:5" ht="86.25" customHeight="1">
      <c r="B42" s="401"/>
      <c r="C42" s="401"/>
      <c r="D42" s="401"/>
      <c r="E42" s="401"/>
    </row>
    <row r="49" spans="2:5">
      <c r="B49" s="30"/>
      <c r="C49" s="25"/>
      <c r="D49" s="25"/>
    </row>
    <row r="51" spans="2:5">
      <c r="B51" s="29"/>
    </row>
    <row r="52" spans="2:5">
      <c r="B52" s="401"/>
      <c r="C52" s="401"/>
      <c r="D52" s="401"/>
      <c r="E52" s="401"/>
    </row>
    <row r="53" spans="2:5">
      <c r="B53" s="401"/>
      <c r="C53" s="401"/>
      <c r="D53" s="401"/>
      <c r="E53" s="401"/>
    </row>
    <row r="54" spans="2:5">
      <c r="B54" s="401"/>
      <c r="C54" s="401"/>
      <c r="D54" s="401"/>
      <c r="E54" s="401"/>
    </row>
    <row r="55" spans="2:5">
      <c r="B55" s="401"/>
      <c r="C55" s="401"/>
      <c r="D55" s="401"/>
      <c r="E55" s="401"/>
    </row>
    <row r="56" spans="2:5">
      <c r="B56" s="401"/>
      <c r="C56" s="401"/>
      <c r="D56" s="401"/>
      <c r="E56" s="401"/>
    </row>
  </sheetData>
  <mergeCells count="3">
    <mergeCell ref="B42:E42"/>
    <mergeCell ref="B52:E56"/>
    <mergeCell ref="B2:F2"/>
  </mergeCells>
  <pageMargins left="0.7" right="0.7" top="0.75" bottom="0.75" header="0.3" footer="0.3"/>
  <drawing r:id="rId1"/>
  <legacy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92AC4-76C6-40FC-93B9-1070728F7D20}">
  <sheetPr>
    <tabColor rgb="FFF7AD19"/>
  </sheetPr>
  <dimension ref="B2:R79"/>
  <sheetViews>
    <sheetView zoomScale="26" workbookViewId="0">
      <selection activeCell="H15" sqref="H15"/>
    </sheetView>
  </sheetViews>
  <sheetFormatPr baseColWidth="10" defaultColWidth="8.6640625" defaultRowHeight="15" customHeight="1"/>
  <cols>
    <col min="1" max="1" width="3" style="1" customWidth="1"/>
    <col min="2" max="2" width="16.83203125" style="1" customWidth="1"/>
    <col min="3" max="3" width="18.5" style="1" customWidth="1"/>
    <col min="4" max="17" width="19.5" style="1" customWidth="1"/>
    <col min="18" max="18" width="29.5" style="1" customWidth="1"/>
    <col min="19" max="19" width="20.83203125" style="1" customWidth="1"/>
    <col min="20" max="16384" width="8.6640625" style="1"/>
  </cols>
  <sheetData>
    <row r="2" spans="2:18" ht="15" customHeight="1">
      <c r="B2" s="404" t="s">
        <v>145</v>
      </c>
      <c r="C2" s="405"/>
      <c r="D2" s="405"/>
      <c r="E2" s="405"/>
      <c r="F2" s="405"/>
      <c r="G2" s="405"/>
      <c r="H2" s="405"/>
      <c r="I2" s="405"/>
      <c r="J2" s="405"/>
      <c r="K2" s="405"/>
      <c r="L2" s="405"/>
      <c r="M2" s="405"/>
      <c r="N2" s="405"/>
      <c r="O2" s="405"/>
      <c r="P2" s="405"/>
      <c r="Q2" s="405"/>
      <c r="R2" s="406"/>
    </row>
    <row r="3" spans="2:18" s="20" customFormat="1" ht="81" customHeight="1">
      <c r="B3" s="96" t="s">
        <v>146</v>
      </c>
      <c r="C3" s="89" t="s">
        <v>147</v>
      </c>
      <c r="D3" s="89" t="s">
        <v>148</v>
      </c>
      <c r="E3" s="89" t="s">
        <v>149</v>
      </c>
      <c r="F3" s="89" t="s">
        <v>150</v>
      </c>
      <c r="G3" s="89" t="s">
        <v>151</v>
      </c>
      <c r="H3" s="89" t="s">
        <v>152</v>
      </c>
      <c r="I3" s="90" t="s">
        <v>153</v>
      </c>
      <c r="J3" s="89" t="s">
        <v>154</v>
      </c>
      <c r="K3" s="90" t="s">
        <v>155</v>
      </c>
      <c r="L3" s="89" t="s">
        <v>156</v>
      </c>
      <c r="M3" s="90" t="s">
        <v>157</v>
      </c>
      <c r="N3" s="89" t="s">
        <v>158</v>
      </c>
      <c r="O3" s="91" t="s">
        <v>159</v>
      </c>
      <c r="P3" s="91" t="s">
        <v>160</v>
      </c>
      <c r="Q3" s="89" t="s">
        <v>161</v>
      </c>
      <c r="R3" s="89" t="s">
        <v>30</v>
      </c>
    </row>
    <row r="4" spans="2:18" s="20" customFormat="1" ht="45.75" customHeight="1">
      <c r="B4" s="83" t="s">
        <v>162</v>
      </c>
      <c r="C4" s="84">
        <v>136.75</v>
      </c>
      <c r="D4" s="84">
        <f>5990*0.6</f>
        <v>3594</v>
      </c>
      <c r="E4" s="85">
        <v>66</v>
      </c>
      <c r="F4" s="87">
        <f>E4*0.716666667</f>
        <v>47.300000021999999</v>
      </c>
      <c r="G4" s="87">
        <f>E4*0.216666667</f>
        <v>14.300000022000001</v>
      </c>
      <c r="H4" s="87">
        <f>E4*0.066666667</f>
        <v>4.4000000219999995</v>
      </c>
      <c r="I4" s="87">
        <v>5.5998999999999997E-5</v>
      </c>
      <c r="J4" s="87">
        <f>F4*I4</f>
        <v>2.6487527012319777E-3</v>
      </c>
      <c r="K4" s="87" t="e">
        <f>'Datos Inmuebles'!$L$18</f>
        <v>#REF!</v>
      </c>
      <c r="L4" s="87" t="e">
        <f>G4*K4</f>
        <v>#REF!</v>
      </c>
      <c r="M4" s="87" t="e">
        <f>'Datos Inmuebles'!$L$19</f>
        <v>#REF!</v>
      </c>
      <c r="N4" s="87" t="e">
        <f>H4*M4</f>
        <v>#REF!</v>
      </c>
      <c r="O4" s="88" t="e">
        <f>N4+L4+J4</f>
        <v>#REF!</v>
      </c>
      <c r="P4" s="88" t="e">
        <f>O4*C4</f>
        <v>#REF!</v>
      </c>
      <c r="Q4" s="84">
        <v>4</v>
      </c>
      <c r="R4" s="86" t="s">
        <v>163</v>
      </c>
    </row>
    <row r="5" spans="2:18" s="20" customFormat="1" ht="59.25" customHeight="1">
      <c r="B5" s="83" t="s">
        <v>164</v>
      </c>
      <c r="C5" s="84">
        <v>60</v>
      </c>
      <c r="D5" s="84">
        <f>5990*0.6</f>
        <v>3594</v>
      </c>
      <c r="E5" s="85">
        <v>34.700000000000003</v>
      </c>
      <c r="F5" s="87">
        <f>E5*0.716666667</f>
        <v>24.868333344900002</v>
      </c>
      <c r="G5" s="87">
        <f>E5*0.216666667</f>
        <v>7.5183333449000012</v>
      </c>
      <c r="H5" s="87">
        <f>E5*0.066666667</f>
        <v>2.3133333449000002</v>
      </c>
      <c r="I5" s="87">
        <v>5.5998999999999997E-5</v>
      </c>
      <c r="J5" s="87">
        <f>F5*I5</f>
        <v>1.3926017989810552E-3</v>
      </c>
      <c r="K5" s="87" t="e">
        <f>'Datos Inmuebles'!$L$18</f>
        <v>#REF!</v>
      </c>
      <c r="L5" s="87" t="e">
        <f>G5*K5</f>
        <v>#REF!</v>
      </c>
      <c r="M5" s="87" t="e">
        <f>'Datos Inmuebles'!$L$19</f>
        <v>#REF!</v>
      </c>
      <c r="N5" s="87" t="e">
        <f>H5*M5</f>
        <v>#REF!</v>
      </c>
      <c r="O5" s="88" t="e">
        <f>N5+L5+J5</f>
        <v>#REF!</v>
      </c>
      <c r="P5" s="88" t="e">
        <f>O5*C5</f>
        <v>#REF!</v>
      </c>
      <c r="Q5" s="84">
        <v>4</v>
      </c>
      <c r="R5" s="86" t="s">
        <v>165</v>
      </c>
    </row>
    <row r="9" spans="2:18" ht="14">
      <c r="B9" s="108"/>
    </row>
    <row r="11" spans="2:18" ht="14">
      <c r="B11" s="108"/>
    </row>
    <row r="13" spans="2:18" ht="14">
      <c r="B13" s="108"/>
    </row>
    <row r="21" spans="2:12" ht="14">
      <c r="B21" s="109"/>
      <c r="C21" s="110"/>
      <c r="D21" s="109"/>
      <c r="E21" s="109"/>
      <c r="G21" s="111"/>
      <c r="H21" s="111"/>
      <c r="I21" s="111"/>
      <c r="J21" s="111"/>
      <c r="K21" s="111"/>
      <c r="L21" s="111"/>
    </row>
    <row r="22" spans="2:12" ht="14">
      <c r="B22" s="112"/>
      <c r="E22" s="113"/>
      <c r="G22" s="111"/>
      <c r="H22" s="111"/>
      <c r="K22" s="111"/>
    </row>
    <row r="23" spans="2:12" ht="14">
      <c r="B23" s="114"/>
      <c r="C23" s="115"/>
      <c r="D23" s="114"/>
      <c r="E23" s="114"/>
      <c r="G23" s="111"/>
      <c r="H23" s="111"/>
      <c r="K23" s="111"/>
    </row>
    <row r="24" spans="2:12" ht="14">
      <c r="B24" s="114"/>
      <c r="C24" s="115"/>
      <c r="D24" s="114"/>
      <c r="E24" s="114"/>
    </row>
    <row r="25" spans="2:12" ht="14">
      <c r="B25" s="114"/>
      <c r="C25" s="115"/>
      <c r="D25" s="114"/>
      <c r="E25" s="114"/>
    </row>
    <row r="26" spans="2:12" ht="14">
      <c r="B26" s="114"/>
      <c r="C26" s="115"/>
      <c r="D26" s="114"/>
      <c r="E26" s="114"/>
    </row>
    <row r="27" spans="2:12" ht="14">
      <c r="B27" s="116"/>
      <c r="C27" s="117"/>
      <c r="D27" s="114"/>
      <c r="E27" s="114"/>
    </row>
    <row r="28" spans="2:12" ht="14">
      <c r="B28" s="116"/>
      <c r="C28" s="117"/>
      <c r="D28" s="114"/>
      <c r="E28" s="114"/>
    </row>
    <row r="29" spans="2:12" ht="14">
      <c r="B29" s="116"/>
      <c r="C29" s="110"/>
      <c r="D29" s="114"/>
      <c r="E29" s="114"/>
    </row>
    <row r="30" spans="2:12" ht="14">
      <c r="B30" s="116"/>
      <c r="C30" s="110"/>
      <c r="D30" s="114"/>
      <c r="E30" s="114"/>
    </row>
    <row r="31" spans="2:12" ht="14">
      <c r="B31" s="116"/>
      <c r="C31" s="117"/>
      <c r="D31" s="114"/>
      <c r="E31" s="114"/>
    </row>
    <row r="32" spans="2:12" ht="14">
      <c r="B32" s="116"/>
      <c r="C32" s="117"/>
      <c r="D32" s="114"/>
      <c r="E32" s="114"/>
    </row>
    <row r="33" spans="2:6" ht="14">
      <c r="C33" s="118"/>
    </row>
    <row r="36" spans="2:6" ht="14">
      <c r="B36" s="111"/>
    </row>
    <row r="37" spans="2:6" ht="14">
      <c r="B37" s="111"/>
      <c r="C37" s="111"/>
      <c r="D37" s="111"/>
      <c r="E37" s="111"/>
      <c r="F37" s="111"/>
    </row>
    <row r="38" spans="2:6" ht="14">
      <c r="E38" s="111"/>
    </row>
    <row r="39" spans="2:6" ht="14">
      <c r="E39" s="111"/>
    </row>
    <row r="40" spans="2:6" ht="14">
      <c r="B40" s="111"/>
      <c r="E40" s="111"/>
    </row>
    <row r="44" spans="2:6" ht="14">
      <c r="B44" s="111"/>
      <c r="C44" s="111"/>
      <c r="D44" s="111"/>
      <c r="E44" s="111"/>
      <c r="F44" s="111"/>
    </row>
    <row r="45" spans="2:6" ht="14">
      <c r="E45" s="111"/>
    </row>
    <row r="46" spans="2:6" ht="14">
      <c r="E46" s="111"/>
    </row>
    <row r="47" spans="2:6" ht="14">
      <c r="B47" s="111"/>
      <c r="E47" s="111"/>
    </row>
    <row r="55" spans="2:5" ht="14">
      <c r="B55" s="108"/>
    </row>
    <row r="58" spans="2:5" ht="86.25" customHeight="1">
      <c r="B58" s="403"/>
      <c r="C58" s="403"/>
      <c r="D58" s="403"/>
      <c r="E58" s="403"/>
    </row>
    <row r="65" spans="2:5" ht="14">
      <c r="B65" s="111"/>
      <c r="C65" s="111"/>
      <c r="D65" s="111"/>
    </row>
    <row r="66" spans="2:5" ht="14">
      <c r="B66" s="119"/>
      <c r="C66" s="120"/>
      <c r="D66" s="19"/>
      <c r="E66" s="121"/>
    </row>
    <row r="67" spans="2:5" ht="14">
      <c r="B67" s="119"/>
      <c r="C67" s="120"/>
      <c r="D67" s="19"/>
      <c r="E67" s="22"/>
    </row>
    <row r="68" spans="2:5" ht="14">
      <c r="B68" s="122"/>
      <c r="C68" s="123"/>
      <c r="D68" s="22"/>
      <c r="E68" s="19"/>
    </row>
    <row r="69" spans="2:5" ht="14">
      <c r="B69" s="122"/>
      <c r="C69" s="123"/>
      <c r="D69" s="22"/>
      <c r="E69" s="19"/>
    </row>
    <row r="70" spans="2:5" ht="14">
      <c r="B70" s="124"/>
      <c r="C70" s="125"/>
      <c r="D70" s="19"/>
      <c r="E70" s="22"/>
    </row>
    <row r="71" spans="2:5" ht="14">
      <c r="B71" s="124"/>
      <c r="C71" s="125"/>
      <c r="D71" s="19"/>
      <c r="E71" s="19"/>
    </row>
    <row r="72" spans="2:5" ht="14">
      <c r="B72" s="19"/>
      <c r="D72" s="22"/>
      <c r="E72" s="19"/>
    </row>
    <row r="74" spans="2:5" ht="14">
      <c r="B74" s="121"/>
    </row>
    <row r="75" spans="2:5" ht="14">
      <c r="B75" s="403"/>
      <c r="C75" s="403"/>
      <c r="D75" s="403"/>
      <c r="E75" s="403"/>
    </row>
    <row r="76" spans="2:5" ht="14">
      <c r="B76" s="403"/>
      <c r="C76" s="403"/>
      <c r="D76" s="403"/>
      <c r="E76" s="403"/>
    </row>
    <row r="77" spans="2:5" ht="14">
      <c r="B77" s="403"/>
      <c r="C77" s="403"/>
      <c r="D77" s="403"/>
      <c r="E77" s="403"/>
    </row>
    <row r="78" spans="2:5" ht="14">
      <c r="B78" s="403"/>
      <c r="C78" s="403"/>
      <c r="D78" s="403"/>
      <c r="E78" s="403"/>
    </row>
    <row r="79" spans="2:5" ht="14">
      <c r="B79" s="403"/>
      <c r="C79" s="403"/>
      <c r="D79" s="403"/>
      <c r="E79" s="403"/>
    </row>
  </sheetData>
  <mergeCells count="3">
    <mergeCell ref="B58:E58"/>
    <mergeCell ref="B75:E79"/>
    <mergeCell ref="B2:R2"/>
  </mergeCells>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B906-27E9-4128-A0CB-5E5744F8D653}">
  <sheetPr>
    <tabColor rgb="FFF7AD19"/>
  </sheetPr>
  <dimension ref="B2:O52"/>
  <sheetViews>
    <sheetView zoomScale="50" zoomScaleNormal="50" workbookViewId="0">
      <selection activeCell="G4" sqref="G4"/>
    </sheetView>
  </sheetViews>
  <sheetFormatPr baseColWidth="10" defaultColWidth="11.5" defaultRowHeight="14"/>
  <cols>
    <col min="1" max="1" width="4.1640625" style="1" customWidth="1"/>
    <col min="2" max="2" width="23.83203125" style="1" customWidth="1"/>
    <col min="3" max="3" width="22.5" style="1" customWidth="1"/>
    <col min="4" max="4" width="23.33203125" style="1" customWidth="1"/>
    <col min="5" max="6" width="17.5" style="1" customWidth="1"/>
    <col min="7" max="7" width="17.6640625" style="1" customWidth="1"/>
    <col min="8" max="8" width="28.6640625" style="1" customWidth="1"/>
    <col min="9" max="9" width="22.83203125" style="1" customWidth="1"/>
    <col min="10" max="11" width="20.83203125" style="1" customWidth="1"/>
    <col min="12" max="13" width="21.5" style="1" customWidth="1"/>
    <col min="14" max="14" width="23" style="1" customWidth="1"/>
    <col min="15" max="15" width="58.1640625" style="1" customWidth="1"/>
    <col min="16" max="16384" width="11.5" style="1"/>
  </cols>
  <sheetData>
    <row r="2" spans="2:15">
      <c r="B2" s="407" t="s">
        <v>166</v>
      </c>
      <c r="C2" s="408"/>
      <c r="D2" s="408"/>
      <c r="E2" s="408"/>
      <c r="F2" s="408"/>
      <c r="G2" s="408"/>
      <c r="H2" s="408"/>
      <c r="I2" s="408"/>
      <c r="J2" s="408"/>
      <c r="K2" s="408"/>
      <c r="L2" s="408"/>
      <c r="M2" s="408"/>
      <c r="N2" s="408"/>
      <c r="O2" s="409"/>
    </row>
    <row r="3" spans="2:15" ht="45">
      <c r="B3" s="97" t="s">
        <v>167</v>
      </c>
      <c r="C3" s="90" t="s">
        <v>168</v>
      </c>
      <c r="D3" s="98" t="s">
        <v>169</v>
      </c>
      <c r="E3" s="98" t="s">
        <v>170</v>
      </c>
      <c r="F3" s="98" t="s">
        <v>171</v>
      </c>
      <c r="G3" s="98" t="s">
        <v>153</v>
      </c>
      <c r="H3" s="98" t="s">
        <v>154</v>
      </c>
      <c r="I3" s="98" t="s">
        <v>155</v>
      </c>
      <c r="J3" s="98" t="s">
        <v>156</v>
      </c>
      <c r="K3" s="98" t="s">
        <v>157</v>
      </c>
      <c r="L3" s="98" t="s">
        <v>158</v>
      </c>
      <c r="M3" s="90" t="s">
        <v>159</v>
      </c>
      <c r="N3" s="98" t="s">
        <v>161</v>
      </c>
      <c r="O3" s="99" t="s">
        <v>30</v>
      </c>
    </row>
    <row r="4" spans="2:15" s="20" customFormat="1" ht="62.25" customHeight="1">
      <c r="B4" s="100" t="s">
        <v>172</v>
      </c>
      <c r="C4" s="101">
        <f>D24</f>
        <v>166.87833999999998</v>
      </c>
      <c r="D4" s="101">
        <f>$C4*$C$34</f>
        <v>133.50267199999999</v>
      </c>
      <c r="E4" s="101">
        <f>$C4*$C$35</f>
        <v>21.694184199999999</v>
      </c>
      <c r="F4" s="101">
        <f>$C4*$C$36</f>
        <v>11.681483800000001</v>
      </c>
      <c r="G4" s="101">
        <v>5.5998999999999997E-5</v>
      </c>
      <c r="H4" s="101">
        <f>$G4*$D4</f>
        <v>7.4760161293279991E-3</v>
      </c>
      <c r="I4" s="101" t="e">
        <f>'Datos Inmuebles'!$L$18</f>
        <v>#REF!</v>
      </c>
      <c r="J4" s="101" t="e">
        <f>$I4*$E4</f>
        <v>#REF!</v>
      </c>
      <c r="K4" s="101" t="e">
        <f>'Datos Inmuebles'!$L$19</f>
        <v>#REF!</v>
      </c>
      <c r="L4" s="101" t="e">
        <f>$K4*$F4</f>
        <v>#REF!</v>
      </c>
      <c r="M4" s="101" t="e">
        <f>$L4+$J4+$H4</f>
        <v>#REF!</v>
      </c>
      <c r="N4" s="102">
        <v>4</v>
      </c>
      <c r="O4" s="103" t="s">
        <v>173</v>
      </c>
    </row>
    <row r="5" spans="2:15" s="20" customFormat="1" ht="67.5" customHeight="1">
      <c r="B5" s="104" t="s">
        <v>174</v>
      </c>
      <c r="C5" s="101">
        <f>D25</f>
        <v>151.1</v>
      </c>
      <c r="D5" s="101">
        <f>$C5*$C$34</f>
        <v>120.88</v>
      </c>
      <c r="E5" s="101">
        <f>$C5*$C$35</f>
        <v>19.643000000000001</v>
      </c>
      <c r="F5" s="101">
        <f>$C5*$C$36</f>
        <v>10.577</v>
      </c>
      <c r="G5" s="101">
        <v>5.5998999999999997E-5</v>
      </c>
      <c r="H5" s="101">
        <f>$G5*$D5</f>
        <v>6.7691591199999998E-3</v>
      </c>
      <c r="I5" s="101" t="e">
        <f>'Datos Inmuebles'!$L$18</f>
        <v>#REF!</v>
      </c>
      <c r="J5" s="101" t="e">
        <f>$I5*$E5</f>
        <v>#REF!</v>
      </c>
      <c r="K5" s="101" t="e">
        <f>'Datos Inmuebles'!$L$19</f>
        <v>#REF!</v>
      </c>
      <c r="L5" s="101" t="e">
        <f>$K5*$F5</f>
        <v>#REF!</v>
      </c>
      <c r="M5" s="101" t="e">
        <f>$L5+$J5+$H5</f>
        <v>#REF!</v>
      </c>
      <c r="N5" s="102">
        <v>4</v>
      </c>
      <c r="O5" s="103" t="s">
        <v>173</v>
      </c>
    </row>
    <row r="6" spans="2:15" s="20" customFormat="1" ht="90">
      <c r="B6" s="105" t="s">
        <v>175</v>
      </c>
      <c r="C6" s="106">
        <f>D26</f>
        <v>1027.0999999999999</v>
      </c>
      <c r="D6" s="106">
        <f>$C6*$C$34</f>
        <v>821.68</v>
      </c>
      <c r="E6" s="106">
        <f>$C6*$C$35</f>
        <v>133.523</v>
      </c>
      <c r="F6" s="106">
        <f>$C6*$C$36</f>
        <v>71.897000000000006</v>
      </c>
      <c r="G6" s="106">
        <v>5.5998999999999997E-5</v>
      </c>
      <c r="H6" s="106">
        <f>$G6*$D6</f>
        <v>4.6013258319999993E-2</v>
      </c>
      <c r="I6" s="106" t="e">
        <f>'Datos Inmuebles'!$L$18</f>
        <v>#REF!</v>
      </c>
      <c r="J6" s="106" t="e">
        <f>$I6*$E6</f>
        <v>#REF!</v>
      </c>
      <c r="K6" s="106" t="e">
        <f>'Datos Inmuebles'!$L$19</f>
        <v>#REF!</v>
      </c>
      <c r="L6" s="106" t="e">
        <f>$K6*$F6</f>
        <v>#REF!</v>
      </c>
      <c r="M6" s="106" t="e">
        <f>$L6+$J6+$H6</f>
        <v>#REF!</v>
      </c>
      <c r="N6" s="107">
        <v>4</v>
      </c>
      <c r="O6" s="86" t="s">
        <v>173</v>
      </c>
    </row>
    <row r="19" spans="2:8" s="3" customFormat="1"/>
    <row r="20" spans="2:8" s="126" customFormat="1">
      <c r="B20" s="410" t="s">
        <v>176</v>
      </c>
      <c r="C20" s="410"/>
      <c r="D20" s="410"/>
      <c r="E20" s="410"/>
      <c r="F20" s="410"/>
      <c r="G20" s="410"/>
      <c r="H20" s="410"/>
    </row>
    <row r="21" spans="2:8">
      <c r="B21" s="127"/>
      <c r="C21" s="127"/>
      <c r="D21" s="127"/>
      <c r="E21" s="127"/>
      <c r="F21" s="127"/>
      <c r="G21" s="127"/>
      <c r="H21" s="127"/>
    </row>
    <row r="22" spans="2:8" s="7" customFormat="1">
      <c r="B22" s="412" t="s">
        <v>177</v>
      </c>
      <c r="C22" s="413"/>
      <c r="D22" s="414"/>
      <c r="E22" s="1"/>
      <c r="F22" s="1"/>
    </row>
    <row r="23" spans="2:8" ht="15">
      <c r="B23" s="128" t="s">
        <v>178</v>
      </c>
      <c r="C23" s="128" t="s">
        <v>179</v>
      </c>
      <c r="D23" s="128" t="s">
        <v>180</v>
      </c>
    </row>
    <row r="24" spans="2:8" ht="15">
      <c r="B24" s="129" t="s">
        <v>172</v>
      </c>
      <c r="C24" s="11">
        <v>52.9</v>
      </c>
      <c r="D24" s="11">
        <f>C24*3.1546</f>
        <v>166.87833999999998</v>
      </c>
    </row>
    <row r="25" spans="2:8" ht="30">
      <c r="B25" s="129" t="s">
        <v>181</v>
      </c>
      <c r="C25" s="11">
        <v>47.9</v>
      </c>
      <c r="D25" s="11">
        <v>151.1</v>
      </c>
    </row>
    <row r="26" spans="2:8" ht="30">
      <c r="B26" s="129" t="s">
        <v>182</v>
      </c>
      <c r="C26" s="11">
        <v>325.60000000000002</v>
      </c>
      <c r="D26" s="130">
        <v>1027.0999999999999</v>
      </c>
    </row>
    <row r="28" spans="2:8">
      <c r="B28" s="1" t="s">
        <v>183</v>
      </c>
    </row>
    <row r="29" spans="2:8">
      <c r="B29" s="131" t="s">
        <v>184</v>
      </c>
    </row>
    <row r="30" spans="2:8">
      <c r="B30" s="131" t="s">
        <v>49</v>
      </c>
    </row>
    <row r="32" spans="2:8" ht="17.25" customHeight="1">
      <c r="B32" s="411" t="s">
        <v>185</v>
      </c>
      <c r="C32" s="411"/>
      <c r="D32" s="411"/>
    </row>
    <row r="33" spans="2:4">
      <c r="B33" s="132" t="s">
        <v>186</v>
      </c>
      <c r="C33" s="133" t="s">
        <v>187</v>
      </c>
      <c r="D33" s="134" t="s">
        <v>188</v>
      </c>
    </row>
    <row r="34" spans="2:4">
      <c r="B34" s="135" t="s">
        <v>189</v>
      </c>
      <c r="C34" s="136">
        <v>0.8</v>
      </c>
      <c r="D34" s="137">
        <v>0.8</v>
      </c>
    </row>
    <row r="35" spans="2:4">
      <c r="B35" s="135" t="s">
        <v>190</v>
      </c>
      <c r="C35" s="136">
        <v>0.13</v>
      </c>
      <c r="D35" s="137">
        <v>0.13</v>
      </c>
    </row>
    <row r="36" spans="2:4">
      <c r="B36" s="135" t="s">
        <v>191</v>
      </c>
      <c r="C36" s="136">
        <v>7.0000000000000007E-2</v>
      </c>
      <c r="D36" s="137">
        <v>7.0000000000000007E-2</v>
      </c>
    </row>
    <row r="37" spans="2:4">
      <c r="B37" s="138" t="s">
        <v>192</v>
      </c>
      <c r="C37" s="139">
        <f>SUM(C34:C36)</f>
        <v>1</v>
      </c>
      <c r="D37" s="140">
        <f>SUM(D34:D36)</f>
        <v>1</v>
      </c>
    </row>
    <row r="39" spans="2:4">
      <c r="B39" s="131" t="s">
        <v>193</v>
      </c>
    </row>
    <row r="52" spans="2:2">
      <c r="B52" s="131"/>
    </row>
  </sheetData>
  <mergeCells count="4">
    <mergeCell ref="B2:O2"/>
    <mergeCell ref="B20:H20"/>
    <mergeCell ref="B32:D32"/>
    <mergeCell ref="B22:D22"/>
  </mergeCells>
  <hyperlinks>
    <hyperlink ref="B39" r:id="rId1" location=":~:text=con%20cifras%20de%20CEPAL%20,Es%20importante" xr:uid="{EEF5B342-FB65-4535-A493-E01DC9AD6EC5}"/>
    <hyperlink ref="B29" r:id="rId2" xr:uid="{1EE7855A-5CC8-41FA-AF5D-B438CA1DC57D}"/>
    <hyperlink ref="B30" r:id="rId3" xr:uid="{05166E22-2830-46B5-8D39-60E793E806DF}"/>
  </hyperlinks>
  <pageMargins left="0.7" right="0.7" top="0.75" bottom="0.75" header="0.3" footer="0.3"/>
  <drawing r:id="rId4"/>
  <legacyDrawing r:id="rId5"/>
  <tableParts count="3">
    <tablePart r:id="rId6"/>
    <tablePart r:id="rId7"/>
    <tablePart r:id="rId8"/>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68365-5F74-4F58-B0C0-62B651E357BD}">
  <sheetPr>
    <tabColor rgb="FFF7AD19"/>
  </sheetPr>
  <dimension ref="B2:O56"/>
  <sheetViews>
    <sheetView zoomScale="62" workbookViewId="0">
      <selection activeCell="I3" sqref="I3"/>
    </sheetView>
  </sheetViews>
  <sheetFormatPr baseColWidth="10" defaultColWidth="8.6640625" defaultRowHeight="14"/>
  <cols>
    <col min="1" max="1" width="3.83203125" style="1" customWidth="1"/>
    <col min="2" max="2" width="16.83203125" style="1" customWidth="1"/>
    <col min="3" max="3" width="21.83203125" style="1" customWidth="1"/>
    <col min="4" max="4" width="25.83203125" style="1" customWidth="1"/>
    <col min="5" max="5" width="26" style="1" customWidth="1"/>
    <col min="6" max="6" width="25.6640625" style="1" customWidth="1"/>
    <col min="7" max="7" width="21.1640625" style="1" customWidth="1"/>
    <col min="8" max="8" width="27.33203125" style="1" customWidth="1"/>
    <col min="9" max="9" width="23.1640625" style="1" customWidth="1"/>
    <col min="10" max="10" width="23.5" style="1" customWidth="1"/>
    <col min="11" max="11" width="27" style="1" customWidth="1"/>
    <col min="12" max="12" width="28.5" style="1" customWidth="1"/>
    <col min="13" max="13" width="26.1640625" style="1" customWidth="1"/>
    <col min="14" max="14" width="23" style="1" customWidth="1"/>
    <col min="15" max="15" width="21.33203125" style="1" customWidth="1"/>
    <col min="16" max="16" width="23" style="1" customWidth="1"/>
    <col min="17" max="17" width="24.83203125" style="1" customWidth="1"/>
    <col min="18" max="18" width="47.6640625" style="1" customWidth="1"/>
    <col min="19" max="19" width="20.83203125" style="1" customWidth="1"/>
    <col min="20" max="16384" width="8.6640625" style="1"/>
  </cols>
  <sheetData>
    <row r="2" spans="2:8">
      <c r="B2" s="415" t="s">
        <v>194</v>
      </c>
      <c r="C2" s="415"/>
      <c r="D2" s="415"/>
      <c r="E2" s="415"/>
      <c r="F2" s="415"/>
      <c r="G2" s="415"/>
      <c r="H2" s="415"/>
    </row>
    <row r="3" spans="2:8" ht="30">
      <c r="B3" s="175" t="s">
        <v>116</v>
      </c>
      <c r="C3" s="98" t="s">
        <v>195</v>
      </c>
      <c r="D3" s="98" t="s">
        <v>196</v>
      </c>
      <c r="E3" s="98" t="s">
        <v>197</v>
      </c>
      <c r="F3" s="98" t="s">
        <v>198</v>
      </c>
      <c r="G3" s="98" t="s">
        <v>199</v>
      </c>
      <c r="H3" s="99" t="s">
        <v>30</v>
      </c>
    </row>
    <row r="4" spans="2:8" ht="60">
      <c r="B4" s="176" t="s">
        <v>200</v>
      </c>
      <c r="C4" s="177">
        <f>I29</f>
        <v>180199.5</v>
      </c>
      <c r="D4" s="177">
        <f>K29</f>
        <v>1385602000</v>
      </c>
      <c r="E4" s="178">
        <f>J29</f>
        <v>8.1599999999999992E-2</v>
      </c>
      <c r="F4" s="177">
        <f>N29</f>
        <v>352</v>
      </c>
      <c r="G4" s="179">
        <v>3</v>
      </c>
      <c r="H4" s="82" t="s">
        <v>201</v>
      </c>
    </row>
    <row r="7" spans="2:8">
      <c r="B7" s="108"/>
    </row>
    <row r="9" spans="2:8">
      <c r="B9" s="108"/>
    </row>
    <row r="11" spans="2:8">
      <c r="B11" s="108"/>
    </row>
    <row r="19" spans="2:15" s="3" customFormat="1">
      <c r="B19" s="141"/>
      <c r="C19" s="142"/>
      <c r="D19" s="141"/>
      <c r="E19" s="141"/>
    </row>
    <row r="20" spans="2:15" s="145" customFormat="1" ht="18" customHeight="1">
      <c r="B20" s="416" t="s">
        <v>202</v>
      </c>
      <c r="C20" s="416"/>
      <c r="D20" s="416"/>
      <c r="E20" s="416"/>
      <c r="F20" s="416"/>
      <c r="G20" s="416"/>
      <c r="H20" s="416"/>
    </row>
    <row r="21" spans="2:15" s="7" customFormat="1">
      <c r="B21" s="143"/>
      <c r="C21" s="144"/>
      <c r="D21" s="143"/>
      <c r="E21" s="143"/>
    </row>
    <row r="22" spans="2:15">
      <c r="B22" s="116"/>
      <c r="C22" s="117"/>
      <c r="D22" s="114"/>
      <c r="E22" s="114"/>
    </row>
    <row r="23" spans="2:15">
      <c r="B23" s="407" t="s">
        <v>203</v>
      </c>
      <c r="C23" s="408"/>
      <c r="D23" s="408"/>
      <c r="E23" s="408"/>
      <c r="F23" s="408"/>
      <c r="G23" s="408"/>
      <c r="H23" s="408"/>
      <c r="I23" s="408"/>
      <c r="J23" s="408"/>
      <c r="K23" s="408"/>
      <c r="L23" s="408"/>
      <c r="M23" s="408"/>
      <c r="N23" s="408"/>
      <c r="O23" s="409"/>
    </row>
    <row r="24" spans="2:15" ht="30">
      <c r="B24" s="153" t="s">
        <v>204</v>
      </c>
      <c r="C24" s="154" t="s">
        <v>205</v>
      </c>
      <c r="D24" s="154" t="s">
        <v>206</v>
      </c>
      <c r="E24" s="154" t="s">
        <v>207</v>
      </c>
      <c r="F24" s="154" t="s">
        <v>208</v>
      </c>
      <c r="G24" s="154" t="s">
        <v>209</v>
      </c>
      <c r="H24" s="154" t="s">
        <v>210</v>
      </c>
      <c r="I24" s="154" t="s">
        <v>211</v>
      </c>
      <c r="J24" s="163" t="s">
        <v>117</v>
      </c>
      <c r="K24" s="154" t="s">
        <v>212</v>
      </c>
      <c r="L24" s="154" t="s">
        <v>213</v>
      </c>
      <c r="M24" s="154" t="s">
        <v>214</v>
      </c>
      <c r="N24" s="163" t="s">
        <v>118</v>
      </c>
      <c r="O24" s="155" t="s">
        <v>215</v>
      </c>
    </row>
    <row r="25" spans="2:15" ht="60">
      <c r="B25" s="146" t="s">
        <v>216</v>
      </c>
      <c r="C25" s="147" t="s">
        <v>217</v>
      </c>
      <c r="D25" s="147">
        <v>2024</v>
      </c>
      <c r="E25" s="148">
        <v>553000</v>
      </c>
      <c r="F25" s="148">
        <v>205000</v>
      </c>
      <c r="G25" s="148">
        <v>148000</v>
      </c>
      <c r="H25" s="148">
        <v>105000</v>
      </c>
      <c r="I25" s="148">
        <f>E25+G25</f>
        <v>701000</v>
      </c>
      <c r="J25" s="149">
        <f>Consumos_Retail!I34</f>
        <v>0.24</v>
      </c>
      <c r="K25" s="150">
        <v>1385602000</v>
      </c>
      <c r="L25" s="150">
        <v>497595000</v>
      </c>
      <c r="M25" s="150">
        <v>888006000</v>
      </c>
      <c r="N25" s="151">
        <f>Consumos_Retail!M34*1000</f>
        <v>410</v>
      </c>
      <c r="O25" s="152">
        <v>0.36</v>
      </c>
    </row>
    <row r="26" spans="2:15" ht="15">
      <c r="B26" s="146" t="s">
        <v>218</v>
      </c>
      <c r="C26" s="147" t="s">
        <v>219</v>
      </c>
      <c r="D26" s="147">
        <v>2023</v>
      </c>
      <c r="E26" s="148">
        <v>2284</v>
      </c>
      <c r="F26" s="147">
        <v>0</v>
      </c>
      <c r="G26" s="148">
        <v>6813</v>
      </c>
      <c r="H26" s="148">
        <v>1757088</v>
      </c>
      <c r="I26" s="148">
        <f>E26+G26</f>
        <v>9097</v>
      </c>
      <c r="J26" s="151">
        <f>Consumos_Retail!H39</f>
        <v>2.8799999999999999E-2</v>
      </c>
      <c r="K26" s="147" t="s">
        <v>220</v>
      </c>
      <c r="L26" s="147" t="s">
        <v>221</v>
      </c>
      <c r="M26" s="147" t="s">
        <v>222</v>
      </c>
      <c r="N26" s="151">
        <f>Consumos_Retail!L39*1000000</f>
        <v>294</v>
      </c>
      <c r="O26" s="152">
        <v>0.79</v>
      </c>
    </row>
    <row r="27" spans="2:15" ht="15">
      <c r="B27" s="146" t="s">
        <v>218</v>
      </c>
      <c r="C27" s="147" t="s">
        <v>223</v>
      </c>
      <c r="D27" s="147">
        <v>2023</v>
      </c>
      <c r="E27" s="148">
        <v>5204</v>
      </c>
      <c r="F27" s="147">
        <v>0</v>
      </c>
      <c r="G27" s="148">
        <v>4969</v>
      </c>
      <c r="H27" s="148">
        <v>675171</v>
      </c>
      <c r="I27" s="148">
        <f>G27+E27</f>
        <v>10173</v>
      </c>
      <c r="J27" s="151">
        <f>Consumos_Retail!H39</f>
        <v>2.8799999999999999E-2</v>
      </c>
      <c r="K27" s="147" t="s">
        <v>224</v>
      </c>
      <c r="L27" s="147" t="s">
        <v>225</v>
      </c>
      <c r="M27" s="147" t="s">
        <v>226</v>
      </c>
      <c r="N27" s="151"/>
      <c r="O27" s="152">
        <v>0.26</v>
      </c>
    </row>
    <row r="28" spans="2:15" ht="15">
      <c r="B28" s="146" t="s">
        <v>218</v>
      </c>
      <c r="C28" s="147" t="s">
        <v>227</v>
      </c>
      <c r="D28" s="147">
        <v>2023</v>
      </c>
      <c r="E28" s="147">
        <v>528</v>
      </c>
      <c r="F28" s="147">
        <v>0</v>
      </c>
      <c r="G28" s="147"/>
      <c r="H28" s="147">
        <v>432109</v>
      </c>
      <c r="I28" s="147">
        <f>E28</f>
        <v>528</v>
      </c>
      <c r="J28" s="151">
        <f>Consumos_Retail!H39</f>
        <v>2.8799999999999999E-2</v>
      </c>
      <c r="K28" s="147" t="s">
        <v>228</v>
      </c>
      <c r="L28" s="147" t="s">
        <v>228</v>
      </c>
      <c r="M28" s="147"/>
      <c r="N28" s="151"/>
      <c r="O28" s="152">
        <v>1</v>
      </c>
    </row>
    <row r="29" spans="2:15" ht="15">
      <c r="B29" s="157" t="s">
        <v>229</v>
      </c>
      <c r="C29" s="158"/>
      <c r="D29" s="159"/>
      <c r="E29" s="160">
        <f ca="1">AVERAGE(E25:E29)</f>
        <v>140254</v>
      </c>
      <c r="F29" s="160">
        <f t="shared" ref="F29:N29" si="0">AVERAGE(F25:F28)</f>
        <v>51250</v>
      </c>
      <c r="G29" s="160">
        <f t="shared" si="0"/>
        <v>53260.666666666664</v>
      </c>
      <c r="H29" s="160">
        <f t="shared" si="0"/>
        <v>742342</v>
      </c>
      <c r="I29" s="160">
        <f t="shared" si="0"/>
        <v>180199.5</v>
      </c>
      <c r="J29" s="161">
        <f t="shared" si="0"/>
        <v>8.1599999999999992E-2</v>
      </c>
      <c r="K29" s="160">
        <f t="shared" si="0"/>
        <v>1385602000</v>
      </c>
      <c r="L29" s="160">
        <f t="shared" si="0"/>
        <v>497595000</v>
      </c>
      <c r="M29" s="160">
        <f t="shared" si="0"/>
        <v>888006000</v>
      </c>
      <c r="N29" s="160">
        <f t="shared" si="0"/>
        <v>352</v>
      </c>
      <c r="O29" s="162"/>
    </row>
    <row r="31" spans="2:15">
      <c r="B31" s="111"/>
    </row>
    <row r="32" spans="2:15">
      <c r="B32" s="412" t="s">
        <v>230</v>
      </c>
      <c r="C32" s="413"/>
      <c r="D32" s="413"/>
      <c r="E32" s="413"/>
      <c r="F32" s="413"/>
      <c r="G32" s="413"/>
      <c r="H32" s="413"/>
      <c r="I32" s="413"/>
      <c r="J32" s="413"/>
      <c r="K32" s="413"/>
      <c r="L32" s="413"/>
      <c r="M32" s="413"/>
      <c r="N32" s="414"/>
    </row>
    <row r="33" spans="2:14" ht="32.25" customHeight="1">
      <c r="B33" s="153" t="s">
        <v>231</v>
      </c>
      <c r="C33" s="154" t="s">
        <v>206</v>
      </c>
      <c r="D33" s="154" t="s">
        <v>232</v>
      </c>
      <c r="E33" s="154" t="s">
        <v>233</v>
      </c>
      <c r="F33" s="154" t="s">
        <v>234</v>
      </c>
      <c r="G33" s="154" t="s">
        <v>235</v>
      </c>
      <c r="H33" s="154" t="s">
        <v>236</v>
      </c>
      <c r="I33" s="163" t="s">
        <v>237</v>
      </c>
      <c r="J33" s="154" t="s">
        <v>238</v>
      </c>
      <c r="K33" s="154" t="s">
        <v>239</v>
      </c>
      <c r="L33" s="154" t="s">
        <v>240</v>
      </c>
      <c r="M33" s="163" t="s">
        <v>132</v>
      </c>
      <c r="N33" s="155" t="s">
        <v>215</v>
      </c>
    </row>
    <row r="34" spans="2:14" s="20" customFormat="1" ht="75">
      <c r="B34" s="166" t="s">
        <v>241</v>
      </c>
      <c r="C34" s="167">
        <v>2024</v>
      </c>
      <c r="D34" s="167">
        <v>553</v>
      </c>
      <c r="E34" s="167">
        <v>205</v>
      </c>
      <c r="F34" s="167">
        <v>148</v>
      </c>
      <c r="G34" s="167">
        <v>105</v>
      </c>
      <c r="H34" s="167">
        <v>758</v>
      </c>
      <c r="I34" s="168">
        <v>0.24</v>
      </c>
      <c r="J34" s="167" t="s">
        <v>242</v>
      </c>
      <c r="K34" s="167" t="s">
        <v>243</v>
      </c>
      <c r="L34" s="167" t="s">
        <v>244</v>
      </c>
      <c r="M34" s="168">
        <v>0.41</v>
      </c>
      <c r="N34" s="169">
        <v>0.36</v>
      </c>
    </row>
    <row r="36" spans="2:14">
      <c r="E36" s="111"/>
    </row>
    <row r="37" spans="2:14">
      <c r="B37" s="407" t="s">
        <v>245</v>
      </c>
      <c r="C37" s="408"/>
      <c r="D37" s="408"/>
      <c r="E37" s="408"/>
      <c r="F37" s="408"/>
      <c r="G37" s="408"/>
      <c r="H37" s="408"/>
      <c r="I37" s="408"/>
      <c r="J37" s="408"/>
      <c r="K37" s="408"/>
      <c r="L37" s="409"/>
    </row>
    <row r="38" spans="2:14" ht="30">
      <c r="B38" s="153" t="s">
        <v>231</v>
      </c>
      <c r="C38" s="154" t="s">
        <v>246</v>
      </c>
      <c r="D38" s="154" t="s">
        <v>247</v>
      </c>
      <c r="E38" s="154" t="s">
        <v>248</v>
      </c>
      <c r="F38" s="154" t="s">
        <v>249</v>
      </c>
      <c r="G38" s="154" t="s">
        <v>250</v>
      </c>
      <c r="H38" s="163" t="s">
        <v>251</v>
      </c>
      <c r="I38" s="154" t="s">
        <v>252</v>
      </c>
      <c r="J38" s="154" t="s">
        <v>253</v>
      </c>
      <c r="K38" s="154" t="s">
        <v>254</v>
      </c>
      <c r="L38" s="174" t="s">
        <v>255</v>
      </c>
    </row>
    <row r="39" spans="2:14" ht="15">
      <c r="B39" s="146" t="s">
        <v>256</v>
      </c>
      <c r="C39" s="147">
        <v>2023</v>
      </c>
      <c r="D39" s="147">
        <v>2284</v>
      </c>
      <c r="E39" s="147">
        <v>6813</v>
      </c>
      <c r="F39" s="147">
        <v>1757088</v>
      </c>
      <c r="G39" s="147">
        <f>D39+E39</f>
        <v>9097</v>
      </c>
      <c r="H39" s="170">
        <f>0.0117+0.0171</f>
        <v>2.8799999999999999E-2</v>
      </c>
      <c r="I39" s="147">
        <v>87.5</v>
      </c>
      <c r="J39" s="147">
        <v>68.8</v>
      </c>
      <c r="K39" s="147">
        <v>18.7</v>
      </c>
      <c r="L39" s="171">
        <v>2.9399999999999999E-4</v>
      </c>
    </row>
    <row r="40" spans="2:14" ht="15">
      <c r="B40" s="146" t="s">
        <v>257</v>
      </c>
      <c r="C40" s="147">
        <v>2023</v>
      </c>
      <c r="D40" s="147">
        <v>5204</v>
      </c>
      <c r="E40" s="147">
        <v>4969</v>
      </c>
      <c r="F40" s="147">
        <v>675171</v>
      </c>
      <c r="G40" s="147">
        <f>D40+E40</f>
        <v>10173</v>
      </c>
      <c r="H40" s="170"/>
      <c r="I40" s="147">
        <v>49.6</v>
      </c>
      <c r="J40" s="147">
        <v>75.7</v>
      </c>
      <c r="K40" s="147">
        <v>26.2</v>
      </c>
      <c r="L40" s="171"/>
    </row>
    <row r="41" spans="2:14" ht="15">
      <c r="B41" s="164" t="s">
        <v>258</v>
      </c>
      <c r="C41" s="165">
        <v>2023</v>
      </c>
      <c r="D41" s="165">
        <v>528</v>
      </c>
      <c r="E41" s="165"/>
      <c r="F41" s="165">
        <v>432109</v>
      </c>
      <c r="G41" s="165">
        <f>D41+E41</f>
        <v>528</v>
      </c>
      <c r="H41" s="172"/>
      <c r="I41" s="165">
        <v>39.200000000000003</v>
      </c>
      <c r="J41" s="165">
        <v>39.200000000000003</v>
      </c>
      <c r="K41" s="165"/>
      <c r="L41" s="173"/>
    </row>
    <row r="43" spans="2:14" ht="15">
      <c r="B43" s="156" t="s">
        <v>259</v>
      </c>
      <c r="C43" s="81" t="s">
        <v>260</v>
      </c>
    </row>
    <row r="44" spans="2:14">
      <c r="B44" s="156" t="s">
        <v>261</v>
      </c>
      <c r="C44" s="121" t="s">
        <v>262</v>
      </c>
    </row>
    <row r="46" spans="2:14">
      <c r="B46" s="108"/>
    </row>
    <row r="49" spans="2:4" ht="34.5" customHeight="1"/>
    <row r="56" spans="2:4">
      <c r="B56" s="111"/>
      <c r="C56" s="111"/>
      <c r="D56" s="111"/>
    </row>
  </sheetData>
  <mergeCells count="5">
    <mergeCell ref="B2:H2"/>
    <mergeCell ref="B20:H20"/>
    <mergeCell ref="B23:O23"/>
    <mergeCell ref="B32:N32"/>
    <mergeCell ref="B37:L37"/>
  </mergeCells>
  <hyperlinks>
    <hyperlink ref="C44" r:id="rId1" xr:uid="{31832AAA-D7BA-4D37-AFEE-FF5D2E5079E9}"/>
    <hyperlink ref="C43" r:id="rId2" xr:uid="{EF24B14C-996E-4D54-8FBA-38243564D231}"/>
  </hyperlinks>
  <pageMargins left="0.7" right="0.7" top="0.75" bottom="0.75" header="0.3" footer="0.3"/>
  <drawing r:id="rId3"/>
  <legacyDrawing r:id="rId4"/>
  <tableParts count="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26de45-5b72-4a3f-bc04-d58414a2bdf9" xsi:nil="true"/>
    <lcf76f155ced4ddcb4097134ff3c332f xmlns="c5524b80-8bb4-49de-aeb9-aebb967547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D0D66AC16B7064EA151016D4661FF52" ma:contentTypeVersion="13" ma:contentTypeDescription="Crear nuevo documento." ma:contentTypeScope="" ma:versionID="619095b0af6f7b4df840a562979db189">
  <xsd:schema xmlns:xsd="http://www.w3.org/2001/XMLSchema" xmlns:xs="http://www.w3.org/2001/XMLSchema" xmlns:p="http://schemas.microsoft.com/office/2006/metadata/properties" xmlns:ns2="c5524b80-8bb4-49de-aeb9-aebb967547d1" xmlns:ns3="7d26de45-5b72-4a3f-bc04-d58414a2bdf9" targetNamespace="http://schemas.microsoft.com/office/2006/metadata/properties" ma:root="true" ma:fieldsID="aab343f7d07aca8de6336ce4830c6ea1" ns2:_="" ns3:_="">
    <xsd:import namespace="c5524b80-8bb4-49de-aeb9-aebb967547d1"/>
    <xsd:import namespace="7d26de45-5b72-4a3f-bc04-d58414a2bd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24b80-8bb4-49de-aeb9-aebb96754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a3e31e5-08ba-4fec-b4aa-a4fa5375ba6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26de45-5b72-4a3f-bc04-d58414a2bd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d11cd99-bed3-446b-899f-86f3f6ec9ae5}" ma:internalName="TaxCatchAll" ma:showField="CatchAllData" ma:web="7d26de45-5b72-4a3f-bc04-d58414a2bd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CFDCDD-229B-4695-B747-681F970F7FD6}">
  <ds:schemaRefs>
    <ds:schemaRef ds:uri="http://schemas.microsoft.com/office/2006/metadata/properties"/>
    <ds:schemaRef ds:uri="http://schemas.microsoft.com/office/infopath/2007/PartnerControls"/>
    <ds:schemaRef ds:uri="7d26de45-5b72-4a3f-bc04-d58414a2bdf9"/>
    <ds:schemaRef ds:uri="c5524b80-8bb4-49de-aeb9-aebb967547d1"/>
  </ds:schemaRefs>
</ds:datastoreItem>
</file>

<file path=customXml/itemProps2.xml><?xml version="1.0" encoding="utf-8"?>
<ds:datastoreItem xmlns:ds="http://schemas.openxmlformats.org/officeDocument/2006/customXml" ds:itemID="{238CC00E-6BB6-4375-910D-FA1F01271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24b80-8bb4-49de-aeb9-aebb967547d1"/>
    <ds:schemaRef ds:uri="7d26de45-5b72-4a3f-bc04-d58414a2b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A78DFD-52C1-4525-9F84-225F9A6C31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14</vt:i4>
      </vt:variant>
    </vt:vector>
  </HeadingPairs>
  <TitlesOfParts>
    <vt:vector size="14" baseType="lpstr">
      <vt:lpstr>Índice</vt:lpstr>
      <vt:lpstr>Fuentes Complementarias </vt:lpstr>
      <vt:lpstr>Sector Económico 2016</vt:lpstr>
      <vt:lpstr>Sector Económico 2017</vt:lpstr>
      <vt:lpstr>Sector Económico 2022</vt:lpstr>
      <vt:lpstr>Consumos_ Hotel</vt:lpstr>
      <vt:lpstr>Consumos_Hogares</vt:lpstr>
      <vt:lpstr>Consumos_Edificios</vt:lpstr>
      <vt:lpstr>Consumos_Retail</vt:lpstr>
      <vt:lpstr>Vehículos </vt:lpstr>
      <vt:lpstr>Deuda Soberana </vt:lpstr>
      <vt:lpstr>Proyectos_Proxy</vt:lpstr>
      <vt:lpstr>Datos Inmuebles</vt:lpstr>
      <vt:lpstr>Datos Energía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Lucia Beloqui</cp:lastModifiedBy>
  <cp:revision/>
  <dcterms:created xsi:type="dcterms:W3CDTF">2025-10-14T12:32:49Z</dcterms:created>
  <dcterms:modified xsi:type="dcterms:W3CDTF">2026-03-10T16:28:07Z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0x010100AD0D66AC16B7064EA151016D4661FF52</vt:lpwstr>
  </property>
  <property fmtid="{D5CDD505-2E9C-101B-9397-08002B2CF9AE}" pid="3" name="MediaServiceImageTags">
    <vt:lpwstr/>
  </property>
</Properties>
</file>