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dp-my.sharepoint.com/personal/elene_sakvarelidze_undp_org/Documents/Desktop/Social Media/PAR/ORI Study RIA/ORI Final report/"/>
    </mc:Choice>
  </mc:AlternateContent>
  <xr:revisionPtr revIDLastSave="0" documentId="13_ncr:1_{F1A643B7-871A-0248-9E07-1C843036182E}" xr6:coauthVersionLast="47" xr6:coauthVersionMax="47" xr10:uidLastSave="{00000000-0000-0000-0000-000000000000}"/>
  <bookViews>
    <workbookView xWindow="-120" yWindow="-120" windowWidth="29040" windowHeight="15720" xr2:uid="{D4C6F50C-BCCC-534F-8F6F-E3FE8A2B2944}"/>
  </bookViews>
  <sheets>
    <sheet name="საწყისი ეტაპი" sheetId="4" r:id="rId1"/>
    <sheet name="წონები" sheetId="10" r:id="rId2"/>
    <sheet name="ქულები" sheetId="12" r:id="rId3"/>
    <sheet name="შედეგები" sheetId="13" r:id="rId4"/>
    <sheet name="AHP" sheetId="11" r:id="rId5"/>
    <sheet name="AHP თანმიმდევრულობა" sheetId="17" r:id="rId6"/>
    <sheet name="TOPSIS" sheetId="15" r:id="rId7"/>
  </sheets>
  <definedNames>
    <definedName name="matrix_A1">AHP!$B$2</definedName>
    <definedName name="matrix_A10">AHP!$B$2:$K$11</definedName>
    <definedName name="matrix_A2">AHP!$B$2:$C$3</definedName>
    <definedName name="matrix_A3">AHP!$B$2:$D$4</definedName>
    <definedName name="matrix_A4">AHP!$B$2:$E$5</definedName>
    <definedName name="matrix_A5">AHP!$B$2:$F$6</definedName>
    <definedName name="matrix_A6">AHP!$B$2:$G$7</definedName>
    <definedName name="matrix_A7">AHP!$B$2:$H$8</definedName>
    <definedName name="matrix_A8">AHP!$B$2:$I$9</definedName>
    <definedName name="matrix_A9">AHP!$B$2:$J$10</definedName>
    <definedName name="matrix_P1">AHP!$B$15</definedName>
    <definedName name="matrix_P10">AHP!$B$15:$B$24</definedName>
    <definedName name="matrix_P2">AHP!$B$15:$B$16</definedName>
    <definedName name="matrix_P3">AHP!$B$15:$B$17</definedName>
    <definedName name="matrix_P4">AHP!$B$15:$B$18</definedName>
    <definedName name="matrix_P5">AHP!$B$15:$B$19</definedName>
    <definedName name="matrix_P6">AHP!$B$15:$B$20</definedName>
    <definedName name="matrix_P7">AHP!$B$15:$B$21</definedName>
    <definedName name="matrix_P8">AHP!$B$15:$B$22</definedName>
    <definedName name="matrix_P9">AHP!$B$15:$B$23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3" l="1"/>
  <c r="E11" i="13" a="1"/>
  <c r="E11" i="13" s="1"/>
  <c r="A27" i="13" a="1"/>
  <c r="A27" i="13" s="1"/>
  <c r="E14" i="13"/>
  <c r="F14" i="13"/>
  <c r="G14" i="13"/>
  <c r="H14" i="13"/>
  <c r="I14" i="13"/>
  <c r="J14" i="13"/>
  <c r="E15" i="13"/>
  <c r="F15" i="13"/>
  <c r="G15" i="13"/>
  <c r="H15" i="13"/>
  <c r="I15" i="13"/>
  <c r="J15" i="13"/>
  <c r="E16" i="13"/>
  <c r="F16" i="13"/>
  <c r="G16" i="13"/>
  <c r="H16" i="13"/>
  <c r="I16" i="13"/>
  <c r="J16" i="13"/>
  <c r="E17" i="13"/>
  <c r="F17" i="13"/>
  <c r="G17" i="13"/>
  <c r="H17" i="13"/>
  <c r="I17" i="13"/>
  <c r="J17" i="13"/>
  <c r="E18" i="13"/>
  <c r="F18" i="13"/>
  <c r="G18" i="13"/>
  <c r="H18" i="13"/>
  <c r="I18" i="13"/>
  <c r="J18" i="13"/>
  <c r="E19" i="13"/>
  <c r="F19" i="13"/>
  <c r="G19" i="13"/>
  <c r="H19" i="13"/>
  <c r="I19" i="13"/>
  <c r="J19" i="13"/>
  <c r="E20" i="13"/>
  <c r="F20" i="13"/>
  <c r="G20" i="13"/>
  <c r="H20" i="13"/>
  <c r="I20" i="13"/>
  <c r="J20" i="13"/>
  <c r="E21" i="13"/>
  <c r="F21" i="13"/>
  <c r="G21" i="13"/>
  <c r="H21" i="13"/>
  <c r="I21" i="13"/>
  <c r="J21" i="13"/>
  <c r="H12" i="13"/>
  <c r="I12" i="13"/>
  <c r="J12" i="13"/>
  <c r="H13" i="13"/>
  <c r="I13" i="13"/>
  <c r="J13" i="13"/>
  <c r="F12" i="13"/>
  <c r="G12" i="13"/>
  <c r="F13" i="13"/>
  <c r="G13" i="13"/>
  <c r="E12" i="13"/>
  <c r="A4" i="13" a="1"/>
  <c r="A4" i="13" s="1"/>
  <c r="C22" i="13" l="1"/>
  <c r="D22" i="13"/>
  <c r="C23" i="13"/>
  <c r="D23" i="13"/>
  <c r="E13" i="13"/>
  <c r="B1" i="12" a="1"/>
  <c r="B1" i="12" s="1"/>
  <c r="A18" i="4" a="1"/>
  <c r="A18" i="4" s="1"/>
  <c r="A74" i="15" a="1"/>
  <c r="A74" i="15" s="1"/>
  <c r="D11" i="13"/>
  <c r="F8" i="15" l="1"/>
  <c r="B5" i="15"/>
  <c r="C5" i="15"/>
  <c r="D5" i="15"/>
  <c r="E5" i="15"/>
  <c r="F5" i="15"/>
  <c r="G5" i="15"/>
  <c r="B6" i="15"/>
  <c r="C6" i="15"/>
  <c r="D6" i="15"/>
  <c r="E6" i="15"/>
  <c r="F6" i="15"/>
  <c r="G6" i="15"/>
  <c r="B7" i="15"/>
  <c r="C7" i="15"/>
  <c r="D7" i="15"/>
  <c r="E7" i="15"/>
  <c r="F7" i="15"/>
  <c r="G7" i="15"/>
  <c r="B8" i="15"/>
  <c r="C8" i="15"/>
  <c r="D8" i="15"/>
  <c r="E8" i="15"/>
  <c r="G8" i="15"/>
  <c r="B9" i="15"/>
  <c r="C9" i="15"/>
  <c r="D9" i="15"/>
  <c r="E9" i="15"/>
  <c r="F9" i="15"/>
  <c r="G9" i="15"/>
  <c r="B10" i="15"/>
  <c r="C10" i="15"/>
  <c r="D10" i="15"/>
  <c r="E10" i="15"/>
  <c r="F10" i="15"/>
  <c r="G10" i="15"/>
  <c r="B11" i="15"/>
  <c r="C11" i="15"/>
  <c r="D11" i="15"/>
  <c r="E11" i="15"/>
  <c r="F11" i="15"/>
  <c r="G11" i="15"/>
  <c r="B12" i="15"/>
  <c r="C12" i="15"/>
  <c r="D12" i="15"/>
  <c r="E12" i="15"/>
  <c r="F12" i="15"/>
  <c r="G12" i="15"/>
  <c r="B13" i="15"/>
  <c r="C13" i="15"/>
  <c r="D13" i="15"/>
  <c r="E13" i="15"/>
  <c r="F13" i="15"/>
  <c r="G13" i="15"/>
  <c r="F4" i="15"/>
  <c r="G4" i="15"/>
  <c r="C4" i="15"/>
  <c r="D4" i="15"/>
  <c r="E4" i="15"/>
  <c r="B4" i="15"/>
  <c r="B59" i="15" a="1"/>
  <c r="B59" i="15" s="1"/>
  <c r="B45" i="15" a="1"/>
  <c r="B45" i="15" s="1"/>
  <c r="B17" i="15" a="1"/>
  <c r="B17" i="15" s="1"/>
  <c r="B3" i="15" a="1"/>
  <c r="L4" i="10"/>
  <c r="L7" i="10"/>
  <c r="L8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J1" i="10"/>
  <c r="I1" i="10"/>
  <c r="H1" i="10"/>
  <c r="G1" i="10"/>
  <c r="L5" i="10" s="1"/>
  <c r="B3" i="15" l="1"/>
  <c r="A3" i="10" a="1"/>
  <c r="A3" i="10" s="1"/>
  <c r="A10" i="12"/>
  <c r="A11" i="12"/>
  <c r="A11" i="11" s="1"/>
  <c r="A9" i="12"/>
  <c r="A53" i="15" s="1"/>
  <c r="A6" i="12"/>
  <c r="A3" i="12"/>
  <c r="A8" i="12"/>
  <c r="A7" i="12"/>
  <c r="A5" i="12"/>
  <c r="A4" i="12"/>
  <c r="L6" i="10"/>
  <c r="L3" i="10"/>
  <c r="L9" i="10"/>
  <c r="A24" i="11" l="1"/>
  <c r="A21" i="13" s="1"/>
  <c r="A10" i="11"/>
  <c r="A23" i="11" s="1"/>
  <c r="A20" i="13" s="1"/>
  <c r="A25" i="15"/>
  <c r="A11" i="15"/>
  <c r="A13" i="15"/>
  <c r="A55" i="15"/>
  <c r="A41" i="15"/>
  <c r="A27" i="15"/>
  <c r="A69" i="15"/>
  <c r="A12" i="15"/>
  <c r="A40" i="15"/>
  <c r="A26" i="15"/>
  <c r="A68" i="15"/>
  <c r="A54" i="15"/>
  <c r="A9" i="11"/>
  <c r="A22" i="11" s="1"/>
  <c r="A19" i="13" s="1"/>
  <c r="A39" i="15"/>
  <c r="A67" i="15"/>
  <c r="A33" i="15"/>
  <c r="A19" i="15"/>
  <c r="A47" i="15"/>
  <c r="A61" i="15"/>
  <c r="A49" i="15"/>
  <c r="A21" i="15"/>
  <c r="A35" i="15"/>
  <c r="A63" i="15"/>
  <c r="A66" i="15"/>
  <c r="A24" i="15"/>
  <c r="A38" i="15"/>
  <c r="A52" i="15"/>
  <c r="A64" i="15"/>
  <c r="A22" i="15"/>
  <c r="A50" i="15"/>
  <c r="A36" i="15"/>
  <c r="A34" i="15"/>
  <c r="A62" i="15"/>
  <c r="A20" i="15"/>
  <c r="A48" i="15"/>
  <c r="A37" i="15"/>
  <c r="A65" i="15"/>
  <c r="A23" i="15"/>
  <c r="A51" i="15"/>
  <c r="A6" i="11"/>
  <c r="A19" i="11" s="1"/>
  <c r="A16" i="13" s="1"/>
  <c r="A8" i="15"/>
  <c r="A4" i="11"/>
  <c r="A17" i="11" s="1"/>
  <c r="A14" i="13" s="1"/>
  <c r="A6" i="15"/>
  <c r="A5" i="11"/>
  <c r="A18" i="11" s="1"/>
  <c r="A15" i="13" s="1"/>
  <c r="A7" i="15"/>
  <c r="A7" i="11"/>
  <c r="A20" i="11" s="1"/>
  <c r="A17" i="13" s="1"/>
  <c r="A9" i="15"/>
  <c r="A8" i="11"/>
  <c r="A21" i="11" s="1"/>
  <c r="A18" i="13" s="1"/>
  <c r="A10" i="15"/>
  <c r="A3" i="11"/>
  <c r="A16" i="11" s="1"/>
  <c r="A13" i="13" s="1"/>
  <c r="A5" i="15"/>
  <c r="A2" i="12"/>
  <c r="K3" i="10" a="1"/>
  <c r="K3" i="10" s="1"/>
  <c r="A18" i="15" l="1"/>
  <c r="A60" i="15"/>
  <c r="A46" i="15"/>
  <c r="A32" i="15"/>
  <c r="A4" i="15"/>
  <c r="A2" i="11"/>
  <c r="B1" i="11" l="1" a="1"/>
  <c r="A15" i="11"/>
  <c r="A12" i="13" s="1"/>
  <c r="J7" i="11" l="1"/>
  <c r="I8" i="11"/>
  <c r="B1" i="11"/>
  <c r="E4" i="11"/>
  <c r="H3" i="11"/>
  <c r="H2" i="11"/>
  <c r="J2" i="11"/>
  <c r="F4" i="11"/>
  <c r="I3" i="11"/>
  <c r="I2" i="11"/>
  <c r="J3" i="11"/>
  <c r="E3" i="11"/>
  <c r="F2" i="11"/>
  <c r="G3" i="11"/>
  <c r="G4" i="11"/>
  <c r="H4" i="11"/>
  <c r="K3" i="11"/>
  <c r="K2" i="11"/>
  <c r="D3" i="11"/>
  <c r="C2" i="11"/>
  <c r="G2" i="11"/>
  <c r="D2" i="11"/>
  <c r="E2" i="11"/>
  <c r="F3" i="11"/>
  <c r="J47" i="10"/>
  <c r="L47" i="10" s="1"/>
  <c r="K10" i="11" s="1"/>
  <c r="J46" i="10"/>
  <c r="L46" i="10" s="1"/>
  <c r="K9" i="11" s="1"/>
  <c r="J45" i="10"/>
  <c r="L45" i="10" s="1"/>
  <c r="J9" i="11" s="1"/>
  <c r="J44" i="10"/>
  <c r="L44" i="10" s="1"/>
  <c r="K8" i="11" s="1"/>
  <c r="J43" i="10"/>
  <c r="L43" i="10" s="1"/>
  <c r="J8" i="11" s="1"/>
  <c r="J42" i="10"/>
  <c r="L42" i="10" s="1"/>
  <c r="J41" i="10"/>
  <c r="L41" i="10" s="1"/>
  <c r="K7" i="11" s="1"/>
  <c r="J40" i="10"/>
  <c r="L40" i="10" s="1"/>
  <c r="J39" i="10"/>
  <c r="L39" i="10" s="1"/>
  <c r="I7" i="11" s="1"/>
  <c r="J38" i="10"/>
  <c r="L38" i="10" s="1"/>
  <c r="H7" i="11" s="1"/>
  <c r="J37" i="10"/>
  <c r="L37" i="10" s="1"/>
  <c r="K6" i="11" s="1"/>
  <c r="J36" i="10"/>
  <c r="L36" i="10" s="1"/>
  <c r="J6" i="11" s="1"/>
  <c r="J35" i="10"/>
  <c r="L35" i="10" s="1"/>
  <c r="I6" i="11" s="1"/>
  <c r="J34" i="10"/>
  <c r="L34" i="10" s="1"/>
  <c r="H6" i="11" s="1"/>
  <c r="J33" i="10"/>
  <c r="L33" i="10" s="1"/>
  <c r="G6" i="11" s="1"/>
  <c r="J32" i="10"/>
  <c r="L32" i="10" s="1"/>
  <c r="K5" i="11" s="1"/>
  <c r="J31" i="10"/>
  <c r="L31" i="10" s="1"/>
  <c r="J5" i="11" s="1"/>
  <c r="L30" i="10"/>
  <c r="I5" i="11" s="1"/>
  <c r="L29" i="10"/>
  <c r="H5" i="11" s="1"/>
  <c r="L28" i="10"/>
  <c r="G5" i="11" s="1"/>
  <c r="L27" i="10"/>
  <c r="F5" i="11" s="1"/>
  <c r="L26" i="10"/>
  <c r="K4" i="11" s="1"/>
  <c r="L25" i="10"/>
  <c r="J4" i="11" s="1"/>
  <c r="L24" i="10"/>
  <c r="I4" i="11" s="1"/>
  <c r="I11" i="11" a="1"/>
  <c r="F11" i="11" a="1"/>
  <c r="G11" i="11" a="1"/>
  <c r="J11" i="11" a="1"/>
  <c r="H11" i="11" a="1"/>
  <c r="G11" i="11" l="1"/>
  <c r="H11" i="11"/>
  <c r="F11" i="11"/>
  <c r="I11" i="11"/>
  <c r="J11" i="11"/>
  <c r="C3" i="11"/>
  <c r="F6" i="11"/>
  <c r="D4" i="11"/>
  <c r="J10" i="11"/>
  <c r="I9" i="11"/>
  <c r="G7" i="11"/>
  <c r="E5" i="11"/>
  <c r="K11" i="11"/>
  <c r="H8" i="11"/>
  <c r="B2" i="11" l="1"/>
  <c r="F10" i="11" a="1"/>
  <c r="D9" i="11" a="1"/>
  <c r="D11" i="11" a="1"/>
  <c r="G10" i="11" a="1"/>
  <c r="H9" i="11" a="1"/>
  <c r="C10" i="11" a="1"/>
  <c r="C9" i="11" a="1"/>
  <c r="C11" i="11" a="1"/>
  <c r="B10" i="11" a="1"/>
  <c r="G9" i="11" a="1"/>
  <c r="B11" i="11" a="1"/>
  <c r="D10" i="11" a="1"/>
  <c r="I10" i="11" a="1"/>
  <c r="E10" i="11" a="1"/>
  <c r="E11" i="11" a="1"/>
  <c r="H10" i="11" a="1"/>
  <c r="B9" i="11" a="1"/>
  <c r="F9" i="11" a="1"/>
  <c r="E9" i="11" a="1"/>
  <c r="B11" i="11" l="1"/>
  <c r="C11" i="11"/>
  <c r="E11" i="11"/>
  <c r="D11" i="11"/>
  <c r="H10" i="11"/>
  <c r="B10" i="11"/>
  <c r="C10" i="11"/>
  <c r="G10" i="11"/>
  <c r="F10" i="11"/>
  <c r="E10" i="11"/>
  <c r="I10" i="11"/>
  <c r="D10" i="11"/>
  <c r="G9" i="11"/>
  <c r="C9" i="11"/>
  <c r="H9" i="11"/>
  <c r="D9" i="11"/>
  <c r="E9" i="11"/>
  <c r="F9" i="11"/>
  <c r="B9" i="11"/>
  <c r="B7" i="11" a="1"/>
  <c r="B5" i="11" a="1"/>
  <c r="D8" i="11" a="1"/>
  <c r="C7" i="11" a="1"/>
  <c r="F8" i="11" a="1"/>
  <c r="B6" i="11" a="1"/>
  <c r="C8" i="11" a="1"/>
  <c r="C6" i="11" a="1"/>
  <c r="E7" i="11" a="1"/>
  <c r="D6" i="11" a="1"/>
  <c r="C5" i="11" a="1"/>
  <c r="E8" i="11" a="1"/>
  <c r="D7" i="11" a="1"/>
  <c r="B8" i="11" a="1"/>
  <c r="B4" i="11" a="1"/>
  <c r="E7" i="11" l="1"/>
  <c r="B7" i="11"/>
  <c r="D7" i="11"/>
  <c r="B6" i="11"/>
  <c r="E8" i="11"/>
  <c r="D6" i="11"/>
  <c r="F8" i="11"/>
  <c r="B4" i="11"/>
  <c r="B8" i="11"/>
  <c r="C6" i="11"/>
  <c r="C5" i="11"/>
  <c r="C8" i="11"/>
  <c r="D8" i="11"/>
  <c r="C7" i="11"/>
  <c r="B5" i="11"/>
  <c r="E6" i="11" a="1"/>
  <c r="D5" i="11" a="1"/>
  <c r="B3" i="11" a="1"/>
  <c r="F7" i="11" a="1"/>
  <c r="C4" i="11" a="1"/>
  <c r="G8" i="11" a="1"/>
  <c r="B3" i="11" l="1"/>
  <c r="F7" i="11"/>
  <c r="G8" i="11"/>
  <c r="E6" i="11"/>
  <c r="D5" i="11"/>
  <c r="C4" i="11"/>
  <c r="B23" i="11" l="1"/>
  <c r="D20" i="13" s="1"/>
  <c r="B22" i="11"/>
  <c r="D19" i="13" s="1"/>
  <c r="B24" i="11"/>
  <c r="D21" i="13" s="1"/>
  <c r="B20" i="11"/>
  <c r="D17" i="13" s="1"/>
  <c r="B17" i="11"/>
  <c r="B18" i="11"/>
  <c r="B15" i="11"/>
  <c r="B16" i="11"/>
  <c r="B19" i="11"/>
  <c r="B21" i="11"/>
  <c r="B31" i="17" a="1"/>
  <c r="A31" i="17" a="1"/>
  <c r="C38" i="17" l="1"/>
  <c r="C40" i="17"/>
  <c r="C39" i="17"/>
  <c r="F25" i="15"/>
  <c r="G25" i="15"/>
  <c r="D25" i="15"/>
  <c r="B25" i="15"/>
  <c r="C25" i="15"/>
  <c r="E25" i="15"/>
  <c r="C27" i="15"/>
  <c r="G27" i="15"/>
  <c r="D27" i="15"/>
  <c r="E27" i="15"/>
  <c r="B27" i="15"/>
  <c r="F27" i="15"/>
  <c r="D26" i="15"/>
  <c r="F26" i="15"/>
  <c r="G26" i="15"/>
  <c r="B26" i="15"/>
  <c r="C26" i="15"/>
  <c r="E26" i="15"/>
  <c r="G23" i="15"/>
  <c r="C23" i="15"/>
  <c r="D23" i="15"/>
  <c r="B23" i="15"/>
  <c r="E23" i="15"/>
  <c r="F23" i="15"/>
  <c r="C36" i="17"/>
  <c r="C32" i="17"/>
  <c r="C37" i="17"/>
  <c r="C34" i="17"/>
  <c r="B31" i="17"/>
  <c r="C33" i="17"/>
  <c r="C35" i="17"/>
  <c r="A31" i="17"/>
  <c r="D12" i="13"/>
  <c r="B18" i="15"/>
  <c r="E18" i="15"/>
  <c r="F18" i="15"/>
  <c r="G18" i="15"/>
  <c r="C18" i="15"/>
  <c r="D18" i="15"/>
  <c r="D13" i="13"/>
  <c r="E19" i="15"/>
  <c r="D19" i="15"/>
  <c r="G19" i="15"/>
  <c r="C19" i="15"/>
  <c r="B19" i="15"/>
  <c r="F19" i="15"/>
  <c r="D14" i="13"/>
  <c r="C20" i="15"/>
  <c r="D20" i="15"/>
  <c r="B20" i="15"/>
  <c r="E20" i="15"/>
  <c r="F20" i="15"/>
  <c r="G20" i="15"/>
  <c r="D15" i="13"/>
  <c r="D21" i="15"/>
  <c r="B21" i="15"/>
  <c r="E21" i="15"/>
  <c r="F21" i="15"/>
  <c r="G21" i="15"/>
  <c r="C21" i="15"/>
  <c r="D18" i="13"/>
  <c r="B24" i="15"/>
  <c r="F24" i="15"/>
  <c r="D24" i="15"/>
  <c r="G24" i="15"/>
  <c r="E24" i="15"/>
  <c r="C24" i="15"/>
  <c r="D16" i="13"/>
  <c r="D22" i="15"/>
  <c r="F22" i="15"/>
  <c r="G22" i="15"/>
  <c r="E22" i="15"/>
  <c r="C22" i="15"/>
  <c r="B22" i="15"/>
  <c r="B9" i="13" l="1"/>
  <c r="B8" i="13"/>
  <c r="B7" i="13"/>
  <c r="B6" i="13"/>
  <c r="B5" i="13"/>
  <c r="B4" i="13"/>
  <c r="B39" i="15"/>
  <c r="C39" i="15"/>
  <c r="C41" i="15"/>
  <c r="D69" i="15" s="1"/>
  <c r="B41" i="15"/>
  <c r="E55" i="15" s="1"/>
  <c r="B40" i="15"/>
  <c r="C40" i="15"/>
  <c r="E68" i="15" s="1"/>
  <c r="C37" i="15"/>
  <c r="F65" i="15" s="1"/>
  <c r="B37" i="15"/>
  <c r="F51" i="15" s="1"/>
  <c r="C33" i="15"/>
  <c r="B33" i="15"/>
  <c r="F47" i="15" s="1"/>
  <c r="C31" i="17"/>
  <c r="B13" i="17" s="1"/>
  <c r="B14" i="17" s="1"/>
  <c r="B1" i="17" s="1"/>
  <c r="C38" i="15"/>
  <c r="F66" i="15" s="1"/>
  <c r="B38" i="15"/>
  <c r="B36" i="15"/>
  <c r="F50" i="15" s="1"/>
  <c r="C36" i="15"/>
  <c r="C34" i="15"/>
  <c r="C62" i="15" s="1"/>
  <c r="B34" i="15"/>
  <c r="C48" i="15" s="1"/>
  <c r="C32" i="15"/>
  <c r="C60" i="15" s="1"/>
  <c r="B32" i="15"/>
  <c r="C46" i="15" s="1"/>
  <c r="B35" i="15"/>
  <c r="D49" i="15" s="1"/>
  <c r="C35" i="15"/>
  <c r="E69" i="15" l="1"/>
  <c r="B69" i="15"/>
  <c r="E65" i="15"/>
  <c r="B67" i="15"/>
  <c r="F67" i="15"/>
  <c r="C67" i="15"/>
  <c r="G67" i="15"/>
  <c r="G68" i="15"/>
  <c r="C68" i="15"/>
  <c r="D68" i="15"/>
  <c r="F68" i="15"/>
  <c r="B68" i="15"/>
  <c r="G54" i="15"/>
  <c r="F54" i="15"/>
  <c r="C54" i="15"/>
  <c r="E54" i="15"/>
  <c r="D67" i="15"/>
  <c r="E67" i="15"/>
  <c r="D55" i="15"/>
  <c r="G55" i="15"/>
  <c r="C55" i="15"/>
  <c r="B55" i="15"/>
  <c r="F55" i="15"/>
  <c r="D54" i="15"/>
  <c r="B53" i="15"/>
  <c r="G53" i="15"/>
  <c r="F53" i="15"/>
  <c r="C53" i="15"/>
  <c r="E53" i="15"/>
  <c r="B54" i="15"/>
  <c r="F69" i="15"/>
  <c r="C69" i="15"/>
  <c r="G69" i="15"/>
  <c r="D53" i="15"/>
  <c r="D65" i="15"/>
  <c r="D51" i="15"/>
  <c r="B65" i="15"/>
  <c r="C51" i="15"/>
  <c r="C65" i="15"/>
  <c r="G65" i="15"/>
  <c r="B51" i="15"/>
  <c r="E51" i="15"/>
  <c r="G51" i="15"/>
  <c r="D66" i="15"/>
  <c r="E49" i="15"/>
  <c r="G66" i="15"/>
  <c r="F60" i="15"/>
  <c r="C64" i="15"/>
  <c r="B64" i="15"/>
  <c r="E64" i="15"/>
  <c r="C61" i="15"/>
  <c r="B61" i="15"/>
  <c r="G61" i="15"/>
  <c r="E61" i="15"/>
  <c r="F63" i="15"/>
  <c r="B63" i="15"/>
  <c r="C63" i="15"/>
  <c r="G63" i="15"/>
  <c r="E63" i="15"/>
  <c r="B46" i="15"/>
  <c r="E46" i="15"/>
  <c r="F46" i="15"/>
  <c r="G46" i="15"/>
  <c r="D46" i="15"/>
  <c r="D52" i="15"/>
  <c r="C52" i="15"/>
  <c r="E52" i="15"/>
  <c r="B52" i="15"/>
  <c r="F61" i="15"/>
  <c r="G49" i="15"/>
  <c r="B49" i="15"/>
  <c r="C49" i="15"/>
  <c r="F49" i="15"/>
  <c r="D60" i="15"/>
  <c r="E60" i="15"/>
  <c r="G60" i="15"/>
  <c r="F64" i="15"/>
  <c r="B66" i="15"/>
  <c r="C66" i="15"/>
  <c r="E66" i="15"/>
  <c r="B60" i="15"/>
  <c r="D64" i="15"/>
  <c r="B48" i="15"/>
  <c r="E48" i="15"/>
  <c r="F48" i="15"/>
  <c r="G48" i="15"/>
  <c r="D61" i="15"/>
  <c r="G62" i="15"/>
  <c r="B62" i="15"/>
  <c r="F62" i="15"/>
  <c r="D62" i="15"/>
  <c r="E62" i="15"/>
  <c r="D47" i="15"/>
  <c r="E47" i="15"/>
  <c r="C47" i="15"/>
  <c r="B47" i="15"/>
  <c r="G47" i="15"/>
  <c r="D48" i="15"/>
  <c r="D63" i="15"/>
  <c r="C50" i="15"/>
  <c r="E50" i="15"/>
  <c r="B50" i="15"/>
  <c r="D50" i="15"/>
  <c r="F52" i="15"/>
  <c r="G50" i="15"/>
  <c r="G52" i="15"/>
  <c r="G64" i="15"/>
  <c r="B79" i="15" l="1"/>
  <c r="B78" i="15"/>
  <c r="B23" i="13" s="1"/>
  <c r="B77" i="15"/>
  <c r="B22" i="13" s="1"/>
  <c r="B74" i="15"/>
  <c r="B27" i="13" s="1"/>
  <c r="D28" i="13"/>
  <c r="B75" i="15"/>
  <c r="B28" i="13" s="1"/>
  <c r="C27" i="13"/>
  <c r="C28" i="13"/>
  <c r="D29" i="13"/>
  <c r="B76" i="15"/>
  <c r="B29" i="13" s="1"/>
  <c r="C29" i="13"/>
  <c r="D27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<sst xmlns="http://schemas.openxmlformats.org/spreadsheetml/2006/main" count="78" uniqueCount="47">
  <si>
    <t>წონა</t>
  </si>
  <si>
    <t>ყველაზე ცუდი</t>
  </si>
  <si>
    <t>კრიტერიუმი</t>
  </si>
  <si>
    <t>დასახელება</t>
  </si>
  <si>
    <t>შესადარებელი კრიტერიუმი</t>
  </si>
  <si>
    <t>5&gt;</t>
  </si>
  <si>
    <t>4&gt;</t>
  </si>
  <si>
    <t>3&gt;</t>
  </si>
  <si>
    <t>2&gt;</t>
  </si>
  <si>
    <t>&lt;2</t>
  </si>
  <si>
    <t>&lt;3</t>
  </si>
  <si>
    <t>&lt;4</t>
  </si>
  <si>
    <t>&lt;5</t>
  </si>
  <si>
    <t>✓</t>
  </si>
  <si>
    <t>ალტერნატივა</t>
  </si>
  <si>
    <t>საუკეთესო</t>
  </si>
  <si>
    <t>შედარებითი სიახლოვის კოეფიციენტი</t>
  </si>
  <si>
    <t>ენერგოეფექტურობა</t>
  </si>
  <si>
    <t>ტყეების გაჩეხვის შემცირება</t>
  </si>
  <si>
    <t>მიღწევადობა</t>
  </si>
  <si>
    <t>რისკები</t>
  </si>
  <si>
    <t>ბაზრის განვითარება</t>
  </si>
  <si>
    <t>ჯანმრთელობის რისკის შემცირება</t>
  </si>
  <si>
    <t>ალტერნატივების
რაოდენობა</t>
  </si>
  <si>
    <t>კრიტერიუმების
რაოდენობა</t>
  </si>
  <si>
    <t>AHP მატრიცა</t>
  </si>
  <si>
    <t>თანმიმდევრულობის
თანაფარდობა (CR)</t>
  </si>
  <si>
    <t>შემთხვევითი
ინდექსი (RI)</t>
  </si>
  <si>
    <t>გამოთვლები</t>
  </si>
  <si>
    <t>თანმიმდევრულობის
ინდექსი (CI)</t>
  </si>
  <si>
    <t>წონების ვექტორი (Matrix P)</t>
  </si>
  <si>
    <t>ნამრავლი (Matrix A * Matrix P)</t>
  </si>
  <si>
    <t>ნაბიჯი 1. დისტრიბუციული ნორმალიზაცია</t>
  </si>
  <si>
    <t>ნაბიჯი 2. შეწონილი ნორმალიზაცია</t>
  </si>
  <si>
    <t>წმინდა დაყვანილი ღირებულება (მლნ ლარი)</t>
  </si>
  <si>
    <t>ნაბიჯი 3. საუკეთესო და ყველაზე ცუდი შედეგები</t>
  </si>
  <si>
    <t>ნაბიჯი 5. შედარებითი სიახლოვის კოეფიციენტი</t>
  </si>
  <si>
    <t>საკუთრივი ვექტორი (Eigen Vector)</t>
  </si>
  <si>
    <t>საკუთრივი მნიშვნელობა
(Principal Eigen Value)</t>
  </si>
  <si>
    <t>ნაბიჯი 4.1. კვადრატული დისტანცია საუკეთესო შედეგისგან</t>
  </si>
  <si>
    <t>ნაბიჯი 4.2. კვადრატული დისტანცია ყველაზე ცუდი შედეგისგან</t>
  </si>
  <si>
    <t>კოეფიციენტი</t>
  </si>
  <si>
    <t>დისტანცია საუკეთესო 
შედეგისგან</t>
  </si>
  <si>
    <t>დისტანცია ყველაზე
ცუდი შედეგისგან</t>
  </si>
  <si>
    <t>შედეგები TOPSIS მეთოდის გამოყენებით</t>
  </si>
  <si>
    <t>შედეგები დისტრიბუციული ნორმალიზაციისა და შეწონილი საშუალოს გამოყენებით</t>
  </si>
  <si>
    <t>ნორმალიზებული ქულების
შეწონილი საშუალო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</si>
</sst>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"/>
  </numFmts>
  <fonts count="7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scheme val="minor"/>
    </font>
    <font>
      <b/>
      <sz val="10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D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2" fontId="0" fillId="0" borderId="1" xfId="0" applyNumberFormat="1" applyBorder="1"/>
    <xf numFmtId="0" fontId="0" fillId="0" borderId="0" xfId="0" applyAlignment="1">
      <alignment wrapText="1"/>
    </xf>
    <xf numFmtId="2" fontId="0" fillId="0" borderId="0" xfId="0" applyNumberFormat="1"/>
    <xf numFmtId="164" fontId="1" fillId="0" borderId="0" xfId="2" applyFont="1"/>
    <xf numFmtId="0" fontId="0" fillId="3" borderId="1" xfId="0" applyFill="1" applyBorder="1"/>
    <xf numFmtId="0" fontId="0" fillId="0" borderId="5" xfId="0" applyBorder="1"/>
    <xf numFmtId="0" fontId="0" fillId="0" borderId="2" xfId="0" applyBorder="1"/>
    <xf numFmtId="0" fontId="0" fillId="0" borderId="3" xfId="0" applyBorder="1"/>
    <xf numFmtId="165" fontId="0" fillId="0" borderId="3" xfId="0" applyNumberFormat="1" applyBorder="1"/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Alignment="1">
      <alignment horizontal="center"/>
    </xf>
    <xf numFmtId="10" fontId="0" fillId="0" borderId="0" xfId="1" applyNumberFormat="1" applyFont="1"/>
    <xf numFmtId="165" fontId="0" fillId="0" borderId="0" xfId="0" applyNumberFormat="1"/>
    <xf numFmtId="10" fontId="1" fillId="0" borderId="0" xfId="1" applyNumberFormat="1" applyFont="1" applyBorder="1"/>
    <xf numFmtId="0" fontId="4" fillId="0" borderId="6" xfId="0" applyFont="1" applyBorder="1"/>
    <xf numFmtId="2" fontId="4" fillId="0" borderId="7" xfId="0" applyNumberFormat="1" applyFont="1" applyBorder="1"/>
    <xf numFmtId="0" fontId="5" fillId="0" borderId="1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1" fillId="2" borderId="2" xfId="0" applyFont="1" applyFill="1" applyBorder="1"/>
    <xf numFmtId="0" fontId="1" fillId="2" borderId="3" xfId="0" applyFont="1" applyFill="1" applyBorder="1"/>
    <xf numFmtId="0" fontId="0" fillId="2" borderId="3" xfId="0" applyFill="1" applyBorder="1"/>
    <xf numFmtId="0" fontId="0" fillId="2" borderId="4" xfId="0" applyFill="1" applyBorder="1"/>
    <xf numFmtId="9" fontId="1" fillId="0" borderId="0" xfId="1" applyFont="1" applyBorder="1"/>
    <xf numFmtId="9" fontId="0" fillId="0" borderId="0" xfId="1" applyFont="1" applyBorder="1"/>
    <xf numFmtId="0" fontId="1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164" fontId="0" fillId="0" borderId="0" xfId="2" applyFont="1" applyBorder="1" applyAlignment="1">
      <alignment vertical="center"/>
    </xf>
    <xf numFmtId="9" fontId="0" fillId="0" borderId="1" xfId="1" applyFont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0" fillId="0" borderId="0" xfId="2" applyNumberFormat="1" applyFont="1" applyBorder="1" applyAlignment="1">
      <alignment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30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8999603259376811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 tint="-9.9948118533890809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theme="3" tint="0.89996032593768116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D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DD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D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DD"/>
      <color rgb="FFEBF1F8"/>
      <color rgb="FFFFFFB9"/>
      <color rgb="FFE9E5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1106</xdr:rowOff>
    </xdr:from>
    <xdr:to>
      <xdr:col>1</xdr:col>
      <xdr:colOff>3412434</xdr:colOff>
      <xdr:row>9</xdr:row>
      <xdr:rowOff>204304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FB47347-4346-F04F-8770-D881E6A80233}"/>
            </a:ext>
          </a:extLst>
        </xdr:cNvPr>
        <xdr:cNvSpPr txBox="1"/>
      </xdr:nvSpPr>
      <xdr:spPr>
        <a:xfrm>
          <a:off x="0" y="1106"/>
          <a:ext cx="4859130" cy="2041937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ინსტრუქცია</a:t>
          </a:r>
          <a:r>
            <a:rPr lang="en-US" sz="1100"/>
            <a:t>*****</a:t>
          </a:r>
          <a:endParaRPr lang="ka-GE" sz="1100" baseline="0"/>
        </a:p>
        <a:p>
          <a:endParaRPr lang="en-US" sz="1100" baseline="0"/>
        </a:p>
        <a:p>
          <a:r>
            <a:rPr lang="ka-GE" sz="1100" baseline="0"/>
            <a:t>ფაილში ყვითლად არის მონიშნული ის უჯრები, რომლებშიც უნდა შეიყვანოთ ინფორმაცია.</a:t>
          </a:r>
        </a:p>
        <a:p>
          <a:endParaRPr lang="ka-GE" sz="1100" baseline="0"/>
        </a:p>
        <a:p>
          <a:r>
            <a:rPr lang="ka-GE" sz="1100" baseline="0"/>
            <a:t>ამ გვერდზე შეიყვანეთ კრიტერიუმების რაოდენობა (1-დან 10-მდე) და ალტერნატივების რაოდენობა (1-დან 6-მდე).</a:t>
          </a:r>
          <a:br>
            <a:rPr lang="ka-GE" sz="1100" baseline="0"/>
          </a:br>
          <a:br>
            <a:rPr lang="ka-GE" sz="1100" baseline="0"/>
          </a:br>
          <a:r>
            <a:rPr lang="ka-GE" sz="1100" baseline="0"/>
            <a:t>შემდეგ ქვემოთ გამოსახულ ცხრილში მიუთითეთ თითო კრიტერიუმის მოკლე დასახელება.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1107</xdr:colOff>
      <xdr:row>2</xdr:row>
      <xdr:rowOff>5360</xdr:rowOff>
    </xdr:from>
    <xdr:to>
      <xdr:col>17</xdr:col>
      <xdr:colOff>396875</xdr:colOff>
      <xdr:row>21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2081982" y="211735"/>
          <a:ext cx="3697768" cy="3915765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ინსტრუქცია</a:t>
          </a:r>
          <a:r>
            <a:rPr lang="en-US" sz="1100"/>
            <a:t>*****</a:t>
          </a:r>
          <a:endParaRPr lang="ka-GE" sz="1100" baseline="0"/>
        </a:p>
        <a:p>
          <a:endParaRPr lang="ka-GE" sz="1100" baseline="0"/>
        </a:p>
        <a:p>
          <a:r>
            <a:rPr lang="ka-GE" sz="1100" baseline="0"/>
            <a:t>თითო ხაზში მონიშნეთ უჯრა (ჩამოსაშლელი მენიუდან აირჩიეთ სიმბოლო "✓"), რომელიც შეესაბამება შესადარებელი კრიტერიუმების წონების თანაფარდობას.</a:t>
          </a:r>
        </a:p>
        <a:p>
          <a:endParaRPr lang="ka-GE" sz="1100" baseline="0"/>
        </a:p>
        <a:p>
          <a:r>
            <a:rPr lang="ka-GE" sz="1100" baseline="0"/>
            <a:t>თუ მარცხნივ მოცემული კრიტერიუმი უფრო მნიშვნელოვანია, მონიშნეთ 1-ის მარცხნივ მდებარე შესაბამისი რიცხვი (მაგალითად, 5</a:t>
          </a:r>
          <a:r>
            <a:rPr lang="en-US" sz="1100" baseline="0"/>
            <a:t>&gt;</a:t>
          </a:r>
          <a:r>
            <a:rPr lang="ka-GE" sz="1100" baseline="0"/>
            <a:t> ნიშნავს, რომ მარცხენა კრიტერიუმის წონა 5-ჯერ აღემატება მარჯვენა კრიტერიუმის წონას).</a:t>
          </a:r>
        </a:p>
        <a:p>
          <a:endParaRPr lang="ka-GE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a-GE" sz="1100" baseline="0"/>
            <a:t>თუ მარჯვნივ მოცემული კრიტერიუმი უფრო მნიშვნელოვანია, მონიშნეთ 1-ის მარჯვნივ მდებარე შესაბამისი რიცხვი (მაგალითად, </a:t>
          </a:r>
          <a:r>
            <a:rPr lang="en-US" sz="1100" baseline="0"/>
            <a:t>&lt;2</a:t>
          </a:r>
          <a:r>
            <a:rPr lang="ka-GE" sz="1100" baseline="0"/>
            <a:t> ნიშნავს, რომ მარჯვენა კრიტერიუმის წონა </a:t>
          </a:r>
          <a:r>
            <a:rPr lang="en-US" sz="1100" baseline="0"/>
            <a:t>2</a:t>
          </a:r>
          <a:r>
            <a:rPr lang="ka-GE" sz="1100" baseline="0"/>
            <a:t>-ჯერ აღემატება მარცხენა კრიტერიუმის წონას).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ka-GE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a-GE" sz="1100" baseline="0"/>
            <a:t>თუ ორივე კრიტერიუმის წონა თანაბარია, მონიშნეთ 1.</a:t>
          </a:r>
        </a:p>
        <a:p>
          <a:endParaRPr lang="ka-GE" sz="11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267673</xdr:colOff>
      <xdr:row>12</xdr:row>
      <xdr:rowOff>9562</xdr:rowOff>
    </xdr:from>
    <xdr:to>
      <xdr:col>0</xdr:col>
      <xdr:colOff>4263571</xdr:colOff>
      <xdr:row>18</xdr:row>
      <xdr:rowOff>169333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3484F04-3A2C-124D-9E12-6E0077703633}"/>
            </a:ext>
          </a:extLst>
        </xdr:cNvPr>
        <xdr:cNvSpPr txBox="1"/>
      </xdr:nvSpPr>
      <xdr:spPr>
        <a:xfrm>
          <a:off x="267673" y="2476991"/>
          <a:ext cx="3995898" cy="1393485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ინსტრუქცია</a:t>
          </a:r>
          <a:r>
            <a:rPr lang="en-US" sz="1100"/>
            <a:t>*****</a:t>
          </a:r>
          <a:endParaRPr lang="ka-GE" sz="1100" baseline="0"/>
        </a:p>
        <a:p>
          <a:endParaRPr lang="en-US" sz="1100" baseline="0"/>
        </a:p>
        <a:p>
          <a:r>
            <a:rPr lang="ka-GE" sz="1100" baseline="0"/>
            <a:t>თითო ალტერნატივა შეაფასეთ სკალაზე -5-დან 5-მდე თითოეული კრიტერიუმის მიხედვით (თუ კრიტერიუმი არის რაოდენობრივი, მიუწერეთ შედეგი, მაგ. წმინდა დაყვანილი ღირებულების შემთხვევაში მლნ ლარი)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196850</xdr:rowOff>
    </xdr:from>
    <xdr:to>
      <xdr:col>6</xdr:col>
      <xdr:colOff>412750</xdr:colOff>
      <xdr:row>9</xdr:row>
      <xdr:rowOff>44450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870A03E-BBC0-1842-A206-54559ECA80B7}"/>
            </a:ext>
          </a:extLst>
        </xdr:cNvPr>
        <xdr:cNvSpPr txBox="1"/>
      </xdr:nvSpPr>
      <xdr:spPr>
        <a:xfrm>
          <a:off x="4762500" y="400050"/>
          <a:ext cx="5175250" cy="1651000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განმარტება</a:t>
          </a:r>
          <a:r>
            <a:rPr lang="en-US" sz="1100"/>
            <a:t>*****</a:t>
          </a:r>
          <a:endParaRPr lang="ka-GE" sz="1100" baseline="0"/>
        </a:p>
        <a:p>
          <a:endParaRPr lang="en-US" sz="1100" baseline="0"/>
        </a:p>
        <a:p>
          <a:r>
            <a:rPr lang="ka-GE" sz="1100" baseline="0"/>
            <a:t>მარცხნივ მოცემულ ცხრილში გამწვანებულია საუკეთესო ალტერნატივა, ანუ ის ალტერნატივა, რომელსაც აქვს ყველაზე მაღალი შეწონილი საშუალო ყველა კრიტერიუმში დაწერილი ქულების გათვალისწინებით.</a:t>
          </a:r>
        </a:p>
        <a:p>
          <a:endParaRPr lang="ka-GE" sz="1100" baseline="0"/>
        </a:p>
        <a:p>
          <a:r>
            <a:rPr lang="ka-GE" sz="1100" baseline="0"/>
            <a:t>ქვემოთ მოცემულია დისტრიბუციულად ნორმალიზებული ქულების შეჯამების ცხრილი.</a:t>
          </a:r>
        </a:p>
      </xdr:txBody>
    </xdr:sp>
    <xdr:clientData/>
  </xdr:twoCellAnchor>
  <xdr:twoCellAnchor>
    <xdr:from>
      <xdr:col>5</xdr:col>
      <xdr:colOff>0</xdr:colOff>
      <xdr:row>25</xdr:row>
      <xdr:rowOff>0</xdr:rowOff>
    </xdr:from>
    <xdr:to>
      <xdr:col>8</xdr:col>
      <xdr:colOff>412750</xdr:colOff>
      <xdr:row>32</xdr:row>
      <xdr:rowOff>50800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C595DA0-C428-9848-8004-385633838CD0}"/>
            </a:ext>
          </a:extLst>
        </xdr:cNvPr>
        <xdr:cNvSpPr txBox="1"/>
      </xdr:nvSpPr>
      <xdr:spPr>
        <a:xfrm>
          <a:off x="7937500" y="5257800"/>
          <a:ext cx="5175250" cy="1651000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განმარტება</a:t>
          </a:r>
          <a:r>
            <a:rPr lang="en-US" sz="1100"/>
            <a:t>*****</a:t>
          </a:r>
          <a:endParaRPr lang="ka-GE" sz="1100" baseline="0"/>
        </a:p>
        <a:p>
          <a:endParaRPr lang="en-US" sz="1100" baseline="0"/>
        </a:p>
        <a:p>
          <a:r>
            <a:rPr lang="ka-GE" sz="1100" baseline="0"/>
            <a:t>მარცხნივ მოცემულ ცხრილში გამწვანებულია საუკეთესო ალტერნატივა, ანუ ის ალტერნატივა, რომელსაც აქვს ყველაზე მაღალი შედარებითი სიახლოვის კოეფიციენტი.</a:t>
          </a:r>
        </a:p>
        <a:p>
          <a:endParaRPr lang="ka-GE" sz="1100" baseline="0"/>
        </a:p>
        <a:p>
          <a:r>
            <a:rPr lang="ka-GE" sz="1100" baseline="0"/>
            <a:t>ცხრილში ასევე მოცემულია თითო ალტერნატივის დისტანცია საუკეთესო და ყველაზე ცუდი შედეგებისგან.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12414</xdr:colOff>
      <xdr:row>13</xdr:row>
      <xdr:rowOff>14134</xdr:rowOff>
    </xdr:from>
    <xdr:to>
      <xdr:col>7</xdr:col>
      <xdr:colOff>1055783</xdr:colOff>
      <xdr:row>24</xdr:row>
      <xdr:rowOff>114759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9C76A0-DB7C-96EB-8AF0-11D43171224C}"/>
            </a:ext>
          </a:extLst>
        </xdr:cNvPr>
        <xdr:cNvSpPr txBox="1"/>
      </xdr:nvSpPr>
      <xdr:spPr>
        <a:xfrm>
          <a:off x="6484824" y="2699495"/>
          <a:ext cx="5343007" cy="237285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a-GE" sz="1100"/>
            <a:t>განმარტება:</a:t>
          </a:r>
        </a:p>
        <a:p>
          <a:endParaRPr lang="ka-GE" sz="1100"/>
        </a:p>
        <a:p>
          <a:r>
            <a:rPr lang="ka-GE" sz="1100"/>
            <a:t>მატრიცის</a:t>
          </a:r>
          <a:r>
            <a:rPr lang="ka-GE" sz="1100" baseline="0"/>
            <a:t> ქვედა მარცხენა (ლურჯ) ნაწილში მოცემული წონები აღნიშნავს იმას, თუ რამდენით აღემატება მარცხნივ (ანუ ხაზებში) მოცემული კრიტერიუმი ზევით (ანუ სვეტებში) მოცემულ კრიტერიუმს.</a:t>
          </a:r>
        </a:p>
        <a:p>
          <a:endParaRPr lang="ka-GE" sz="1100" baseline="0"/>
        </a:p>
        <a:p>
          <a:r>
            <a:rPr lang="ka-GE" sz="1100" baseline="0"/>
            <a:t>მატრიცის ზედა მარჯვენა (მწვანე) ნაწილში მოცემული წონები აღნიშნავს იმას, თუ რამდენით აღემატება ზევით (ანუ სვეტებში) მოცემული კრიტერიუმი მარცხნივ (ანუ ხაზებში) მოცემულ კრიტერიუმს.</a:t>
          </a:r>
          <a:endParaRPr lang="en-US" sz="1100" baseline="0"/>
        </a:p>
        <a:p>
          <a:endParaRPr lang="en-US" sz="1100" baseline="0"/>
        </a:p>
        <a:p>
          <a:r>
            <a:rPr lang="ka-GE" sz="1100" baseline="0"/>
            <a:t>წონების ცხრილში მოცემულია </a:t>
          </a:r>
          <a:r>
            <a:rPr lang="en-US" sz="1100" baseline="0"/>
            <a:t>AHP </a:t>
          </a:r>
          <a:r>
            <a:rPr lang="ka-GE" sz="1100" baseline="0"/>
            <a:t>მეთოდის გამოყენებით მიღებული კრიტერიუმების საბოლოო წონები.</a:t>
          </a:r>
          <a:endParaRPr lang="en-GB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795494</xdr:colOff>
      <xdr:row>0</xdr:row>
      <xdr:rowOff>9303</xdr:rowOff>
    </xdr:from>
    <xdr:to>
      <xdr:col>8</xdr:col>
      <xdr:colOff>401973</xdr:colOff>
      <xdr:row>9</xdr:row>
      <xdr:rowOff>104862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0CB100-C9ED-C24A-AFE5-ED77D9D3F68C}"/>
            </a:ext>
          </a:extLst>
        </xdr:cNvPr>
        <xdr:cNvSpPr txBox="1"/>
      </xdr:nvSpPr>
      <xdr:spPr>
        <a:xfrm>
          <a:off x="3976320" y="9303"/>
          <a:ext cx="5333130" cy="2157853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*****</a:t>
          </a:r>
          <a:r>
            <a:rPr lang="ka-GE" sz="1100"/>
            <a:t>ინსტრუქცია</a:t>
          </a:r>
          <a:r>
            <a:rPr lang="en-US" sz="1100"/>
            <a:t>*****</a:t>
          </a:r>
          <a:endParaRPr lang="ka-GE" sz="1100" baseline="0"/>
        </a:p>
        <a:p>
          <a:endParaRPr lang="en-US" sz="1100" baseline="0"/>
        </a:p>
        <a:p>
          <a:r>
            <a:rPr lang="ka-GE" sz="1100" baseline="0"/>
            <a:t>თუ თანმიმდევრულობის თანაფარდობა </a:t>
          </a:r>
          <a:r>
            <a:rPr lang="en-US" sz="1100" baseline="0"/>
            <a:t>10%</a:t>
          </a:r>
          <a:r>
            <a:rPr lang="ka-GE" sz="1100" baseline="0"/>
            <a:t>-ს აღემატება, უნდა დაბრუნდეთ გვერდზე „წონები“ და შეამოწმოთ, რა ნაწილში ირღვევა შეფასებების თანმიმდევრულობა (მაგ. თუ კრიტერიუმი 1 უფრო პრიორიტეტულია ვიდრე კრიტერიუმი 2, ხოლო კრიტერიუმი 2 უფრო პრიორიტეტულია ვიდრე კრიტერიუმი 3, მაშინ კრიტერიუმი 3 ვერ იქნება უფრო პრიორიტეტული ვიდრე კრიტერიუმი 1).</a:t>
          </a:r>
        </a:p>
        <a:p>
          <a:endParaRPr lang="ka-GE" sz="1100" baseline="0"/>
        </a:p>
        <a:p>
          <a:r>
            <a:rPr lang="ka-GE" sz="1100" baseline="0"/>
            <a:t>მსგავსი არათანმიმდევრულობის გასწორების შემდეგ, შეამოწმეთ, რომ თანმიმდევრულობის თანაფარდობა 10%-ზე ქვემოთ იყოს ჩამოსული.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12F4C-F032-7647-AD41-B683479FC09F}">
  <sheetPr>
    <tabColor theme="3" tint="0.89999084444715716"/>
  </sheetPr>
  <dimension ref="A13:D24"/>
  <sheetViews>
    <sheetView tabSelected="1" zoomScaleNormal="100" workbookViewId="0">
      <selection activeCell="D19" sqref="D19"/>
    </sheetView>
  </sheetViews>
  <sheetFormatPr defaultColWidth="11" defaultRowHeight="15.75" x14ac:dyDescent="0.25"/>
  <cols>
    <col min="1" max="1" width="19" customWidth="1"/>
    <col min="2" max="2" width="44.875" customWidth="1"/>
    <col min="3" max="3" width="19" customWidth="1"/>
  </cols>
  <sheetData>
    <row r="13" spans="1:2" ht="31.5" x14ac:dyDescent="0.25">
      <c r="A13" s="16" t="s">
        <v>24</v>
      </c>
      <c r="B13" s="8">
        <v>7</v>
      </c>
    </row>
    <row r="14" spans="1:2" ht="31.5" x14ac:dyDescent="0.25">
      <c r="A14" s="16" t="s">
        <v>23</v>
      </c>
      <c r="B14" s="8">
        <v>3</v>
      </c>
    </row>
    <row r="17" spans="1:4" ht="15.95" customHeight="1" x14ac:dyDescent="0.25">
      <c r="A17" s="3" t="s">
        <v>2</v>
      </c>
      <c r="B17" s="3" t="s">
        <v>3</v>
      </c>
      <c r="D17" s="5"/>
    </row>
    <row r="18" spans="1:4" x14ac:dyDescent="0.25">
      <c r="A18" t="str" cm="1">
        <f t="array" ref="A18:A24">IFERROR("კრიტერიუმი "&amp;_xlfn.SEQUENCE(B13),"")</f>
        <v>კრიტერიუმი 1</v>
      </c>
      <c r="B18" t="s">
        <v>34</v>
      </c>
      <c r="D18" s="5"/>
    </row>
    <row r="19" spans="1:4" x14ac:dyDescent="0.25">
      <c r="A19" t="str">
        <v>კრიტერიუმი 2</v>
      </c>
      <c r="B19" t="s">
        <v>17</v>
      </c>
    </row>
    <row r="20" spans="1:4" x14ac:dyDescent="0.25">
      <c r="A20" t="str">
        <v>კრიტერიუმი 3</v>
      </c>
      <c r="B20" t="s">
        <v>22</v>
      </c>
    </row>
    <row r="21" spans="1:4" x14ac:dyDescent="0.25">
      <c r="A21" t="str">
        <v>კრიტერიუმი 4</v>
      </c>
      <c r="B21" t="s">
        <v>18</v>
      </c>
    </row>
    <row r="22" spans="1:4" x14ac:dyDescent="0.25">
      <c r="A22" t="str">
        <v>კრიტერიუმი 5</v>
      </c>
      <c r="B22" t="s">
        <v>19</v>
      </c>
    </row>
    <row r="23" spans="1:4" x14ac:dyDescent="0.25">
      <c r="A23" t="str">
        <v>კრიტერიუმი 6</v>
      </c>
      <c r="B23" t="s">
        <v>20</v>
      </c>
    </row>
    <row r="24" spans="1:4" x14ac:dyDescent="0.25">
      <c r="A24" t="str">
        <v>კრიტერიუმი 7</v>
      </c>
      <c r="B24" t="s">
        <v>21</v>
      </c>
    </row>
  </sheetData>
  <phoneticPr fontId="3" type="noConversion"/>
  <conditionalFormatting sqref="A18:B27">
    <cfRule type="expression" dxfId="29" priority="2">
      <formula>$A18&lt;&gt;""</formula>
    </cfRule>
  </conditionalFormatting>
  <conditionalFormatting sqref="B18:B27">
    <cfRule type="expression" dxfId="28" priority="1">
      <formula>$A18&lt;&gt;""</formula>
    </cfRule>
  </conditionalFormatting>
  <dataValidations count="2">
    <dataValidation type="list" allowBlank="1" showInputMessage="1" showErrorMessage="1" sqref="B14" xr:uid="{5617E294-BF0A-1847-BCD5-D855986F11C7}">
      <formula1>"1,2,3,4,5,6"</formula1>
    </dataValidation>
    <dataValidation type="list" allowBlank="1" showInputMessage="1" showErrorMessage="1" sqref="B13" xr:uid="{B2D2E396-78AD-9A46-972F-A32E7AFE8794}">
      <formula1>"1,2,3,4,5,6,7,8,9,10"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8534B-65B6-1840-9C5F-09EBABCA4C23}">
  <sheetPr>
    <tabColor theme="3" tint="0.89999084444715716"/>
  </sheetPr>
  <dimension ref="A1:L47"/>
  <sheetViews>
    <sheetView topLeftCell="A2" zoomScaleNormal="100" workbookViewId="0">
      <pane ySplit="1" topLeftCell="A3" activePane="bottomLeft" state="frozen"/>
      <selection activeCell="A2" sqref="A2"/>
      <selection pane="bottomLeft" activeCell="A2" sqref="A2"/>
    </sheetView>
  </sheetViews>
  <sheetFormatPr defaultColWidth="11" defaultRowHeight="15.75" x14ac:dyDescent="0.25"/>
  <cols>
    <col min="1" max="1" width="58.875" customWidth="1"/>
    <col min="2" max="10" width="3.375" customWidth="1"/>
    <col min="11" max="11" width="58.875" customWidth="1"/>
    <col min="12" max="12" width="0.125" hidden="1" customWidth="1"/>
  </cols>
  <sheetData>
    <row r="1" spans="1:12" hidden="1" x14ac:dyDescent="0.25">
      <c r="A1" s="9"/>
      <c r="B1" s="9">
        <v>5</v>
      </c>
      <c r="C1" s="9">
        <v>4</v>
      </c>
      <c r="D1" s="9">
        <v>3</v>
      </c>
      <c r="E1" s="9">
        <v>2</v>
      </c>
      <c r="F1" s="9">
        <v>1</v>
      </c>
      <c r="G1" s="9">
        <f>1/2</f>
        <v>0.5</v>
      </c>
      <c r="H1" s="9">
        <f>1/3</f>
        <v>0.33333333333333331</v>
      </c>
      <c r="I1" s="9">
        <f>1/4</f>
        <v>0.25</v>
      </c>
      <c r="J1" s="9">
        <f>1/5</f>
        <v>0.2</v>
      </c>
      <c r="K1" s="9"/>
      <c r="L1" s="10"/>
    </row>
    <row r="2" spans="1:12" x14ac:dyDescent="0.25">
      <c r="A2" s="1" t="s">
        <v>4</v>
      </c>
      <c r="B2" s="13" t="s">
        <v>5</v>
      </c>
      <c r="C2" s="13" t="s">
        <v>6</v>
      </c>
      <c r="D2" s="13" t="s">
        <v>7</v>
      </c>
      <c r="E2" s="14" t="s">
        <v>8</v>
      </c>
      <c r="F2" s="14">
        <v>1</v>
      </c>
      <c r="G2" s="14" t="s">
        <v>9</v>
      </c>
      <c r="H2" s="14" t="s">
        <v>10</v>
      </c>
      <c r="I2" s="14" t="s">
        <v>11</v>
      </c>
      <c r="J2" s="14" t="s">
        <v>12</v>
      </c>
      <c r="K2" s="1" t="s">
        <v>4</v>
      </c>
      <c r="L2" s="11"/>
    </row>
    <row r="3" spans="1:12" x14ac:dyDescent="0.25">
      <c r="A3" t="str" cm="1">
        <f t="array" ref="A3:A24">_xlfn.TEXTSPLIT(_xlfn.TEXTJOIN(,TRUE,REPT('საწყისი ეტაპი'!A18:A27&amp;" - "&amp;'საწყისი ეტაპი'!B18:B27&amp;"|",_xlfn.VSTACK(_xlfn.SEQUENCE('საწყისი ეტაპი'!B13-1,,'საწყისი ეტაპი'!B13-1,-1),_xlfn.SEQUENCE(10-('საწყისი ეტაპი'!B13-1),,0,0)))),,"|")</f>
        <v>კრიტერიუმი 1 - წმინდა დაყვანილი ღირებულება (მლნ ლარი)</v>
      </c>
      <c r="B3" s="15"/>
      <c r="C3" s="15"/>
      <c r="D3" s="15"/>
      <c r="E3" s="15"/>
      <c r="F3" s="15"/>
      <c r="G3" s="15" t="s">
        <v>13</v>
      </c>
      <c r="H3" s="15"/>
      <c r="I3" s="15"/>
      <c r="J3" s="15"/>
      <c r="K3" t="str" cm="1">
        <f t="array" ref="K3:K23">_xlfn.TEXTSPLIT(_xlfn.TEXTJOIN("|",TRUE,ქულები!A3:A11,ქულები!A4:A11,ქულები!A5:A11,ქულები!A6:A11,ქულები!A7:A11,ქულები!A8:A11,ქულები!A9:A11,ქულები!A10:A11,ქულები!A11),,"|")</f>
        <v>კრიტერიუმი 2 - ენერგოეფექტურობა</v>
      </c>
      <c r="L3" s="12">
        <f>_xlfn.IFNA(INDEX($B$1:$J$1,MATCH("✓",B3:J3,0)),"")</f>
        <v>0.5</v>
      </c>
    </row>
    <row r="4" spans="1:12" x14ac:dyDescent="0.25">
      <c r="A4" t="str">
        <v>კრიტერიუმი 1 - წმინდა დაყვანილი ღირებულება (მლნ ლარი)</v>
      </c>
      <c r="B4" s="15"/>
      <c r="C4" s="15"/>
      <c r="D4" s="15"/>
      <c r="E4" s="15"/>
      <c r="F4" s="15"/>
      <c r="G4" s="15"/>
      <c r="H4" s="15" t="s">
        <v>13</v>
      </c>
      <c r="I4" s="15"/>
      <c r="J4" s="15"/>
      <c r="K4" t="str">
        <v>კრიტერიუმი 3 - ჯანმრთელობის რისკის შემცირება</v>
      </c>
      <c r="L4" s="12">
        <f t="shared" ref="L4:L47" si="0">_xlfn.IFNA(INDEX($B$1:$J$1,MATCH("✓",B4:J4,0)),"")</f>
        <v>0.33333333333333331</v>
      </c>
    </row>
    <row r="5" spans="1:12" x14ac:dyDescent="0.25">
      <c r="A5" t="str">
        <v>კრიტერიუმი 1 - წმინდა დაყვანილი ღირებულება (მლნ ლარი)</v>
      </c>
      <c r="B5" s="15"/>
      <c r="C5" s="15"/>
      <c r="D5" s="15"/>
      <c r="E5" s="15"/>
      <c r="F5" s="15"/>
      <c r="G5" s="15" t="s">
        <v>13</v>
      </c>
      <c r="H5" s="15"/>
      <c r="I5" s="15"/>
      <c r="J5" s="15"/>
      <c r="K5" t="str">
        <v>კრიტერიუმი 4 - ტყეების გაჩეხვის შემცირება</v>
      </c>
      <c r="L5" s="12">
        <f t="shared" si="0"/>
        <v>0.5</v>
      </c>
    </row>
    <row r="6" spans="1:12" x14ac:dyDescent="0.25">
      <c r="A6" t="str">
        <v>კრიტერიუმი 1 - წმინდა დაყვანილი ღირებულება (მლნ ლარი)</v>
      </c>
      <c r="B6" s="15"/>
      <c r="C6" s="15"/>
      <c r="D6" s="15"/>
      <c r="E6" s="15"/>
      <c r="F6" s="15"/>
      <c r="G6" s="15" t="s">
        <v>13</v>
      </c>
      <c r="H6" s="15"/>
      <c r="I6" s="15"/>
      <c r="J6" s="15"/>
      <c r="K6" t="str">
        <v>კრიტერიუმი 5 - მიღწევადობა</v>
      </c>
      <c r="L6" s="12">
        <f t="shared" si="0"/>
        <v>0.5</v>
      </c>
    </row>
    <row r="7" spans="1:12" x14ac:dyDescent="0.25">
      <c r="A7" t="str">
        <v>კრიტერიუმი 1 - წმინდა დაყვანილი ღირებულება (მლნ ლარი)</v>
      </c>
      <c r="B7" s="15"/>
      <c r="C7" s="15"/>
      <c r="D7" s="15"/>
      <c r="E7" s="15" t="s">
        <v>13</v>
      </c>
      <c r="F7" s="15"/>
      <c r="G7" s="15"/>
      <c r="H7" s="15"/>
      <c r="I7" s="15"/>
      <c r="J7" s="15"/>
      <c r="K7" t="str">
        <v>კრიტერიუმი 6 - რისკები</v>
      </c>
      <c r="L7" s="12">
        <f t="shared" si="0"/>
        <v>2</v>
      </c>
    </row>
    <row r="8" spans="1:12" x14ac:dyDescent="0.25">
      <c r="A8" t="str">
        <v>კრიტერიუმი 1 - წმინდა დაყვანილი ღირებულება (მლნ ლარი)</v>
      </c>
      <c r="B8" s="15"/>
      <c r="C8" s="15"/>
      <c r="D8" s="15" t="s">
        <v>13</v>
      </c>
      <c r="E8" s="15"/>
      <c r="F8" s="15"/>
      <c r="G8" s="15"/>
      <c r="H8" s="15"/>
      <c r="I8" s="15"/>
      <c r="J8" s="15"/>
      <c r="K8" t="str">
        <v>კრიტერიუმი 7 - ბაზრის განვითარება</v>
      </c>
      <c r="L8" s="12">
        <f t="shared" si="0"/>
        <v>3</v>
      </c>
    </row>
    <row r="9" spans="1:12" x14ac:dyDescent="0.25">
      <c r="A9" t="str">
        <v>კრიტერიუმი 2 - ენერგოეფექტურობა</v>
      </c>
      <c r="B9" s="15"/>
      <c r="C9" s="15"/>
      <c r="D9" s="15"/>
      <c r="E9" s="15"/>
      <c r="F9" s="15"/>
      <c r="G9" s="15" t="s">
        <v>13</v>
      </c>
      <c r="H9" s="15"/>
      <c r="I9" s="15"/>
      <c r="J9" s="15"/>
      <c r="K9" t="str">
        <v>კრიტერიუმი 3 - ჯანმრთელობის რისკის შემცირება</v>
      </c>
      <c r="L9" s="12">
        <f t="shared" si="0"/>
        <v>0.5</v>
      </c>
    </row>
    <row r="10" spans="1:12" x14ac:dyDescent="0.25">
      <c r="A10" t="str">
        <v>კრიტერიუმი 2 - ენერგოეფექტურობა</v>
      </c>
      <c r="B10" s="15"/>
      <c r="C10" s="15"/>
      <c r="D10" s="15"/>
      <c r="E10" s="15" t="s">
        <v>13</v>
      </c>
      <c r="F10" s="15"/>
      <c r="G10" s="15"/>
      <c r="H10" s="15"/>
      <c r="I10" s="15"/>
      <c r="J10" s="15"/>
      <c r="K10" t="str">
        <v>კრიტერიუმი 4 - ტყეების გაჩეხვის შემცირება</v>
      </c>
      <c r="L10" s="12">
        <f t="shared" si="0"/>
        <v>2</v>
      </c>
    </row>
    <row r="11" spans="1:12" x14ac:dyDescent="0.25">
      <c r="A11" t="str">
        <v>კრიტერიუმი 2 - ენერგოეფექტურობა</v>
      </c>
      <c r="B11" s="15"/>
      <c r="C11" s="15"/>
      <c r="D11" s="15"/>
      <c r="E11" s="15"/>
      <c r="F11" s="15" t="s">
        <v>13</v>
      </c>
      <c r="G11" s="15"/>
      <c r="H11" s="15"/>
      <c r="I11" s="15"/>
      <c r="J11" s="15"/>
      <c r="K11" t="str">
        <v>კრიტერიუმი 5 - მიღწევადობა</v>
      </c>
      <c r="L11" s="12">
        <f t="shared" si="0"/>
        <v>1</v>
      </c>
    </row>
    <row r="12" spans="1:12" x14ac:dyDescent="0.25">
      <c r="A12" t="str">
        <v>კრიტერიუმი 2 - ენერგოეფექტურობა</v>
      </c>
      <c r="B12" s="15"/>
      <c r="C12" s="15"/>
      <c r="D12" s="15"/>
      <c r="E12" s="15" t="s">
        <v>13</v>
      </c>
      <c r="F12" s="15"/>
      <c r="G12" s="15"/>
      <c r="H12" s="15"/>
      <c r="I12" s="15"/>
      <c r="J12" s="15"/>
      <c r="K12" t="str">
        <v>კრიტერიუმი 6 - რისკები</v>
      </c>
      <c r="L12" s="12">
        <f t="shared" si="0"/>
        <v>2</v>
      </c>
    </row>
    <row r="13" spans="1:12" x14ac:dyDescent="0.25">
      <c r="A13" t="str">
        <v>კრიტერიუმი 2 - ენერგოეფექტურობა</v>
      </c>
      <c r="B13" s="15"/>
      <c r="C13" s="15"/>
      <c r="D13" s="15" t="s">
        <v>13</v>
      </c>
      <c r="E13" s="15"/>
      <c r="F13" s="15"/>
      <c r="G13" s="15"/>
      <c r="H13" s="15"/>
      <c r="I13" s="15"/>
      <c r="J13" s="15"/>
      <c r="K13" t="str">
        <v>კრიტერიუმი 7 - ბაზრის განვითარება</v>
      </c>
      <c r="L13" s="12">
        <f t="shared" si="0"/>
        <v>3</v>
      </c>
    </row>
    <row r="14" spans="1:12" x14ac:dyDescent="0.25">
      <c r="A14" t="str">
        <v>კრიტერიუმი 3 - ჯანმრთელობის რისკის შემცირება</v>
      </c>
      <c r="B14" s="15"/>
      <c r="C14" s="15"/>
      <c r="D14" s="15" t="s">
        <v>13</v>
      </c>
      <c r="E14" s="15"/>
      <c r="F14" s="15"/>
      <c r="G14" s="15"/>
      <c r="H14" s="15"/>
      <c r="I14" s="15"/>
      <c r="J14" s="15"/>
      <c r="K14" t="str">
        <v>კრიტერიუმი 4 - ტყეების გაჩეხვის შემცირება</v>
      </c>
      <c r="L14" s="12">
        <f t="shared" ref="L14:L27" si="1">_xlfn.IFNA(INDEX($B$1:$J$1,MATCH("✓",B14:J14,0)),"")</f>
        <v>3</v>
      </c>
    </row>
    <row r="15" spans="1:12" x14ac:dyDescent="0.25">
      <c r="A15" t="str">
        <v>კრიტერიუმი 3 - ჯანმრთელობის რისკის შემცირება</v>
      </c>
      <c r="B15" s="15"/>
      <c r="C15" s="15"/>
      <c r="D15" s="15"/>
      <c r="E15" s="15" t="s">
        <v>13</v>
      </c>
      <c r="F15" s="15"/>
      <c r="G15" s="15"/>
      <c r="H15" s="15"/>
      <c r="I15" s="15"/>
      <c r="J15" s="15"/>
      <c r="K15" t="str">
        <v>კრიტერიუმი 5 - მიღწევადობა</v>
      </c>
      <c r="L15" s="12">
        <f t="shared" si="1"/>
        <v>2</v>
      </c>
    </row>
    <row r="16" spans="1:12" x14ac:dyDescent="0.25">
      <c r="A16" t="str">
        <v>კრიტერიუმი 3 - ჯანმრთელობის რისკის შემცირება</v>
      </c>
      <c r="B16" s="15"/>
      <c r="C16" s="15"/>
      <c r="D16" s="15" t="s">
        <v>13</v>
      </c>
      <c r="E16" s="15"/>
      <c r="F16" s="15"/>
      <c r="G16" s="15"/>
      <c r="H16" s="15"/>
      <c r="I16" s="15"/>
      <c r="J16" s="15"/>
      <c r="K16" t="str">
        <v>კრიტერიუმი 6 - რისკები</v>
      </c>
      <c r="L16" s="12">
        <f t="shared" si="1"/>
        <v>3</v>
      </c>
    </row>
    <row r="17" spans="1:12" x14ac:dyDescent="0.25">
      <c r="A17" t="str">
        <v>კრიტერიუმი 3 - ჯანმრთელობის რისკის შემცირება</v>
      </c>
      <c r="B17" s="15"/>
      <c r="C17" s="15"/>
      <c r="D17" s="15" t="s">
        <v>13</v>
      </c>
      <c r="E17" s="15"/>
      <c r="F17" s="15"/>
      <c r="G17" s="15"/>
      <c r="H17" s="15"/>
      <c r="I17" s="15"/>
      <c r="J17" s="15"/>
      <c r="K17" t="str">
        <v>კრიტერიუმი 7 - ბაზრის განვითარება</v>
      </c>
      <c r="L17" s="12">
        <f t="shared" si="1"/>
        <v>3</v>
      </c>
    </row>
    <row r="18" spans="1:12" x14ac:dyDescent="0.25">
      <c r="A18" t="str">
        <v>კრიტერიუმი 4 - ტყეების გაჩეხვის შემცირება</v>
      </c>
      <c r="B18" s="15"/>
      <c r="C18" s="15"/>
      <c r="D18" s="15"/>
      <c r="E18" s="15" t="s">
        <v>13</v>
      </c>
      <c r="F18" s="15"/>
      <c r="G18" s="15"/>
      <c r="H18" s="15"/>
      <c r="I18" s="15"/>
      <c r="J18" s="15"/>
      <c r="K18" t="str">
        <v>კრიტერიუმი 5 - მიღწევადობა</v>
      </c>
      <c r="L18" s="12">
        <f t="shared" si="1"/>
        <v>2</v>
      </c>
    </row>
    <row r="19" spans="1:12" x14ac:dyDescent="0.25">
      <c r="A19" t="str">
        <v>კრიტერიუმი 4 - ტყეების გაჩეხვის შემცირება</v>
      </c>
      <c r="B19" s="15"/>
      <c r="C19" s="15"/>
      <c r="D19" s="15"/>
      <c r="E19" s="15" t="s">
        <v>13</v>
      </c>
      <c r="F19" s="15"/>
      <c r="G19" s="15"/>
      <c r="H19" s="15"/>
      <c r="I19" s="15"/>
      <c r="J19" s="15"/>
      <c r="K19" t="str">
        <v>კრიტერიუმი 6 - რისკები</v>
      </c>
      <c r="L19" s="12">
        <f t="shared" si="1"/>
        <v>2</v>
      </c>
    </row>
    <row r="20" spans="1:12" x14ac:dyDescent="0.25">
      <c r="A20" t="str">
        <v>კრიტერიუმი 4 - ტყეების გაჩეხვის შემცირება</v>
      </c>
      <c r="B20" s="15"/>
      <c r="C20" s="15"/>
      <c r="D20" s="15"/>
      <c r="E20" s="15" t="s">
        <v>13</v>
      </c>
      <c r="F20" s="15"/>
      <c r="G20" s="15"/>
      <c r="H20" s="15"/>
      <c r="I20" s="15"/>
      <c r="J20" s="15"/>
      <c r="K20" t="str">
        <v>კრიტერიუმი 7 - ბაზრის განვითარება</v>
      </c>
      <c r="L20" s="12">
        <f t="shared" si="1"/>
        <v>2</v>
      </c>
    </row>
    <row r="21" spans="1:12" x14ac:dyDescent="0.25">
      <c r="A21" t="str">
        <v>კრიტერიუმი 5 - მიღწევადობა</v>
      </c>
      <c r="B21" s="15"/>
      <c r="C21" s="15"/>
      <c r="D21" s="15"/>
      <c r="E21" s="15" t="s">
        <v>13</v>
      </c>
      <c r="F21" s="15"/>
      <c r="G21" s="15"/>
      <c r="H21" s="15"/>
      <c r="I21" s="15"/>
      <c r="J21" s="15"/>
      <c r="K21" t="str">
        <v>კრიტერიუმი 6 - რისკები</v>
      </c>
      <c r="L21" s="12">
        <f t="shared" si="1"/>
        <v>2</v>
      </c>
    </row>
    <row r="22" spans="1:12" x14ac:dyDescent="0.25">
      <c r="A22" t="str">
        <v>კრიტერიუმი 5 - მიღწევადობა</v>
      </c>
      <c r="B22" s="15"/>
      <c r="C22" s="15"/>
      <c r="D22" s="15"/>
      <c r="E22" s="15" t="s">
        <v>13</v>
      </c>
      <c r="F22" s="15"/>
      <c r="G22" s="15"/>
      <c r="H22" s="15"/>
      <c r="I22" s="15"/>
      <c r="J22" s="15"/>
      <c r="K22" t="str">
        <v>კრიტერიუმი 7 - ბაზრის განვითარება</v>
      </c>
      <c r="L22" s="12">
        <f t="shared" si="1"/>
        <v>2</v>
      </c>
    </row>
    <row r="23" spans="1:12" x14ac:dyDescent="0.25">
      <c r="A23" t="str">
        <v>კრიტერიუმი 6 - რისკები</v>
      </c>
      <c r="B23" s="15"/>
      <c r="C23" s="15"/>
      <c r="D23" s="15"/>
      <c r="E23" s="15"/>
      <c r="F23" s="15"/>
      <c r="G23" s="15" t="s">
        <v>13</v>
      </c>
      <c r="H23" s="15"/>
      <c r="I23" s="15"/>
      <c r="J23" s="15"/>
      <c r="K23" t="str">
        <v>კრიტერიუმი 7 - ბაზრის განვითარება</v>
      </c>
      <c r="L23" s="12">
        <f t="shared" si="1"/>
        <v>0.5</v>
      </c>
    </row>
    <row r="24" spans="1:12" x14ac:dyDescent="0.25">
      <c r="A24" t="str">
        <v/>
      </c>
      <c r="B24" s="15"/>
      <c r="C24" s="15"/>
      <c r="D24" s="15"/>
      <c r="E24" s="15"/>
      <c r="F24" s="15"/>
      <c r="G24" s="15"/>
      <c r="H24" s="15"/>
      <c r="I24" s="15"/>
      <c r="J24" s="15"/>
      <c r="L24" s="12" t="str">
        <f t="shared" si="1"/>
        <v/>
      </c>
    </row>
    <row r="25" spans="1:12" x14ac:dyDescent="0.25">
      <c r="B25" s="15"/>
      <c r="C25" s="15"/>
      <c r="D25" s="15"/>
      <c r="E25" s="15"/>
      <c r="F25" s="15"/>
      <c r="G25" s="15"/>
      <c r="H25" s="15"/>
      <c r="I25" s="15"/>
      <c r="J25" s="15"/>
      <c r="L25" s="12" t="str">
        <f t="shared" si="1"/>
        <v/>
      </c>
    </row>
    <row r="26" spans="1:12" x14ac:dyDescent="0.25">
      <c r="B26" s="15"/>
      <c r="C26" s="15"/>
      <c r="D26" s="15"/>
      <c r="E26" s="15"/>
      <c r="F26" s="15"/>
      <c r="G26" s="15"/>
      <c r="H26" s="15"/>
      <c r="I26" s="15"/>
      <c r="J26" s="15"/>
      <c r="L26" s="12" t="str">
        <f t="shared" si="1"/>
        <v/>
      </c>
    </row>
    <row r="27" spans="1:12" x14ac:dyDescent="0.25">
      <c r="B27" s="15"/>
      <c r="C27" s="15"/>
      <c r="D27" s="15"/>
      <c r="E27" s="15"/>
      <c r="F27" s="15"/>
      <c r="G27" s="15"/>
      <c r="H27" s="15"/>
      <c r="I27" s="15"/>
      <c r="J27" s="15"/>
      <c r="L27" s="12" t="str">
        <f t="shared" si="1"/>
        <v/>
      </c>
    </row>
    <row r="28" spans="1:12" x14ac:dyDescent="0.25">
      <c r="B28" s="15"/>
      <c r="C28" s="15"/>
      <c r="D28" s="15"/>
      <c r="E28" s="15"/>
      <c r="F28" s="15"/>
      <c r="G28" s="15"/>
      <c r="H28" s="15"/>
      <c r="I28" s="15"/>
      <c r="J28" s="15"/>
      <c r="L28" s="12" t="str">
        <f t="shared" si="0"/>
        <v/>
      </c>
    </row>
    <row r="29" spans="1:12" x14ac:dyDescent="0.25">
      <c r="B29" s="15"/>
      <c r="C29" s="15"/>
      <c r="D29" s="15"/>
      <c r="E29" s="15"/>
      <c r="F29" s="15"/>
      <c r="G29" s="15"/>
      <c r="H29" s="15"/>
      <c r="I29" s="15"/>
      <c r="J29" s="15"/>
      <c r="L29" s="12" t="str">
        <f t="shared" si="0"/>
        <v/>
      </c>
    </row>
    <row r="30" spans="1:12" x14ac:dyDescent="0.25">
      <c r="B30" s="15"/>
      <c r="C30" s="15"/>
      <c r="D30" s="15"/>
      <c r="E30" s="15"/>
      <c r="F30" s="15"/>
      <c r="G30" s="15"/>
      <c r="H30" s="15"/>
      <c r="I30" s="15"/>
      <c r="J30" s="15"/>
      <c r="L30" s="12" t="str">
        <f t="shared" si="0"/>
        <v/>
      </c>
    </row>
    <row r="31" spans="1:12" x14ac:dyDescent="0.25">
      <c r="B31" s="15"/>
      <c r="C31" s="15"/>
      <c r="D31" s="15"/>
      <c r="E31" s="15"/>
      <c r="F31" s="15"/>
      <c r="G31" s="15"/>
      <c r="H31" s="15"/>
      <c r="I31" s="15"/>
      <c r="J31" s="15" t="str">
        <f t="shared" ref="J31:J47" si="2">IF(H31="=",1,"")</f>
        <v/>
      </c>
      <c r="L31" s="12" t="str">
        <f t="shared" si="0"/>
        <v/>
      </c>
    </row>
    <row r="32" spans="1:12" x14ac:dyDescent="0.25">
      <c r="B32" s="15"/>
      <c r="C32" s="15"/>
      <c r="D32" s="15"/>
      <c r="E32" s="15"/>
      <c r="F32" s="15"/>
      <c r="G32" s="15"/>
      <c r="H32" s="15"/>
      <c r="I32" s="15"/>
      <c r="J32" s="15" t="str">
        <f t="shared" si="2"/>
        <v/>
      </c>
      <c r="L32" s="12" t="str">
        <f t="shared" si="0"/>
        <v/>
      </c>
    </row>
    <row r="33" spans="2:12" x14ac:dyDescent="0.25">
      <c r="B33" s="15"/>
      <c r="C33" s="15"/>
      <c r="D33" s="15"/>
      <c r="E33" s="15"/>
      <c r="F33" s="15"/>
      <c r="G33" s="15"/>
      <c r="H33" s="15"/>
      <c r="I33" s="15"/>
      <c r="J33" s="15" t="str">
        <f t="shared" si="2"/>
        <v/>
      </c>
      <c r="L33" s="12" t="str">
        <f t="shared" si="0"/>
        <v/>
      </c>
    </row>
    <row r="34" spans="2:12" x14ac:dyDescent="0.25">
      <c r="B34" s="15"/>
      <c r="C34" s="15"/>
      <c r="D34" s="15"/>
      <c r="E34" s="15"/>
      <c r="F34" s="15"/>
      <c r="G34" s="15"/>
      <c r="H34" s="15"/>
      <c r="I34" s="15"/>
      <c r="J34" s="15" t="str">
        <f t="shared" si="2"/>
        <v/>
      </c>
      <c r="L34" s="12" t="str">
        <f t="shared" si="0"/>
        <v/>
      </c>
    </row>
    <row r="35" spans="2:12" x14ac:dyDescent="0.25">
      <c r="B35" s="15"/>
      <c r="C35" s="15"/>
      <c r="D35" s="15"/>
      <c r="E35" s="15"/>
      <c r="F35" s="15"/>
      <c r="G35" s="15"/>
      <c r="H35" s="15"/>
      <c r="I35" s="15"/>
      <c r="J35" s="15" t="str">
        <f t="shared" si="2"/>
        <v/>
      </c>
      <c r="L35" s="12" t="str">
        <f t="shared" si="0"/>
        <v/>
      </c>
    </row>
    <row r="36" spans="2:12" x14ac:dyDescent="0.25">
      <c r="B36" s="15"/>
      <c r="C36" s="15"/>
      <c r="D36" s="15"/>
      <c r="E36" s="15"/>
      <c r="F36" s="15"/>
      <c r="G36" s="15"/>
      <c r="H36" s="15"/>
      <c r="I36" s="15"/>
      <c r="J36" s="15" t="str">
        <f t="shared" si="2"/>
        <v/>
      </c>
      <c r="L36" s="12" t="str">
        <f t="shared" si="0"/>
        <v/>
      </c>
    </row>
    <row r="37" spans="2:12" x14ac:dyDescent="0.25">
      <c r="B37" s="15"/>
      <c r="C37" s="15"/>
      <c r="D37" s="15"/>
      <c r="E37" s="15"/>
      <c r="F37" s="15"/>
      <c r="G37" s="15"/>
      <c r="H37" s="15"/>
      <c r="I37" s="15"/>
      <c r="J37" s="15" t="str">
        <f t="shared" si="2"/>
        <v/>
      </c>
      <c r="L37" s="12" t="str">
        <f t="shared" si="0"/>
        <v/>
      </c>
    </row>
    <row r="38" spans="2:12" x14ac:dyDescent="0.25">
      <c r="B38" s="15"/>
      <c r="C38" s="15"/>
      <c r="D38" s="15"/>
      <c r="E38" s="15"/>
      <c r="F38" s="15"/>
      <c r="G38" s="15"/>
      <c r="H38" s="15"/>
      <c r="I38" s="15"/>
      <c r="J38" s="15" t="str">
        <f t="shared" si="2"/>
        <v/>
      </c>
      <c r="L38" s="12" t="str">
        <f t="shared" si="0"/>
        <v/>
      </c>
    </row>
    <row r="39" spans="2:12" x14ac:dyDescent="0.25">
      <c r="B39" s="15"/>
      <c r="C39" s="15"/>
      <c r="D39" s="15"/>
      <c r="E39" s="15"/>
      <c r="F39" s="15"/>
      <c r="G39" s="15"/>
      <c r="H39" s="15"/>
      <c r="I39" s="15"/>
      <c r="J39" s="15" t="str">
        <f t="shared" si="2"/>
        <v/>
      </c>
      <c r="L39" s="12" t="str">
        <f t="shared" si="0"/>
        <v/>
      </c>
    </row>
    <row r="40" spans="2:12" x14ac:dyDescent="0.25">
      <c r="B40" s="15"/>
      <c r="C40" s="15"/>
      <c r="D40" s="15"/>
      <c r="E40" s="15"/>
      <c r="F40" s="15"/>
      <c r="G40" s="15"/>
      <c r="H40" s="15"/>
      <c r="I40" s="15"/>
      <c r="J40" s="15" t="str">
        <f t="shared" si="2"/>
        <v/>
      </c>
      <c r="L40" s="12" t="str">
        <f t="shared" si="0"/>
        <v/>
      </c>
    </row>
    <row r="41" spans="2:12" x14ac:dyDescent="0.25">
      <c r="B41" s="15"/>
      <c r="C41" s="15"/>
      <c r="D41" s="15"/>
      <c r="E41" s="15"/>
      <c r="F41" s="15"/>
      <c r="G41" s="15"/>
      <c r="H41" s="15"/>
      <c r="I41" s="15"/>
      <c r="J41" s="15" t="str">
        <f t="shared" si="2"/>
        <v/>
      </c>
      <c r="L41" s="12" t="str">
        <f t="shared" si="0"/>
        <v/>
      </c>
    </row>
    <row r="42" spans="2:12" x14ac:dyDescent="0.25">
      <c r="B42" s="15"/>
      <c r="C42" s="15"/>
      <c r="D42" s="15"/>
      <c r="E42" s="15"/>
      <c r="F42" s="15"/>
      <c r="G42" s="15"/>
      <c r="H42" s="15"/>
      <c r="I42" s="15"/>
      <c r="J42" s="15" t="str">
        <f t="shared" si="2"/>
        <v/>
      </c>
      <c r="L42" s="12" t="str">
        <f t="shared" si="0"/>
        <v/>
      </c>
    </row>
    <row r="43" spans="2:12" x14ac:dyDescent="0.25">
      <c r="B43" s="15"/>
      <c r="C43" s="15"/>
      <c r="D43" s="15"/>
      <c r="E43" s="15"/>
      <c r="F43" s="15"/>
      <c r="G43" s="15"/>
      <c r="H43" s="15"/>
      <c r="I43" s="15"/>
      <c r="J43" s="15" t="str">
        <f t="shared" si="2"/>
        <v/>
      </c>
      <c r="L43" s="12" t="str">
        <f t="shared" si="0"/>
        <v/>
      </c>
    </row>
    <row r="44" spans="2:12" x14ac:dyDescent="0.25">
      <c r="B44" s="15"/>
      <c r="C44" s="15"/>
      <c r="D44" s="15"/>
      <c r="E44" s="15"/>
      <c r="F44" s="15"/>
      <c r="G44" s="15"/>
      <c r="H44" s="15"/>
      <c r="I44" s="15"/>
      <c r="J44" s="15" t="str">
        <f t="shared" si="2"/>
        <v/>
      </c>
      <c r="L44" s="12" t="str">
        <f t="shared" si="0"/>
        <v/>
      </c>
    </row>
    <row r="45" spans="2:12" x14ac:dyDescent="0.25">
      <c r="B45" s="15"/>
      <c r="C45" s="15"/>
      <c r="D45" s="15"/>
      <c r="E45" s="15"/>
      <c r="F45" s="15"/>
      <c r="G45" s="15"/>
      <c r="H45" s="15"/>
      <c r="I45" s="15"/>
      <c r="J45" s="15" t="str">
        <f t="shared" si="2"/>
        <v/>
      </c>
      <c r="L45" s="12" t="str">
        <f t="shared" si="0"/>
        <v/>
      </c>
    </row>
    <row r="46" spans="2:12" x14ac:dyDescent="0.25">
      <c r="B46" s="15"/>
      <c r="C46" s="15"/>
      <c r="D46" s="15"/>
      <c r="E46" s="15"/>
      <c r="F46" s="15"/>
      <c r="G46" s="15"/>
      <c r="H46" s="15"/>
      <c r="I46" s="15"/>
      <c r="J46" s="15" t="str">
        <f t="shared" si="2"/>
        <v/>
      </c>
      <c r="L46" s="12" t="str">
        <f t="shared" si="0"/>
        <v/>
      </c>
    </row>
    <row r="47" spans="2:12" x14ac:dyDescent="0.25">
      <c r="B47" s="15"/>
      <c r="C47" s="15"/>
      <c r="D47" s="15"/>
      <c r="E47" s="15"/>
      <c r="F47" s="15"/>
      <c r="G47" s="15"/>
      <c r="H47" s="15"/>
      <c r="I47" s="15"/>
      <c r="J47" s="15" t="str">
        <f t="shared" si="2"/>
        <v/>
      </c>
      <c r="L47" s="12" t="str">
        <f t="shared" si="0"/>
        <v/>
      </c>
    </row>
  </sheetData>
  <conditionalFormatting sqref="A2:K47">
    <cfRule type="expression" dxfId="27" priority="1">
      <formula>$A2&lt;&gt;""</formula>
    </cfRule>
  </conditionalFormatting>
  <conditionalFormatting sqref="B3:J47">
    <cfRule type="expression" dxfId="26" priority="2">
      <formula>COUNTIF($B3:$J3,"✓")&gt;1</formula>
    </cfRule>
    <cfRule type="expression" dxfId="25" priority="4" stopIfTrue="1">
      <formula>$A3&lt;&gt;""</formula>
    </cfRule>
  </conditionalFormatting>
  <dataValidations count="1">
    <dataValidation type="list" allowBlank="1" showInputMessage="1" showErrorMessage="1" sqref="B3:J47" xr:uid="{342CB49E-1D4B-164F-8BA3-3CB3B5685890}">
      <formula1>"✓"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7405-87CE-574B-B76E-7E13034F00A9}">
  <sheetPr>
    <tabColor theme="3" tint="0.89999084444715716"/>
  </sheetPr>
  <dimension ref="A1:J11"/>
  <sheetViews>
    <sheetView zoomScale="150" zoomScaleNormal="150" workbookViewId="0">
      <selection activeCell="B2" sqref="B2"/>
    </sheetView>
  </sheetViews>
  <sheetFormatPr defaultColWidth="11" defaultRowHeight="15.75" x14ac:dyDescent="0.25"/>
  <cols>
    <col min="1" max="1" width="58.875" customWidth="1"/>
    <col min="2" max="7" width="15.875" customWidth="1"/>
    <col min="8" max="10" width="18.375" customWidth="1"/>
  </cols>
  <sheetData>
    <row r="1" spans="1:10" s="1" customFormat="1" x14ac:dyDescent="0.25">
      <c r="A1" s="1" t="s">
        <v>2</v>
      </c>
      <c r="B1" s="1" t="str" cm="1">
        <f t="array" ref="B1:D1">IFERROR(TRANSPOSE("ალტერნატივა "&amp;_xlfn.SEQUENCE('საწყისი ეტაპი'!B14)),"")</f>
        <v>ალტერნატივა 1</v>
      </c>
      <c r="C1" s="1" t="str">
        <v>ალტერნატივა 2</v>
      </c>
      <c r="D1" s="1" t="str">
        <v>ალტერნატივა 3</v>
      </c>
    </row>
    <row r="2" spans="1:10" x14ac:dyDescent="0.25">
      <c r="A2" t="str">
        <f>IF(ISBLANK('საწყისი ეტაპი'!A18),"",'საწყისი ეტაპი'!A18&amp;" - "&amp;'საწყისი ეტაპი'!B18)</f>
        <v>კრიტერიუმი 1 - წმინდა დაყვანილი ღირებულება (მლნ ლარი)</v>
      </c>
      <c r="B2" s="17">
        <v>23</v>
      </c>
      <c r="C2" s="17">
        <v>25</v>
      </c>
      <c r="D2" s="17">
        <v>46</v>
      </c>
      <c r="H2" s="6"/>
      <c r="I2" s="6"/>
      <c r="J2" s="6"/>
    </row>
    <row r="3" spans="1:10" x14ac:dyDescent="0.25">
      <c r="A3" t="str">
        <f>IF(ISBLANK('საწყისი ეტაპი'!A19),"",'საწყისი ეტაპი'!A19&amp;" - "&amp;'საწყისი ეტაპი'!B19)</f>
        <v>კრიტერიუმი 2 - ენერგოეფექტურობა</v>
      </c>
      <c r="B3" s="17">
        <v>1.5</v>
      </c>
      <c r="C3" s="17">
        <v>2</v>
      </c>
      <c r="D3" s="17">
        <v>2.5</v>
      </c>
      <c r="H3" s="6"/>
      <c r="I3" s="6"/>
      <c r="J3" s="6"/>
    </row>
    <row r="4" spans="1:10" x14ac:dyDescent="0.25">
      <c r="A4" t="str">
        <f>IF(ISBLANK('საწყისი ეტაპი'!A20),"",'საწყისი ეტაპი'!A20&amp;" - "&amp;'საწყისი ეტაპი'!B20)</f>
        <v>კრიტერიუმი 3 - ჯანმრთელობის რისკის შემცირება</v>
      </c>
      <c r="B4" s="17">
        <v>2</v>
      </c>
      <c r="C4" s="17">
        <v>1</v>
      </c>
      <c r="D4" s="17">
        <v>1.5</v>
      </c>
      <c r="H4" s="6"/>
      <c r="I4" s="6"/>
      <c r="J4" s="6"/>
    </row>
    <row r="5" spans="1:10" x14ac:dyDescent="0.25">
      <c r="A5" t="str">
        <f>IF(ISBLANK('საწყისი ეტაპი'!A21),"",'საწყისი ეტაპი'!A21&amp;" - "&amp;'საწყისი ეტაპი'!B21)</f>
        <v>კრიტერიუმი 4 - ტყეების გაჩეხვის შემცირება</v>
      </c>
      <c r="B5" s="17">
        <v>1.5</v>
      </c>
      <c r="C5" s="17">
        <v>2</v>
      </c>
      <c r="D5" s="17">
        <v>2</v>
      </c>
      <c r="H5" s="6"/>
      <c r="I5" s="6"/>
      <c r="J5" s="6"/>
    </row>
    <row r="6" spans="1:10" x14ac:dyDescent="0.25">
      <c r="A6" t="str">
        <f>IF(ISBLANK('საწყისი ეტაპი'!A22),"",'საწყისი ეტაპი'!A22&amp;" - "&amp;'საწყისი ეტაპი'!B22)</f>
        <v>კრიტერიუმი 5 - მიღწევადობა</v>
      </c>
      <c r="B6" s="17">
        <v>0.5</v>
      </c>
      <c r="C6" s="17">
        <v>1.5</v>
      </c>
      <c r="D6" s="17">
        <v>2</v>
      </c>
      <c r="H6" s="6"/>
      <c r="I6" s="6"/>
      <c r="J6" s="6"/>
    </row>
    <row r="7" spans="1:10" x14ac:dyDescent="0.25">
      <c r="A7" t="str">
        <f>IF(ISBLANK('საწყისი ეტაპი'!A23),"",'საწყისი ეტაპი'!A23&amp;" - "&amp;'საწყისი ეტაპი'!B23)</f>
        <v>კრიტერიუმი 6 - რისკები</v>
      </c>
      <c r="B7" s="17">
        <v>-3</v>
      </c>
      <c r="C7" s="17">
        <v>0.5</v>
      </c>
      <c r="D7" s="17">
        <v>-1</v>
      </c>
      <c r="H7" s="6"/>
      <c r="I7" s="6"/>
      <c r="J7" s="6"/>
    </row>
    <row r="8" spans="1:10" x14ac:dyDescent="0.25">
      <c r="A8" t="str">
        <f>IF(ISBLANK('საწყისი ეტაპი'!A24),"",'საწყისი ეტაპი'!A24&amp;" - "&amp;'საწყისი ეტაპი'!B24)</f>
        <v>კრიტერიუმი 7 - ბაზრის განვითარება</v>
      </c>
      <c r="B8" s="17">
        <v>1</v>
      </c>
      <c r="C8" s="17">
        <v>-1</v>
      </c>
      <c r="D8" s="17">
        <v>2</v>
      </c>
      <c r="H8" s="6"/>
      <c r="I8" s="6"/>
      <c r="J8" s="6"/>
    </row>
    <row r="9" spans="1:10" x14ac:dyDescent="0.25">
      <c r="A9" t="str">
        <f>IF(ISBLANK('საწყისი ეტაპი'!A25),"",'საწყისი ეტაპი'!A25&amp;" - "&amp;'საწყისი ეტაპი'!B25)</f>
        <v/>
      </c>
      <c r="B9" s="17"/>
      <c r="C9" s="17"/>
      <c r="D9" s="17"/>
      <c r="H9" s="7"/>
      <c r="I9" s="7"/>
      <c r="J9" s="7"/>
    </row>
    <row r="10" spans="1:10" x14ac:dyDescent="0.25">
      <c r="A10" t="str">
        <f>IF(ISBLANK('საწყისი ეტაპი'!A26),"",'საწყისი ეტაპი'!A26&amp;" - "&amp;'საწყისი ეტაპი'!B26)</f>
        <v/>
      </c>
      <c r="B10" s="17"/>
      <c r="C10" s="17"/>
      <c r="D10" s="17"/>
    </row>
    <row r="11" spans="1:10" x14ac:dyDescent="0.25">
      <c r="A11" t="str">
        <f>IF(ISBLANK('საწყისი ეტაპი'!A27),"",'საწყისი ეტაპი'!A27&amp;" - "&amp;'საწყისი ეტაპი'!B27)</f>
        <v/>
      </c>
      <c r="B11" s="17"/>
      <c r="C11" s="17"/>
      <c r="D11" s="17"/>
    </row>
  </sheetData>
  <conditionalFormatting sqref="A1:G11">
    <cfRule type="expression" dxfId="24" priority="2">
      <formula>AND($A1&lt;&gt;"",A$1&lt;&gt;"")</formula>
    </cfRule>
  </conditionalFormatting>
  <conditionalFormatting sqref="B2:G11">
    <cfRule type="expression" dxfId="23" priority="1" stopIfTrue="1">
      <formula>AND($A2&lt;&gt;"",B$1&lt;&gt;"")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87EAB-D097-6D47-8E01-3DE157767E15}">
  <sheetPr>
    <tabColor theme="9" tint="0.79998168889431442"/>
  </sheetPr>
  <dimension ref="A1:K29"/>
  <sheetViews>
    <sheetView zoomScale="110" zoomScaleNormal="110" workbookViewId="0">
      <selection activeCell="A11" sqref="A11:C11"/>
    </sheetView>
  </sheetViews>
  <sheetFormatPr defaultColWidth="11" defaultRowHeight="15.75" x14ac:dyDescent="0.25"/>
  <cols>
    <col min="1" max="10" width="20.875" customWidth="1"/>
  </cols>
  <sheetData>
    <row r="1" spans="1:11" x14ac:dyDescent="0.25">
      <c r="A1" s="25" t="s">
        <v>45</v>
      </c>
      <c r="B1" s="26"/>
      <c r="C1" s="26"/>
      <c r="D1" s="27"/>
      <c r="E1" s="27"/>
      <c r="F1" s="27"/>
      <c r="G1" s="27"/>
      <c r="H1" s="27"/>
      <c r="I1" s="27"/>
      <c r="J1" s="28"/>
    </row>
    <row r="3" spans="1:11" ht="30" customHeight="1" x14ac:dyDescent="0.25">
      <c r="A3" s="35" t="s">
        <v>14</v>
      </c>
      <c r="B3" s="36" t="s">
        <v>46</v>
      </c>
    </row>
    <row r="4" spans="1:11" x14ac:dyDescent="0.25">
      <c r="A4" t="str" cm="1">
        <f t="array" ref="A4:A6">"ალტერნატივა "&amp;_xlfn.SEQUENCE('საწყისი ეტაპი'!B14)</f>
        <v>ალტერნატივა 1</v>
      </c>
      <c r="B4" s="6">
        <f ca="1">IF(A4&lt;&gt;"",SUMPRODUCT(D12:D21,E12:E21),"")</f>
        <v>1.990499129309184</v>
      </c>
    </row>
    <row r="5" spans="1:11" x14ac:dyDescent="0.25">
      <c r="A5" t="str">
        <v>ალტერნატივა 2</v>
      </c>
      <c r="B5" s="6">
        <f ca="1">IF(A5&lt;&gt;"",SUMPRODUCT(D12:D21,F12:F21),"")</f>
        <v>2.0499251228545026</v>
      </c>
    </row>
    <row r="6" spans="1:11" x14ac:dyDescent="0.25">
      <c r="A6" t="str">
        <v>ალტერნატივა 3</v>
      </c>
      <c r="B6" s="6">
        <f ca="1">IF(A6&lt;&gt;"",SUMPRODUCT(D12:D21,G12:G21),"")</f>
        <v>3.1243486215842138</v>
      </c>
    </row>
    <row r="7" spans="1:11" x14ac:dyDescent="0.25">
      <c r="B7" s="6" t="str">
        <f>IF(A7&lt;&gt;"",SUMPRODUCT(D12:D21,H12:H21),"")</f>
        <v/>
      </c>
    </row>
    <row r="8" spans="1:11" x14ac:dyDescent="0.25">
      <c r="B8" s="6" t="str">
        <f>IF(A8&lt;&gt;"",SUMPRODUCT(D12:D21,I12:I21),"")</f>
        <v/>
      </c>
    </row>
    <row r="9" spans="1:11" x14ac:dyDescent="0.25">
      <c r="B9" s="6" t="str">
        <f>IF(A9&lt;&gt;"",SUMPRODUCT(D12:D21,J12:J21),"")</f>
        <v/>
      </c>
    </row>
    <row r="11" spans="1:11" x14ac:dyDescent="0.25">
      <c r="A11" s="40" t="str">
        <f>AHP!A14</f>
        <v>კრიტერიუმი</v>
      </c>
      <c r="B11" s="40"/>
      <c r="C11" s="40"/>
      <c r="D11" s="38" t="str">
        <f>AHP!B14</f>
        <v>წონა</v>
      </c>
      <c r="E11" s="33" t="str" cm="1">
        <f t="array" ref="E11:G11">TRANSPOSE("ალტერნატივა "&amp;_xlfn.SEQUENCE('საწყისი ეტაპი'!B14))</f>
        <v>ალტერნატივა 1</v>
      </c>
      <c r="F11" s="33" t="str">
        <v>ალტერნატივა 2</v>
      </c>
      <c r="G11" s="33" t="str">
        <v>ალტერნატივა 3</v>
      </c>
      <c r="H11" s="37"/>
      <c r="I11" s="33"/>
      <c r="J11" s="33"/>
    </row>
    <row r="12" spans="1:11" x14ac:dyDescent="0.25">
      <c r="A12" s="39" t="str">
        <f>AHP!A15</f>
        <v>კრიტერიუმი 1 - წმინდა დაყვანილი ღირებულება (მლნ ლარი)</v>
      </c>
      <c r="B12" s="39"/>
      <c r="C12" s="39"/>
      <c r="D12" s="30">
        <f ca="1">AHP!B15</f>
        <v>0.12239583333333333</v>
      </c>
      <c r="E12" s="33">
        <f>TOPSIS!B4</f>
        <v>2.0110550732501733</v>
      </c>
      <c r="F12" s="33">
        <f>TOPSIS!C4</f>
        <v>2.1859294274458403</v>
      </c>
      <c r="G12" s="33">
        <f>TOPSIS!D4</f>
        <v>4.0221101465003466</v>
      </c>
      <c r="H12" s="33" t="str">
        <f>TOPSIS!E4</f>
        <v/>
      </c>
      <c r="I12" s="33" t="str">
        <f>TOPSIS!F4</f>
        <v/>
      </c>
      <c r="J12" s="33" t="str">
        <f>TOPSIS!G4</f>
        <v/>
      </c>
    </row>
    <row r="13" spans="1:11" x14ac:dyDescent="0.25">
      <c r="A13" s="39" t="str">
        <f>AHP!A16</f>
        <v>კრიტერიუმი 2 - ენერგოეფექტურობა</v>
      </c>
      <c r="B13" s="39"/>
      <c r="C13" s="39"/>
      <c r="D13" s="30">
        <f ca="1">AHP!B16</f>
        <v>0.1796875</v>
      </c>
      <c r="E13" s="33">
        <f>TOPSIS!B5</f>
        <v>2.1213203435596424</v>
      </c>
      <c r="F13" s="33">
        <f>TOPSIS!C5</f>
        <v>2.8284271247461898</v>
      </c>
      <c r="G13" s="33">
        <f>TOPSIS!D5</f>
        <v>3.5355339059327373</v>
      </c>
      <c r="H13" s="33" t="str">
        <f>TOPSIS!E5</f>
        <v/>
      </c>
      <c r="I13" s="33" t="str">
        <f>TOPSIS!F5</f>
        <v/>
      </c>
      <c r="J13" s="33" t="str">
        <f>TOPSIS!G5</f>
        <v/>
      </c>
    </row>
    <row r="14" spans="1:11" x14ac:dyDescent="0.25">
      <c r="A14" s="39" t="str">
        <f>AHP!A17</f>
        <v>კრიტერიუმი 3 - ჯანმრთელობის რისკის შემცირება</v>
      </c>
      <c r="B14" s="39"/>
      <c r="C14" s="39"/>
      <c r="D14" s="30">
        <f ca="1">AHP!B17</f>
        <v>0.265625</v>
      </c>
      <c r="E14" s="33">
        <f>TOPSIS!B6</f>
        <v>3.7139067635410372</v>
      </c>
      <c r="F14" s="33">
        <f>TOPSIS!C6</f>
        <v>1.8569533817705186</v>
      </c>
      <c r="G14" s="33">
        <f>TOPSIS!D6</f>
        <v>2.7854300726557781</v>
      </c>
      <c r="H14" s="33" t="str">
        <f>TOPSIS!E6</f>
        <v/>
      </c>
      <c r="I14" s="33" t="str">
        <f>TOPSIS!F6</f>
        <v/>
      </c>
      <c r="J14" s="33" t="str">
        <f>TOPSIS!G6</f>
        <v/>
      </c>
      <c r="K14" s="33"/>
    </row>
    <row r="15" spans="1:11" x14ac:dyDescent="0.25">
      <c r="A15" s="39" t="str">
        <f>AHP!A18</f>
        <v>კრიტერიუმი 4 - ტყეების გაჩეხვის შემცირება</v>
      </c>
      <c r="B15" s="39"/>
      <c r="C15" s="39"/>
      <c r="D15" s="30">
        <f ca="1">AHP!B18</f>
        <v>0.15364583333333334</v>
      </c>
      <c r="E15" s="33">
        <f>TOPSIS!B7</f>
        <v>2.3426064283290908</v>
      </c>
      <c r="F15" s="33">
        <f>TOPSIS!C7</f>
        <v>3.1234752377721215</v>
      </c>
      <c r="G15" s="33">
        <f>TOPSIS!D7</f>
        <v>3.1234752377721215</v>
      </c>
      <c r="H15" s="33" t="str">
        <f>TOPSIS!E7</f>
        <v/>
      </c>
      <c r="I15" s="33" t="str">
        <f>TOPSIS!F7</f>
        <v/>
      </c>
      <c r="J15" s="33" t="str">
        <f>TOPSIS!G7</f>
        <v/>
      </c>
    </row>
    <row r="16" spans="1:11" x14ac:dyDescent="0.25">
      <c r="A16" s="39" t="str">
        <f>AHP!A19</f>
        <v>კრიტერიუმი 5 - მიღწევადობა</v>
      </c>
      <c r="B16" s="39"/>
      <c r="C16" s="39"/>
      <c r="D16" s="30">
        <f ca="1">AHP!B19</f>
        <v>0.140625</v>
      </c>
      <c r="E16" s="33">
        <f>TOPSIS!B8</f>
        <v>0.98058067569092022</v>
      </c>
      <c r="F16" s="33">
        <f>TOPSIS!C8</f>
        <v>2.9417420270727606</v>
      </c>
      <c r="G16" s="33">
        <f>TOPSIS!D8</f>
        <v>3.9223227027636809</v>
      </c>
      <c r="H16" s="33" t="str">
        <f>TOPSIS!E8</f>
        <v/>
      </c>
      <c r="I16" s="33" t="str">
        <f>TOPSIS!F8</f>
        <v/>
      </c>
      <c r="J16" s="33" t="str">
        <f>TOPSIS!G8</f>
        <v/>
      </c>
    </row>
    <row r="17" spans="1:10" x14ac:dyDescent="0.25">
      <c r="A17" s="39" t="str">
        <f>AHP!A20</f>
        <v>კრიტერიუმი 6 - რისკები</v>
      </c>
      <c r="B17" s="39"/>
      <c r="C17" s="39"/>
      <c r="D17" s="30">
        <f ca="1">AHP!B20</f>
        <v>5.9895833333333329E-2</v>
      </c>
      <c r="E17" s="33">
        <f>TOPSIS!B9</f>
        <v>-4.6852128566581817</v>
      </c>
      <c r="F17" s="33">
        <f>TOPSIS!C9</f>
        <v>0.78086880944303039</v>
      </c>
      <c r="G17" s="33">
        <f>TOPSIS!D9</f>
        <v>-1.5617376188860608</v>
      </c>
      <c r="H17" s="33" t="str">
        <f>TOPSIS!E9</f>
        <v/>
      </c>
      <c r="I17" s="33" t="str">
        <f>TOPSIS!F9</f>
        <v/>
      </c>
      <c r="J17" s="33" t="str">
        <f>TOPSIS!G9</f>
        <v/>
      </c>
    </row>
    <row r="18" spans="1:10" x14ac:dyDescent="0.25">
      <c r="A18" s="39" t="str">
        <f>AHP!A21</f>
        <v>კრიტერიუმი 7 - ბაზრის განვითარება</v>
      </c>
      <c r="B18" s="39"/>
      <c r="C18" s="39"/>
      <c r="D18" s="30">
        <f ca="1">AHP!B21</f>
        <v>7.8125E-2</v>
      </c>
      <c r="E18" s="33">
        <f>TOPSIS!B10</f>
        <v>2.0412414523193152</v>
      </c>
      <c r="F18" s="33">
        <f>TOPSIS!C10</f>
        <v>-2.0412414523193152</v>
      </c>
      <c r="G18" s="33">
        <f>TOPSIS!D10</f>
        <v>4.0824829046386304</v>
      </c>
      <c r="H18" s="33" t="str">
        <f>TOPSIS!E10</f>
        <v/>
      </c>
      <c r="I18" s="33" t="str">
        <f>TOPSIS!F10</f>
        <v/>
      </c>
      <c r="J18" s="33" t="str">
        <f>TOPSIS!G10</f>
        <v/>
      </c>
    </row>
    <row r="19" spans="1:10" x14ac:dyDescent="0.25">
      <c r="A19" s="39" t="str">
        <f>AHP!A22</f>
        <v/>
      </c>
      <c r="B19" s="39"/>
      <c r="C19" s="39"/>
      <c r="D19" s="30" t="str">
        <f>AHP!B22</f>
        <v/>
      </c>
      <c r="E19" s="33" t="str">
        <f>TOPSIS!B11</f>
        <v/>
      </c>
      <c r="F19" s="33" t="str">
        <f>TOPSIS!C11</f>
        <v/>
      </c>
      <c r="G19" s="33" t="str">
        <f>TOPSIS!D11</f>
        <v/>
      </c>
      <c r="H19" s="33" t="str">
        <f>TOPSIS!E11</f>
        <v/>
      </c>
      <c r="I19" s="33" t="str">
        <f>TOPSIS!F11</f>
        <v/>
      </c>
      <c r="J19" s="33" t="str">
        <f>TOPSIS!G11</f>
        <v/>
      </c>
    </row>
    <row r="20" spans="1:10" x14ac:dyDescent="0.25">
      <c r="A20" s="39" t="str">
        <f>AHP!A23</f>
        <v/>
      </c>
      <c r="B20" s="39"/>
      <c r="C20" s="39"/>
      <c r="D20" s="30" t="str">
        <f>AHP!B23</f>
        <v/>
      </c>
      <c r="E20" s="33" t="str">
        <f>TOPSIS!B12</f>
        <v/>
      </c>
      <c r="F20" s="33" t="str">
        <f>TOPSIS!C12</f>
        <v/>
      </c>
      <c r="G20" s="33" t="str">
        <f>TOPSIS!D12</f>
        <v/>
      </c>
      <c r="H20" s="33" t="str">
        <f>TOPSIS!E12</f>
        <v/>
      </c>
      <c r="I20" s="33" t="str">
        <f>TOPSIS!F12</f>
        <v/>
      </c>
      <c r="J20" s="33" t="str">
        <f>TOPSIS!G12</f>
        <v/>
      </c>
    </row>
    <row r="21" spans="1:10" x14ac:dyDescent="0.25">
      <c r="A21" s="39" t="str">
        <f>AHP!A24</f>
        <v/>
      </c>
      <c r="B21" s="39"/>
      <c r="C21" s="39"/>
      <c r="D21" s="30" t="str">
        <f>AHP!B24</f>
        <v/>
      </c>
      <c r="E21" s="33" t="str">
        <f>TOPSIS!B13</f>
        <v/>
      </c>
      <c r="F21" s="33" t="str">
        <f>TOPSIS!C13</f>
        <v/>
      </c>
      <c r="G21" s="33" t="str">
        <f>TOPSIS!D13</f>
        <v/>
      </c>
      <c r="H21" s="33" t="str">
        <f>TOPSIS!E13</f>
        <v/>
      </c>
      <c r="I21" s="33" t="str">
        <f>TOPSIS!F13</f>
        <v/>
      </c>
      <c r="J21" s="33" t="str">
        <f>TOPSIS!G13</f>
        <v/>
      </c>
    </row>
    <row r="22" spans="1:10" x14ac:dyDescent="0.25">
      <c r="B22" s="6" t="str">
        <f>TOPSIS!B77</f>
        <v/>
      </c>
      <c r="C22" s="6" t="str">
        <f>IF(A22&lt;&gt;"",SQRT(SUM(TOPSIS!E46:E55)),"")</f>
        <v/>
      </c>
      <c r="D22" s="6" t="str">
        <f>IF(A22&lt;&gt;"",SQRT(SUM(TOPSIS!E60:E69)),"")</f>
        <v/>
      </c>
    </row>
    <row r="23" spans="1:10" x14ac:dyDescent="0.25">
      <c r="B23" s="6" t="str">
        <f>TOPSIS!B78</f>
        <v/>
      </c>
      <c r="C23" s="6" t="str">
        <f>IF(A23&lt;&gt;"",SQRT(SUM(TOPSIS!F46:F55)),"")</f>
        <v/>
      </c>
      <c r="D23" s="6" t="str">
        <f>IF(A23&lt;&gt;"",SQRT(SUM(TOPSIS!F60:F69)),"")</f>
        <v/>
      </c>
    </row>
    <row r="24" spans="1:10" x14ac:dyDescent="0.25">
      <c r="A24" s="25" t="s">
        <v>44</v>
      </c>
      <c r="B24" s="26"/>
      <c r="C24" s="26"/>
      <c r="D24" s="27"/>
      <c r="E24" s="27"/>
      <c r="F24" s="27"/>
      <c r="G24" s="27"/>
      <c r="H24" s="27"/>
      <c r="I24" s="27"/>
      <c r="J24" s="28"/>
    </row>
    <row r="26" spans="1:10" ht="30" customHeight="1" x14ac:dyDescent="0.25">
      <c r="A26" s="31" t="s">
        <v>14</v>
      </c>
      <c r="B26" s="32" t="s">
        <v>16</v>
      </c>
      <c r="C26" s="32" t="s">
        <v>42</v>
      </c>
      <c r="D26" s="32" t="s">
        <v>43</v>
      </c>
    </row>
    <row r="27" spans="1:10" x14ac:dyDescent="0.25">
      <c r="A27" t="str" cm="1">
        <f t="array" ref="A27:A29">"ალტერნატივა "&amp;_xlfn.SEQUENCE('საწყისი ეტაპი'!B14)</f>
        <v>ალტერნატივა 1</v>
      </c>
      <c r="B27" s="6">
        <f ca="1">TOPSIS!B74</f>
        <v>0.46870923470678139</v>
      </c>
      <c r="C27" s="6">
        <f ca="1">IF(A27&lt;&gt;"",SQRT(SUM(TOPSIS!B46:B55)),"")</f>
        <v>0.66581476720607458</v>
      </c>
      <c r="D27" s="6">
        <f ca="1">IF(A27&lt;&gt;"",SQRT(SUM(TOPSIS!B60:B69)),"")</f>
        <v>0.58738745406463078</v>
      </c>
    </row>
    <row r="28" spans="1:10" x14ac:dyDescent="0.25">
      <c r="A28" t="str">
        <v>ალტერნატივა 2</v>
      </c>
      <c r="B28" s="6">
        <f ca="1">TOPSIS!B75</f>
        <v>0.38260960756098716</v>
      </c>
      <c r="C28" s="6">
        <f ca="1">IF(A28&lt;&gt;"",SQRT(SUM(TOPSIS!C46:C55)),"")</f>
        <v>0.74689199522741345</v>
      </c>
      <c r="D28" s="6">
        <f ca="1">IF(A28&lt;&gt;"",SQRT(SUM(TOPSIS!C60:C69)),"")</f>
        <v>0.46286443178273479</v>
      </c>
    </row>
    <row r="29" spans="1:10" x14ac:dyDescent="0.25">
      <c r="A29" t="str">
        <v>ალტერნატივა 3</v>
      </c>
      <c r="B29" s="6">
        <f ca="1">TOPSIS!B76</f>
        <v>0.73748163962721458</v>
      </c>
      <c r="C29" s="6">
        <f ca="1">IF(A29&lt;&gt;"",SQRT(SUM(TOPSIS!D46:D55)),"")</f>
        <v>0.28374680569208072</v>
      </c>
      <c r="D29" s="6">
        <f ca="1">IF(A29&lt;&gt;"",SQRT(SUM(TOPSIS!D60:D69)),"")</f>
        <v>0.79711780617411498</v>
      </c>
    </row>
  </sheetData>
  <mergeCells count="11">
    <mergeCell ref="A20:C20"/>
    <mergeCell ref="A21:C21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</mergeCells>
  <conditionalFormatting sqref="A3:B9">
    <cfRule type="expression" dxfId="22" priority="6">
      <formula>$A3&lt;&gt;""</formula>
    </cfRule>
  </conditionalFormatting>
  <conditionalFormatting sqref="A4:B9">
    <cfRule type="expression" dxfId="21" priority="5">
      <formula>$B4=MAX($B$4:$B$9)</formula>
    </cfRule>
  </conditionalFormatting>
  <conditionalFormatting sqref="A26:D32">
    <cfRule type="expression" dxfId="20" priority="18">
      <formula>$A26&lt;&gt;""</formula>
    </cfRule>
  </conditionalFormatting>
  <conditionalFormatting sqref="A27:D32">
    <cfRule type="expression" dxfId="19" priority="17">
      <formula>$B27=MAX($B$27:$B$32)</formula>
    </cfRule>
  </conditionalFormatting>
  <conditionalFormatting sqref="A11:J21">
    <cfRule type="expression" dxfId="18" priority="2">
      <formula>AND($A11&lt;&gt;"",A$11&lt;&gt;"")</formula>
    </cfRule>
  </conditionalFormatting>
  <conditionalFormatting sqref="E11:J11">
    <cfRule type="notContainsBlanks" dxfId="17" priority="1">
      <formula>LEN(TRIM(E11))&gt;0</formula>
    </cfRule>
  </conditionalFormatting>
  <conditionalFormatting sqref="E26:XFD29">
    <cfRule type="expression" dxfId="16" priority="24">
      <formula>#REF!=MAX($B:$B)</formula>
    </cfRule>
    <cfRule type="expression" dxfId="15" priority="26" stopIfTrue="1">
      <formula>#REF!&lt;&gt;""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72E23-D77D-C44B-8EFF-AC7AB0C32C79}">
  <sheetPr>
    <tabColor theme="8" tint="0.79998168889431442"/>
  </sheetPr>
  <dimension ref="A1:M24"/>
  <sheetViews>
    <sheetView zoomScale="90" zoomScaleNormal="90" workbookViewId="0">
      <selection activeCell="B15" sqref="B15"/>
    </sheetView>
  </sheetViews>
  <sheetFormatPr defaultColWidth="11" defaultRowHeight="15.75" x14ac:dyDescent="0.25"/>
  <cols>
    <col min="1" max="1" width="56.875" customWidth="1"/>
    <col min="2" max="2" width="14.125" customWidth="1"/>
    <col min="3" max="3" width="14" customWidth="1"/>
    <col min="4" max="5" width="14.125" customWidth="1"/>
    <col min="6" max="6" width="14" customWidth="1"/>
    <col min="7" max="7" width="14.125" customWidth="1"/>
    <col min="8" max="11" width="13.875" customWidth="1"/>
  </cols>
  <sheetData>
    <row r="1" spans="1:13" x14ac:dyDescent="0.25">
      <c r="A1" s="1" t="s">
        <v>25</v>
      </c>
      <c r="B1" t="str" cm="1">
        <f t="array" ref="B1:K1">TRANSPOSE(A2:A11)</f>
        <v>კრიტერიუმი 1 - წმინდა დაყვანილი ღირებულება (მლნ ლარი)</v>
      </c>
      <c r="C1" t="str">
        <v>კრიტერიუმი 2 - ენერგოეფექტურობა</v>
      </c>
      <c r="D1" t="str">
        <v>კრიტერიუმი 3 - ჯანმრთელობის რისკის შემცირება</v>
      </c>
      <c r="E1" t="str">
        <v>კრიტერიუმი 4 - ტყეების გაჩეხვის შემცირება</v>
      </c>
      <c r="F1" t="str">
        <v>კრიტერიუმი 5 - მიღწევადობა</v>
      </c>
      <c r="G1" t="str">
        <v>კრიტერიუმი 6 - რისკები</v>
      </c>
      <c r="H1" t="str">
        <v>კრიტერიუმი 7 - ბაზრის განვითარება</v>
      </c>
      <c r="I1" t="str">
        <v/>
      </c>
      <c r="J1" t="str">
        <v/>
      </c>
      <c r="K1" t="str">
        <v/>
      </c>
    </row>
    <row r="2" spans="1:13" x14ac:dyDescent="0.25">
      <c r="A2" t="str">
        <f>ქულები!A2</f>
        <v>კრიტერიუმი 1 - წმინდა დაყვანილი ღირებულება (მლნ ლარი)</v>
      </c>
      <c r="B2" s="19">
        <f>IF(B$1&lt;&gt;"",1,"")</f>
        <v>1</v>
      </c>
      <c r="C2" s="19">
        <f>_xlfn.IFNA(IF(IF(C$1&lt;&gt;"",SUMIFS(წონები!$L:$L,წონები!$A:$A,AHP!$A2,წონები!$K:$K,AHP!C$1),"")&lt;&gt;0,IF(C$1&lt;&gt;"",SUMIFS(წონები!$L:$L,წონები!$A:$A,AHP!$A2,წონები!$K:$K,AHP!C$1),""),""),"")</f>
        <v>0.5</v>
      </c>
      <c r="D2" s="19">
        <f>_xlfn.IFNA(IF(IF(D$1&lt;&gt;"",SUMIFS(წონები!$L:$L,წონები!$A:$A,AHP!$A2,წონები!$K:$K,AHP!D$1),"")&lt;&gt;0,IF(D$1&lt;&gt;"",SUMIFS(წონები!$L:$L,წონები!$A:$A,AHP!$A2,წონები!$K:$K,AHP!D$1),""),""),"")</f>
        <v>0.33333333333333331</v>
      </c>
      <c r="E2" s="19">
        <f>_xlfn.IFNA(IF(IF(E$1&lt;&gt;"",SUMIFS(წონები!$L:$L,წონები!$A:$A,AHP!$A2,წონები!$K:$K,AHP!E$1),"")&lt;&gt;0,IF(E$1&lt;&gt;"",SUMIFS(წონები!$L:$L,წონები!$A:$A,AHP!$A2,წონები!$K:$K,AHP!E$1),""),""),"")</f>
        <v>0.5</v>
      </c>
      <c r="F2" s="19">
        <f>_xlfn.IFNA(IF(IF(F$1&lt;&gt;"",SUMIFS(წონები!$L:$L,წონები!$A:$A,AHP!$A2,წონები!$K:$K,AHP!F$1),"")&lt;&gt;0,IF(F$1&lt;&gt;"",SUMIFS(წონები!$L:$L,წონები!$A:$A,AHP!$A2,წონები!$K:$K,AHP!F$1),""),""),"")</f>
        <v>0.5</v>
      </c>
      <c r="G2" s="19">
        <f>_xlfn.IFNA(IF(IF(G$1&lt;&gt;"",SUMIFS(წონები!$L:$L,წონები!$A:$A,AHP!$A2,წონები!$K:$K,AHP!G$1),"")&lt;&gt;0,IF(G$1&lt;&gt;"",SUMIFS(წონები!$L:$L,წონები!$A:$A,AHP!$A2,წონები!$K:$K,AHP!G$1),""),""),"")</f>
        <v>2</v>
      </c>
      <c r="H2" s="19">
        <f>_xlfn.IFNA(IF(IF(H$1&lt;&gt;"",SUMIFS(წონები!$L:$L,წონები!$A:$A,AHP!$A2,წონები!$K:$K,AHP!H$1),"")&lt;&gt;0,IF(H$1&lt;&gt;"",SUMIFS(წონები!$L:$L,წონები!$A:$A,AHP!$A2,წონები!$K:$K,AHP!H$1),""),""),"")</f>
        <v>3</v>
      </c>
      <c r="I2" s="19" t="str">
        <f>_xlfn.IFNA(IF(IF(I$1&lt;&gt;"",SUMIFS(წონები!$L:$L,წონები!$A:$A,AHP!$A2,წონები!$K:$K,AHP!I$1),"")&lt;&gt;0,IF(I$1&lt;&gt;"",SUMIFS(წონები!$L:$L,წონები!$A:$A,AHP!$A2,წონები!$K:$K,AHP!I$1),""),""),"")</f>
        <v/>
      </c>
      <c r="J2" s="19" t="str">
        <f>_xlfn.IFNA(IF(IF(J$1&lt;&gt;"",SUMIFS(წონები!$L:$L,წონები!$A:$A,AHP!$A2,წონები!$K:$K,AHP!J$1),"")&lt;&gt;0,IF(J$1&lt;&gt;"",SUMIFS(წონები!$L:$L,წონები!$A:$A,AHP!$A2,წონები!$K:$K,AHP!J$1),""),""),"")</f>
        <v/>
      </c>
      <c r="K2" s="19" t="str">
        <f>_xlfn.IFNA(IF(IF(K$1&lt;&gt;"",SUMIFS(წონები!$L:$L,წონები!$A:$A,AHP!$A2,წონები!$K:$K,AHP!K$1),"")&lt;&gt;0,IF(K$1&lt;&gt;"",SUMIFS(წონები!$L:$L,წონები!$A:$A,AHP!$A2,წონები!$K:$K,AHP!K$1),""),""),"")</f>
        <v/>
      </c>
      <c r="M2" s="18"/>
    </row>
    <row r="3" spans="1:13" x14ac:dyDescent="0.25">
      <c r="A3" t="str">
        <f>ქულები!A3</f>
        <v>კრიტერიუმი 2 - ენერგოეფექტურობა</v>
      </c>
      <c r="B3" s="19" cm="1">
        <f t="array" aca="1" ref="B3" ca="1">IFERROR(IF($A3&lt;&gt;"",1/INDIRECT(CHAR(64+ROW())&amp;COLUMN()),""),"")</f>
        <v>2</v>
      </c>
      <c r="C3" s="19">
        <f>IF(C$1&lt;&gt;"",1,"")</f>
        <v>1</v>
      </c>
      <c r="D3" s="19">
        <f>_xlfn.IFNA(IF(IF(D$1&lt;&gt;"",SUMIFS(წონები!$L:$L,წონები!$A:$A,AHP!$A3,წონები!$K:$K,AHP!D$1),"")&lt;&gt;0,IF(D$1&lt;&gt;"",SUMIFS(წონები!$L:$L,წონები!$A:$A,AHP!$A3,წონები!$K:$K,AHP!D$1),""),""),"")</f>
        <v>0.5</v>
      </c>
      <c r="E3" s="19">
        <f>_xlfn.IFNA(IF(IF(E$1&lt;&gt;"",SUMIFS(წონები!$L:$L,წონები!$A:$A,AHP!$A3,წონები!$K:$K,AHP!E$1),"")&lt;&gt;0,IF(E$1&lt;&gt;"",SUMIFS(წონები!$L:$L,წონები!$A:$A,AHP!$A3,წონები!$K:$K,AHP!E$1),""),""),"")</f>
        <v>2</v>
      </c>
      <c r="F3" s="19">
        <f>_xlfn.IFNA(IF(IF(F$1&lt;&gt;"",SUMIFS(წონები!$L:$L,წონები!$A:$A,AHP!$A3,წონები!$K:$K,AHP!F$1),"")&lt;&gt;0,IF(F$1&lt;&gt;"",SUMIFS(წონები!$L:$L,წონები!$A:$A,AHP!$A3,წონები!$K:$K,AHP!F$1),""),""),"")</f>
        <v>1</v>
      </c>
      <c r="G3" s="19">
        <f>_xlfn.IFNA(IF(IF(G$1&lt;&gt;"",SUMIFS(წონები!$L:$L,წონები!$A:$A,AHP!$A3,წონები!$K:$K,AHP!G$1),"")&lt;&gt;0,IF(G$1&lt;&gt;"",SUMIFS(წონები!$L:$L,წონები!$A:$A,AHP!$A3,წონები!$K:$K,AHP!G$1),""),""),"")</f>
        <v>2</v>
      </c>
      <c r="H3" s="19">
        <f>_xlfn.IFNA(IF(IF(H$1&lt;&gt;"",SUMIFS(წონები!$L:$L,წონები!$A:$A,AHP!$A3,წონები!$K:$K,AHP!H$1),"")&lt;&gt;0,IF(H$1&lt;&gt;"",SUMIFS(წონები!$L:$L,წონები!$A:$A,AHP!$A3,წონები!$K:$K,AHP!H$1),""),""),"")</f>
        <v>3</v>
      </c>
      <c r="I3" s="19" t="str">
        <f>_xlfn.IFNA(IF(IF(I$1&lt;&gt;"",SUMIFS(წონები!$L:$L,წონები!$A:$A,AHP!$A3,წონები!$K:$K,AHP!I$1),"")&lt;&gt;0,IF(I$1&lt;&gt;"",SUMIFS(წონები!$L:$L,წონები!$A:$A,AHP!$A3,წონები!$K:$K,AHP!I$1),""),""),"")</f>
        <v/>
      </c>
      <c r="J3" s="19" t="str">
        <f>_xlfn.IFNA(IF(IF(J$1&lt;&gt;"",SUMIFS(წონები!$L:$L,წონები!$A:$A,AHP!$A3,წონები!$K:$K,AHP!J$1),"")&lt;&gt;0,IF(J$1&lt;&gt;"",SUMIFS(წონები!$L:$L,წონები!$A:$A,AHP!$A3,წონები!$K:$K,AHP!J$1),""),""),"")</f>
        <v/>
      </c>
      <c r="K3" s="19" t="str">
        <f>_xlfn.IFNA(IF(IF(K$1&lt;&gt;"",SUMIFS(წონები!$L:$L,წონები!$A:$A,AHP!$A3,წონები!$K:$K,AHP!K$1),"")&lt;&gt;0,IF(K$1&lt;&gt;"",SUMIFS(წონები!$L:$L,წონები!$A:$A,AHP!$A3,წონები!$K:$K,AHP!K$1),""),""),"")</f>
        <v/>
      </c>
      <c r="M3" s="18"/>
    </row>
    <row r="4" spans="1:13" x14ac:dyDescent="0.25">
      <c r="A4" t="str">
        <f>ქულები!A4</f>
        <v>კრიტერიუმი 3 - ჯანმრთელობის რისკის შემცირება</v>
      </c>
      <c r="B4" s="19" cm="1">
        <f t="array" aca="1" ref="B4" ca="1">IFERROR(IF($A4&lt;&gt;"",1/INDIRECT(CHAR(64+ROW())&amp;COLUMN()),""),"")</f>
        <v>3</v>
      </c>
      <c r="C4" s="19" cm="1">
        <f t="array" aca="1" ref="C4" ca="1">IFERROR(IF($A4&lt;&gt;"",1/INDIRECT(CHAR(64+ROW())&amp;COLUMN()),""),"")</f>
        <v>2</v>
      </c>
      <c r="D4" s="19">
        <f>IF(D$1&lt;&gt;"",1,"")</f>
        <v>1</v>
      </c>
      <c r="E4" s="19">
        <f>_xlfn.IFNA(IF(IF(E$1&lt;&gt;"",SUMIFS(წონები!$L:$L,წონები!$A:$A,AHP!$A4,წონები!$K:$K,AHP!E$1),"")&lt;&gt;0,IF(E$1&lt;&gt;"",SUMIFS(წონები!$L:$L,წონები!$A:$A,AHP!$A4,წონები!$K:$K,AHP!E$1),""),""),"")</f>
        <v>3</v>
      </c>
      <c r="F4" s="19">
        <f>_xlfn.IFNA(IF(IF(F$1&lt;&gt;"",SUMIFS(წონები!$L:$L,წონები!$A:$A,AHP!$A4,წონები!$K:$K,AHP!F$1),"")&lt;&gt;0,IF(F$1&lt;&gt;"",SUMIFS(წონები!$L:$L,წონები!$A:$A,AHP!$A4,წონები!$K:$K,AHP!F$1),""),""),"")</f>
        <v>2</v>
      </c>
      <c r="G4" s="19">
        <f>_xlfn.IFNA(IF(IF(G$1&lt;&gt;"",SUMIFS(წონები!$L:$L,წონები!$A:$A,AHP!$A4,წონები!$K:$K,AHP!G$1),"")&lt;&gt;0,IF(G$1&lt;&gt;"",SUMIFS(წონები!$L:$L,წონები!$A:$A,AHP!$A4,წონები!$K:$K,AHP!G$1),""),""),"")</f>
        <v>3</v>
      </c>
      <c r="H4" s="19">
        <f>_xlfn.IFNA(IF(IF(H$1&lt;&gt;"",SUMIFS(წონები!$L:$L,წონები!$A:$A,AHP!$A4,წონები!$K:$K,AHP!H$1),"")&lt;&gt;0,IF(H$1&lt;&gt;"",SUMIFS(წონები!$L:$L,წონები!$A:$A,AHP!$A4,წონები!$K:$K,AHP!H$1),""),""),"")</f>
        <v>3</v>
      </c>
      <c r="I4" s="19" t="str">
        <f>_xlfn.IFNA(IF(IF(I$1&lt;&gt;"",SUMIFS(წონები!$L:$L,წონები!$A:$A,AHP!$A4,წონები!$K:$K,AHP!I$1),"")&lt;&gt;0,IF(I$1&lt;&gt;"",SUMIFS(წონები!$L:$L,წონები!$A:$A,AHP!$A4,წონები!$K:$K,AHP!I$1),""),""),"")</f>
        <v/>
      </c>
      <c r="J4" s="19" t="str">
        <f>_xlfn.IFNA(IF(IF(J$1&lt;&gt;"",SUMIFS(წონები!$L:$L,წონები!$A:$A,AHP!$A4,წონები!$K:$K,AHP!J$1),"")&lt;&gt;0,IF(J$1&lt;&gt;"",SUMIFS(წონები!$L:$L,წონები!$A:$A,AHP!$A4,წონები!$K:$K,AHP!J$1),""),""),"")</f>
        <v/>
      </c>
      <c r="K4" s="19" t="str">
        <f>_xlfn.IFNA(IF(IF(K$1&lt;&gt;"",SUMIFS(წონები!$L:$L,წონები!$A:$A,AHP!$A4,წონები!$K:$K,AHP!K$1),"")&lt;&gt;0,IF(K$1&lt;&gt;"",SUMIFS(წონები!$L:$L,წონები!$A:$A,AHP!$A4,წონები!$K:$K,AHP!K$1),""),""),"")</f>
        <v/>
      </c>
      <c r="M4" s="18"/>
    </row>
    <row r="5" spans="1:13" x14ac:dyDescent="0.25">
      <c r="A5" t="str">
        <f>ქულები!A5</f>
        <v>კრიტერიუმი 4 - ტყეების გაჩეხვის შემცირება</v>
      </c>
      <c r="B5" s="19" cm="1">
        <f t="array" aca="1" ref="B5" ca="1">IFERROR(IF($A5&lt;&gt;"",1/INDIRECT(CHAR(64+ROW())&amp;COLUMN()),""),"")</f>
        <v>2</v>
      </c>
      <c r="C5" s="19" cm="1">
        <f t="array" aca="1" ref="C5" ca="1">IFERROR(IF($A5&lt;&gt;"",1/INDIRECT(CHAR(64+ROW())&amp;COLUMN()),""),"")</f>
        <v>0.5</v>
      </c>
      <c r="D5" s="19" cm="1">
        <f t="array" aca="1" ref="D5" ca="1">IFERROR(IF($A5&lt;&gt;"",1/INDIRECT(CHAR(64+ROW())&amp;COLUMN()),""),"")</f>
        <v>0.33333333333333331</v>
      </c>
      <c r="E5" s="19">
        <f>IF(E$1&lt;&gt;"",1,"")</f>
        <v>1</v>
      </c>
      <c r="F5" s="19">
        <f>_xlfn.IFNA(IF(IF(F$1&lt;&gt;"",SUMIFS(წონები!$L:$L,წონები!$A:$A,AHP!$A5,წონები!$K:$K,AHP!F$1),"")&lt;&gt;0,IF(F$1&lt;&gt;"",SUMIFS(წონები!$L:$L,წონები!$A:$A,AHP!$A5,წონები!$K:$K,AHP!F$1),""),""),"")</f>
        <v>2</v>
      </c>
      <c r="G5" s="19">
        <f>_xlfn.IFNA(IF(IF(G$1&lt;&gt;"",SUMIFS(წონები!$L:$L,წონები!$A:$A,AHP!$A5,წონები!$K:$K,AHP!G$1),"")&lt;&gt;0,IF(G$1&lt;&gt;"",SUMIFS(წონები!$L:$L,წონები!$A:$A,AHP!$A5,წონები!$K:$K,AHP!G$1),""),""),"")</f>
        <v>2</v>
      </c>
      <c r="H5" s="19">
        <f>_xlfn.IFNA(IF(IF(H$1&lt;&gt;"",SUMIFS(წონები!$L:$L,წონები!$A:$A,AHP!$A5,წონები!$K:$K,AHP!H$1),"")&lt;&gt;0,IF(H$1&lt;&gt;"",SUMIFS(წონები!$L:$L,წონები!$A:$A,AHP!$A5,წონები!$K:$K,AHP!H$1),""),""),"")</f>
        <v>2</v>
      </c>
      <c r="I5" s="19" t="str">
        <f>_xlfn.IFNA(IF(IF(I$1&lt;&gt;"",SUMIFS(წონები!$L:$L,წონები!$A:$A,AHP!$A5,წონები!$K:$K,AHP!I$1),"")&lt;&gt;0,IF(I$1&lt;&gt;"",SUMIFS(წონები!$L:$L,წონები!$A:$A,AHP!$A5,წონები!$K:$K,AHP!I$1),""),""),"")</f>
        <v/>
      </c>
      <c r="J5" s="19" t="str">
        <f>_xlfn.IFNA(IF(IF(J$1&lt;&gt;"",SUMIFS(წონები!$L:$L,წონები!$A:$A,AHP!$A5,წონები!$K:$K,AHP!J$1),"")&lt;&gt;0,IF(J$1&lt;&gt;"",SUMIFS(წონები!$L:$L,წონები!$A:$A,AHP!$A5,წონები!$K:$K,AHP!J$1),""),""),"")</f>
        <v/>
      </c>
      <c r="K5" s="19" t="str">
        <f>_xlfn.IFNA(IF(IF(K$1&lt;&gt;"",SUMIFS(წონები!$L:$L,წონები!$A:$A,AHP!$A5,წონები!$K:$K,AHP!K$1),"")&lt;&gt;0,IF(K$1&lt;&gt;"",SUMIFS(წონები!$L:$L,წონები!$A:$A,AHP!$A5,წონები!$K:$K,AHP!K$1),""),""),"")</f>
        <v/>
      </c>
      <c r="M5" s="18"/>
    </row>
    <row r="6" spans="1:13" x14ac:dyDescent="0.25">
      <c r="A6" t="str">
        <f>ქულები!A6</f>
        <v>კრიტერიუმი 5 - მიღწევადობა</v>
      </c>
      <c r="B6" s="19" cm="1">
        <f t="array" aca="1" ref="B6" ca="1">IFERROR(IF($A6&lt;&gt;"",1/INDIRECT(CHAR(64+ROW())&amp;COLUMN()),""),"")</f>
        <v>2</v>
      </c>
      <c r="C6" s="19" cm="1">
        <f t="array" aca="1" ref="C6" ca="1">IFERROR(IF($A6&lt;&gt;"",1/INDIRECT(CHAR(64+ROW())&amp;COLUMN()),""),"")</f>
        <v>1</v>
      </c>
      <c r="D6" s="19" cm="1">
        <f t="array" aca="1" ref="D6" ca="1">IFERROR(IF($A6&lt;&gt;"",1/INDIRECT(CHAR(64+ROW())&amp;COLUMN()),""),"")</f>
        <v>0.5</v>
      </c>
      <c r="E6" s="19" cm="1">
        <f t="array" aca="1" ref="E6" ca="1">IFERROR(IF($A6&lt;&gt;"",1/INDIRECT(CHAR(64+ROW())&amp;COLUMN()),""),"")</f>
        <v>0.5</v>
      </c>
      <c r="F6" s="19">
        <f>IF(F$1&lt;&gt;"",1,"")</f>
        <v>1</v>
      </c>
      <c r="G6" s="19">
        <f>_xlfn.IFNA(IF(IF(G$1&lt;&gt;"",SUMIFS(წონები!$L:$L,წონები!$A:$A,AHP!$A6,წონები!$K:$K,AHP!G$1),"")&lt;&gt;0,IF(G$1&lt;&gt;"",SUMIFS(წონები!$L:$L,წონები!$A:$A,AHP!$A6,წონები!$K:$K,AHP!G$1),""),""),"")</f>
        <v>2</v>
      </c>
      <c r="H6" s="19">
        <f>_xlfn.IFNA(IF(IF(H$1&lt;&gt;"",SUMIFS(წონები!$L:$L,წონები!$A:$A,AHP!$A6,წონები!$K:$K,AHP!H$1),"")&lt;&gt;0,IF(H$1&lt;&gt;"",SUMIFS(წონები!$L:$L,წონები!$A:$A,AHP!$A6,წონები!$K:$K,AHP!H$1),""),""),"")</f>
        <v>2</v>
      </c>
      <c r="I6" s="19" t="str">
        <f>_xlfn.IFNA(IF(IF(I$1&lt;&gt;"",SUMIFS(წონები!$L:$L,წონები!$A:$A,AHP!$A6,წონები!$K:$K,AHP!I$1),"")&lt;&gt;0,IF(I$1&lt;&gt;"",SUMIFS(წონები!$L:$L,წონები!$A:$A,AHP!$A6,წონები!$K:$K,AHP!I$1),""),""),"")</f>
        <v/>
      </c>
      <c r="J6" s="19" t="str">
        <f>_xlfn.IFNA(IF(IF(J$1&lt;&gt;"",SUMIFS(წონები!$L:$L,წონები!$A:$A,AHP!$A6,წონები!$K:$K,AHP!J$1),"")&lt;&gt;0,IF(J$1&lt;&gt;"",SUMIFS(წონები!$L:$L,წონები!$A:$A,AHP!$A6,წონები!$K:$K,AHP!J$1),""),""),"")</f>
        <v/>
      </c>
      <c r="K6" s="19" t="str">
        <f>_xlfn.IFNA(IF(IF(K$1&lt;&gt;"",SUMIFS(წონები!$L:$L,წონები!$A:$A,AHP!$A6,წონები!$K:$K,AHP!K$1),"")&lt;&gt;0,IF(K$1&lt;&gt;"",SUMIFS(წონები!$L:$L,წონები!$A:$A,AHP!$A6,წონები!$K:$K,AHP!K$1),""),""),"")</f>
        <v/>
      </c>
      <c r="M6" s="18"/>
    </row>
    <row r="7" spans="1:13" x14ac:dyDescent="0.25">
      <c r="A7" t="str">
        <f>ქულები!A7</f>
        <v>კრიტერიუმი 6 - რისკები</v>
      </c>
      <c r="B7" s="19" cm="1">
        <f t="array" aca="1" ref="B7" ca="1">IFERROR(IF($A7&lt;&gt;"",1/INDIRECT(CHAR(64+ROW())&amp;COLUMN()),""),"")</f>
        <v>0.5</v>
      </c>
      <c r="C7" s="19" cm="1">
        <f t="array" aca="1" ref="C7" ca="1">IFERROR(IF($A7&lt;&gt;"",1/INDIRECT(CHAR(64+ROW())&amp;COLUMN()),""),"")</f>
        <v>0.5</v>
      </c>
      <c r="D7" s="19" cm="1">
        <f t="array" aca="1" ref="D7" ca="1">IFERROR(IF($A7&lt;&gt;"",1/INDIRECT(CHAR(64+ROW())&amp;COLUMN()),""),"")</f>
        <v>0.33333333333333331</v>
      </c>
      <c r="E7" s="19" cm="1">
        <f t="array" aca="1" ref="E7" ca="1">IFERROR(IF($A7&lt;&gt;"",1/INDIRECT(CHAR(64+ROW())&amp;COLUMN()),""),"")</f>
        <v>0.5</v>
      </c>
      <c r="F7" s="19" cm="1">
        <f t="array" aca="1" ref="F7" ca="1">IFERROR(IF($A7&lt;&gt;"",1/INDIRECT(CHAR(64+ROW())&amp;COLUMN()),""),"")</f>
        <v>0.5</v>
      </c>
      <c r="G7" s="19">
        <f>IF(G$1&lt;&gt;"",1,"")</f>
        <v>1</v>
      </c>
      <c r="H7" s="19">
        <f>_xlfn.IFNA(IF(IF(H$1&lt;&gt;"",SUMIFS(წონები!$L:$L,წონები!$A:$A,AHP!$A7,წონები!$K:$K,AHP!H$1),"")&lt;&gt;0,IF(H$1&lt;&gt;"",SUMIFS(წონები!$L:$L,წონები!$A:$A,AHP!$A7,წონები!$K:$K,AHP!H$1),""),""),"")</f>
        <v>0.5</v>
      </c>
      <c r="I7" s="19" t="str">
        <f>_xlfn.IFNA(IF(IF(I$1&lt;&gt;"",SUMIFS(წონები!$L:$L,წონები!$A:$A,AHP!$A7,წონები!$K:$K,AHP!I$1),"")&lt;&gt;0,IF(I$1&lt;&gt;"",SUMIFS(წონები!$L:$L,წონები!$A:$A,AHP!$A7,წონები!$K:$K,AHP!I$1),""),""),"")</f>
        <v/>
      </c>
      <c r="J7" s="19" t="str">
        <f>_xlfn.IFNA(IF(IF(J$1&lt;&gt;"",SUMIFS(წონები!$L:$L,წონები!$A:$A,AHP!$A7,წონები!$K:$K,AHP!J$1),"")&lt;&gt;0,IF(J$1&lt;&gt;"",SUMIFS(წონები!$L:$L,წონები!$A:$A,AHP!$A7,წონები!$K:$K,AHP!J$1),""),""),"")</f>
        <v/>
      </c>
      <c r="K7" s="19" t="str">
        <f>_xlfn.IFNA(IF(IF(K$1&lt;&gt;"",SUMIFS(წონები!$L:$L,წონები!$A:$A,AHP!$A7,წონები!$K:$K,AHP!K$1),"")&lt;&gt;0,IF(K$1&lt;&gt;"",SUMIFS(წონები!$L:$L,წონები!$A:$A,AHP!$A7,წონები!$K:$K,AHP!K$1),""),""),"")</f>
        <v/>
      </c>
      <c r="M7" s="18"/>
    </row>
    <row r="8" spans="1:13" x14ac:dyDescent="0.25">
      <c r="A8" t="str">
        <f>ქულები!A8</f>
        <v>კრიტერიუმი 7 - ბაზრის განვითარება</v>
      </c>
      <c r="B8" s="19" cm="1">
        <f t="array" aca="1" ref="B8" ca="1">IFERROR(IF($A8&lt;&gt;"",1/INDIRECT(CHAR(64+ROW())&amp;COLUMN()),""),"")</f>
        <v>0.33333333333333331</v>
      </c>
      <c r="C8" s="19" cm="1">
        <f t="array" aca="1" ref="C8" ca="1">IFERROR(IF($A8&lt;&gt;"",1/INDIRECT(CHAR(64+ROW())&amp;COLUMN()),""),"")</f>
        <v>0.33333333333333331</v>
      </c>
      <c r="D8" s="19" cm="1">
        <f t="array" aca="1" ref="D8" ca="1">IFERROR(IF($A8&lt;&gt;"",1/INDIRECT(CHAR(64+ROW())&amp;COLUMN()),""),"")</f>
        <v>0.33333333333333331</v>
      </c>
      <c r="E8" s="19" cm="1">
        <f t="array" aca="1" ref="E8" ca="1">IFERROR(IF($A8&lt;&gt;"",1/INDIRECT(CHAR(64+ROW())&amp;COLUMN()),""),"")</f>
        <v>0.5</v>
      </c>
      <c r="F8" s="19" cm="1">
        <f t="array" aca="1" ref="F8" ca="1">IFERROR(IF($A8&lt;&gt;"",1/INDIRECT(CHAR(64+ROW())&amp;COLUMN()),""),"")</f>
        <v>0.5</v>
      </c>
      <c r="G8" s="19" cm="1">
        <f t="array" aca="1" ref="G8" ca="1">IFERROR(IF($A8&lt;&gt;"",1/INDIRECT(CHAR(64+ROW())&amp;COLUMN()),""),"")</f>
        <v>2</v>
      </c>
      <c r="H8" s="19">
        <f>IF(H$1&lt;&gt;"",1,"")</f>
        <v>1</v>
      </c>
      <c r="I8" s="19" t="str">
        <f>_xlfn.IFNA(IF(IF(I$1&lt;&gt;"",SUMIFS(წონები!$L:$L,წონები!$A:$A,AHP!$A8,წონები!$K:$K,AHP!I$1),"")&lt;&gt;0,IF(I$1&lt;&gt;"",SUMIFS(წონები!$L:$L,წონები!$A:$A,AHP!$A8,წონები!$K:$K,AHP!I$1),""),""),"")</f>
        <v/>
      </c>
      <c r="J8" s="19" t="str">
        <f>_xlfn.IFNA(IF(IF(J$1&lt;&gt;"",SUMIFS(წონები!$L:$L,წონები!$A:$A,AHP!$A8,წონები!$K:$K,AHP!J$1),"")&lt;&gt;0,IF(J$1&lt;&gt;"",SUMIFS(წონები!$L:$L,წონები!$A:$A,AHP!$A8,წონები!$K:$K,AHP!J$1),""),""),"")</f>
        <v/>
      </c>
      <c r="K8" s="19" t="str">
        <f>_xlfn.IFNA(IF(IF(K$1&lt;&gt;"",SUMIFS(წონები!$L:$L,წონები!$A:$A,AHP!$A8,წონები!$K:$K,AHP!K$1),"")&lt;&gt;0,IF(K$1&lt;&gt;"",SUMIFS(წონები!$L:$L,წონები!$A:$A,AHP!$A8,წონები!$K:$K,AHP!K$1),""),""),"")</f>
        <v/>
      </c>
      <c r="M8" s="18"/>
    </row>
    <row r="9" spans="1:13" x14ac:dyDescent="0.25">
      <c r="A9" t="str">
        <f>ქულები!A9</f>
        <v/>
      </c>
      <c r="B9" s="19" t="str" cm="1">
        <f t="array" aca="1" ref="B9" ca="1">IFERROR(IF($A9&lt;&gt;"",1/INDIRECT(CHAR(64+ROW())&amp;COLUMN()),""),"")</f>
        <v/>
      </c>
      <c r="C9" s="19" t="str" cm="1">
        <f t="array" aca="1" ref="C9" ca="1">IFERROR(IF($A9&lt;&gt;"",1/INDIRECT(CHAR(64+ROW())&amp;COLUMN()),""),"")</f>
        <v/>
      </c>
      <c r="D9" s="19" t="str" cm="1">
        <f t="array" aca="1" ref="D9" ca="1">IFERROR(IF($A9&lt;&gt;"",1/INDIRECT(CHAR(64+ROW())&amp;COLUMN()),""),"")</f>
        <v/>
      </c>
      <c r="E9" s="19" t="str" cm="1">
        <f t="array" aca="1" ref="E9" ca="1">IFERROR(IF($A9&lt;&gt;"",1/INDIRECT(CHAR(64+ROW())&amp;COLUMN()),""),"")</f>
        <v/>
      </c>
      <c r="F9" s="19" t="str" cm="1">
        <f t="array" aca="1" ref="F9" ca="1">IFERROR(IF($A9&lt;&gt;"",1/INDIRECT(CHAR(64+ROW())&amp;COLUMN()),""),"")</f>
        <v/>
      </c>
      <c r="G9" s="19" t="str" cm="1">
        <f t="array" aca="1" ref="G9" ca="1">IFERROR(IF($A9&lt;&gt;"",1/INDIRECT(CHAR(64+ROW())&amp;COLUMN()),""),"")</f>
        <v/>
      </c>
      <c r="H9" s="19" t="str" cm="1">
        <f t="array" aca="1" ref="H9" ca="1">IFERROR(IF($A9&lt;&gt;"",1/INDIRECT(CHAR(64+ROW())&amp;COLUMN()),""),"")</f>
        <v/>
      </c>
      <c r="I9" s="19" t="str">
        <f>IF(I$1&lt;&gt;"",1,"")</f>
        <v/>
      </c>
      <c r="J9" s="19" t="str">
        <f>_xlfn.IFNA(IF(IF(J$1&lt;&gt;"",SUMIFS(წონები!$L:$L,წონები!$A:$A,AHP!$A9,წონები!$K:$K,AHP!J$1),"")&lt;&gt;0,IF(J$1&lt;&gt;"",SUMIFS(წონები!$L:$L,წონები!$A:$A,AHP!$A9,წონები!$K:$K,AHP!J$1),""),""),"")</f>
        <v/>
      </c>
      <c r="K9" s="19" t="str">
        <f>_xlfn.IFNA(IF(IF(K$1&lt;&gt;"",SUMIFS(წონები!$L:$L,წონები!$A:$A,AHP!$A9,წონები!$K:$K,AHP!K$1),"")&lt;&gt;0,IF(K$1&lt;&gt;"",SUMIFS(წონები!$L:$L,წონები!$A:$A,AHP!$A9,წონები!$K:$K,AHP!K$1),""),""),"")</f>
        <v/>
      </c>
      <c r="M9" s="18"/>
    </row>
    <row r="10" spans="1:13" x14ac:dyDescent="0.25">
      <c r="A10" t="str">
        <f>ქულები!A10</f>
        <v/>
      </c>
      <c r="B10" s="19" t="str" cm="1">
        <f t="array" aca="1" ref="B10" ca="1">IFERROR(IF($A10&lt;&gt;"",1/INDIRECT(CHAR(64+ROW())&amp;COLUMN()),""),"")</f>
        <v/>
      </c>
      <c r="C10" s="19" t="str" cm="1">
        <f t="array" aca="1" ref="C10" ca="1">IFERROR(IF($A10&lt;&gt;"",1/INDIRECT(CHAR(64+ROW())&amp;COLUMN()),""),"")</f>
        <v/>
      </c>
      <c r="D10" s="19" t="str" cm="1">
        <f t="array" aca="1" ref="D10" ca="1">IFERROR(IF($A10&lt;&gt;"",1/INDIRECT(CHAR(64+ROW())&amp;COLUMN()),""),"")</f>
        <v/>
      </c>
      <c r="E10" s="19" t="str" cm="1">
        <f t="array" aca="1" ref="E10" ca="1">IFERROR(IF($A10&lt;&gt;"",1/INDIRECT(CHAR(64+ROW())&amp;COLUMN()),""),"")</f>
        <v/>
      </c>
      <c r="F10" s="19" t="str" cm="1">
        <f t="array" aca="1" ref="F10" ca="1">IFERROR(IF($A10&lt;&gt;"",1/INDIRECT(CHAR(64+ROW())&amp;COLUMN()),""),"")</f>
        <v/>
      </c>
      <c r="G10" s="19" t="str" cm="1">
        <f t="array" aca="1" ref="G10" ca="1">IFERROR(IF($A10&lt;&gt;"",1/INDIRECT(CHAR(64+ROW())&amp;COLUMN()),""),"")</f>
        <v/>
      </c>
      <c r="H10" s="19" t="str" cm="1">
        <f t="array" aca="1" ref="H10" ca="1">IFERROR(IF($A10&lt;&gt;"",1/INDIRECT(CHAR(64+ROW())&amp;COLUMN()),""),"")</f>
        <v/>
      </c>
      <c r="I10" s="19" t="str" cm="1">
        <f t="array" aca="1" ref="I10" ca="1">IFERROR(IF($A10&lt;&gt;"",1/INDIRECT(CHAR(64+ROW())&amp;COLUMN()),""),"")</f>
        <v/>
      </c>
      <c r="J10" s="19" t="str">
        <f>IF(J$1&lt;&gt;"",1,"")</f>
        <v/>
      </c>
      <c r="K10" s="19" t="str">
        <f>_xlfn.IFNA(IF(IF(K$1&lt;&gt;"",SUMIFS(წონები!$L:$L,წონები!$A:$A,AHP!$A10,წონები!$K:$K,AHP!K$1),"")&lt;&gt;0,IF(K$1&lt;&gt;"",SUMIFS(წონები!$L:$L,წონები!$A:$A,AHP!$A10,წონები!$K:$K,AHP!K$1),""),""),"")</f>
        <v/>
      </c>
      <c r="M10" s="18"/>
    </row>
    <row r="11" spans="1:13" x14ac:dyDescent="0.25">
      <c r="A11" t="str">
        <f>ქულები!A11</f>
        <v/>
      </c>
      <c r="B11" s="19" t="str" cm="1">
        <f t="array" aca="1" ref="B11" ca="1">IFERROR(IF($A11&lt;&gt;"",1/INDIRECT(CHAR(64+ROW())&amp;COLUMN()),""),"")</f>
        <v/>
      </c>
      <c r="C11" s="19" t="str" cm="1">
        <f t="array" aca="1" ref="C11" ca="1">IFERROR(IF($A11&lt;&gt;"",1/INDIRECT(CHAR(64+ROW())&amp;COLUMN()),""),"")</f>
        <v/>
      </c>
      <c r="D11" s="19" t="str" cm="1">
        <f t="array" aca="1" ref="D11" ca="1">IFERROR(IF($A11&lt;&gt;"",1/INDIRECT(CHAR(64+ROW())&amp;COLUMN()),""),"")</f>
        <v/>
      </c>
      <c r="E11" s="19" t="str" cm="1">
        <f t="array" aca="1" ref="E11" ca="1">IFERROR(IF($A11&lt;&gt;"",1/INDIRECT(CHAR(64+ROW())&amp;COLUMN()),""),"")</f>
        <v/>
      </c>
      <c r="F11" s="19" t="str" cm="1">
        <f t="array" aca="1" ref="F11" ca="1">IFERROR(IF($A11&lt;&gt;"",1/INDIRECT(CHAR(64+ROW())&amp;COLUMN()),""),"")</f>
        <v/>
      </c>
      <c r="G11" s="19" t="str" cm="1">
        <f t="array" aca="1" ref="G11" ca="1">IFERROR(IF($A11&lt;&gt;"",1/INDIRECT(CHAR(64+ROW())&amp;COLUMN()),""),"")</f>
        <v/>
      </c>
      <c r="H11" s="19" t="str" cm="1">
        <f t="array" aca="1" ref="H11" ca="1">IFERROR(IF($A11&lt;&gt;"",1/INDIRECT(CHAR(64+ROW())&amp;COLUMN()),""),"")</f>
        <v/>
      </c>
      <c r="I11" s="19" t="str" cm="1">
        <f t="array" aca="1" ref="I11" ca="1">IFERROR(IF($A11&lt;&gt;"",1/INDIRECT(CHAR(64+ROW())&amp;COLUMN()),""),"")</f>
        <v/>
      </c>
      <c r="J11" s="19" t="str" cm="1">
        <f t="array" aca="1" ref="J11" ca="1">IFERROR(IF($A11&lt;&gt;"",1/INDIRECT(CHAR(64+ROW())&amp;COLUMN()),""),"")</f>
        <v/>
      </c>
      <c r="K11" s="19" t="str">
        <f>IF(K$1&lt;&gt;"",1,"")</f>
        <v/>
      </c>
      <c r="M11" s="18"/>
    </row>
    <row r="12" spans="1:13" x14ac:dyDescent="0.25">
      <c r="G12" s="19"/>
    </row>
    <row r="13" spans="1:13" x14ac:dyDescent="0.25">
      <c r="G13" s="19"/>
    </row>
    <row r="14" spans="1:13" x14ac:dyDescent="0.25">
      <c r="A14" s="1" t="s">
        <v>2</v>
      </c>
      <c r="B14" s="1" t="s">
        <v>0</v>
      </c>
    </row>
    <row r="15" spans="1:13" x14ac:dyDescent="0.25">
      <c r="A15" t="str">
        <f>A2</f>
        <v>კრიტერიუმი 1 - წმინდა დაყვანილი ღირებულება (მლნ ლარი)</v>
      </c>
      <c r="B15" s="29">
        <f t="shared" ref="B15:B24" ca="1" si="0">IF(A15&lt;&gt;"",SUM(B2:K2)/SUM(matrix_A10),"")</f>
        <v>0.12239583333333333</v>
      </c>
    </row>
    <row r="16" spans="1:13" x14ac:dyDescent="0.25">
      <c r="A16" t="str">
        <f t="shared" ref="A16:A24" si="1">A3</f>
        <v>კრიტერიუმი 2 - ენერგოეფექტურობა</v>
      </c>
      <c r="B16" s="29">
        <f t="shared" ca="1" si="0"/>
        <v>0.1796875</v>
      </c>
    </row>
    <row r="17" spans="1:2" x14ac:dyDescent="0.25">
      <c r="A17" t="str">
        <f t="shared" si="1"/>
        <v>კრიტერიუმი 3 - ჯანმრთელობის რისკის შემცირება</v>
      </c>
      <c r="B17" s="29">
        <f t="shared" ca="1" si="0"/>
        <v>0.265625</v>
      </c>
    </row>
    <row r="18" spans="1:2" x14ac:dyDescent="0.25">
      <c r="A18" t="str">
        <f t="shared" si="1"/>
        <v>კრიტერიუმი 4 - ტყეების გაჩეხვის შემცირება</v>
      </c>
      <c r="B18" s="29">
        <f t="shared" ca="1" si="0"/>
        <v>0.15364583333333334</v>
      </c>
    </row>
    <row r="19" spans="1:2" x14ac:dyDescent="0.25">
      <c r="A19" t="str">
        <f t="shared" si="1"/>
        <v>კრიტერიუმი 5 - მიღწევადობა</v>
      </c>
      <c r="B19" s="29">
        <f t="shared" ca="1" si="0"/>
        <v>0.140625</v>
      </c>
    </row>
    <row r="20" spans="1:2" x14ac:dyDescent="0.25">
      <c r="A20" t="str">
        <f t="shared" si="1"/>
        <v>კრიტერიუმი 6 - რისკები</v>
      </c>
      <c r="B20" s="29">
        <f t="shared" ca="1" si="0"/>
        <v>5.9895833333333329E-2</v>
      </c>
    </row>
    <row r="21" spans="1:2" x14ac:dyDescent="0.25">
      <c r="A21" t="str">
        <f t="shared" si="1"/>
        <v>კრიტერიუმი 7 - ბაზრის განვითარება</v>
      </c>
      <c r="B21" s="29">
        <f t="shared" ca="1" si="0"/>
        <v>7.8125E-2</v>
      </c>
    </row>
    <row r="22" spans="1:2" x14ac:dyDescent="0.25">
      <c r="A22" t="str">
        <f t="shared" si="1"/>
        <v/>
      </c>
      <c r="B22" s="20" t="str">
        <f t="shared" si="0"/>
        <v/>
      </c>
    </row>
    <row r="23" spans="1:2" x14ac:dyDescent="0.25">
      <c r="A23" t="str">
        <f t="shared" si="1"/>
        <v/>
      </c>
      <c r="B23" s="20" t="str">
        <f t="shared" si="0"/>
        <v/>
      </c>
    </row>
    <row r="24" spans="1:2" x14ac:dyDescent="0.25">
      <c r="A24" t="str">
        <f t="shared" si="1"/>
        <v/>
      </c>
      <c r="B24" s="20" t="str">
        <f t="shared" si="0"/>
        <v/>
      </c>
    </row>
  </sheetData>
  <conditionalFormatting sqref="A14:B24">
    <cfRule type="expression" dxfId="14" priority="1">
      <formula>$A14&lt;&gt;""</formula>
    </cfRule>
  </conditionalFormatting>
  <conditionalFormatting sqref="A1:K11">
    <cfRule type="expression" dxfId="13" priority="5" stopIfTrue="1">
      <formula>AND($A1&lt;&gt;"",A$1&lt;&gt;"")</formula>
    </cfRule>
  </conditionalFormatting>
  <conditionalFormatting sqref="B2 C3 D4 E5 F6 G7 H8 I9 J10 K11">
    <cfRule type="expression" dxfId="12" priority="4">
      <formula>AND($A2&lt;&gt;"",B$1&lt;&gt;"")</formula>
    </cfRule>
  </conditionalFormatting>
  <conditionalFormatting sqref="B3:B11 C4:C11 D5:D11 E6:E11 F7:F11 G8:G11 H9:H10 I10 G11:J11">
    <cfRule type="expression" dxfId="11" priority="2">
      <formula>AND($A3&lt;&gt;"",B$1&lt;&gt;"")</formula>
    </cfRule>
  </conditionalFormatting>
  <conditionalFormatting sqref="C2:K2 D2:K3 E4:K4 F5:K5 G6:K6 H7:K7 I8:K8 J9:K9 K10">
    <cfRule type="expression" dxfId="10" priority="3" stopIfTrue="1">
      <formula>AND($A2&lt;&gt;"",C$1&lt;&gt;"")</formula>
    </cfRule>
  </conditionalFormatting>
  <conditionalFormatting sqref="G12:G13">
    <cfRule type="expression" dxfId="9" priority="6" stopIfTrue="1">
      <formula>AND(#REF!&lt;&gt;"",G$1&lt;&gt;"")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E6C16-6764-914C-A3AC-75E80DA3A67D}">
  <sheetPr>
    <tabColor theme="8" tint="0.79998168889431442"/>
  </sheetPr>
  <dimension ref="A1:D40"/>
  <sheetViews>
    <sheetView topLeftCell="A20" zoomScale="110" zoomScaleNormal="110" workbookViewId="0"/>
  </sheetViews>
  <sheetFormatPr defaultColWidth="11" defaultRowHeight="15.75" x14ac:dyDescent="0.25"/>
  <cols>
    <col min="1" max="3" width="20.875" customWidth="1"/>
  </cols>
  <sheetData>
    <row r="1" spans="1:4" ht="31.5" x14ac:dyDescent="0.25">
      <c r="A1" s="16" t="s">
        <v>26</v>
      </c>
      <c r="B1" s="34">
        <f ca="1">B14/(INDEX(B18:B27,MATCH('საწყისი ეტაპი'!B13,A18:A27,0)))</f>
        <v>4.6502889150774815E-2</v>
      </c>
    </row>
    <row r="11" spans="1:4" x14ac:dyDescent="0.25">
      <c r="A11" s="41" t="s">
        <v>28</v>
      </c>
      <c r="B11" s="42"/>
      <c r="C11" s="42"/>
      <c r="D11" s="43"/>
    </row>
    <row r="13" spans="1:4" ht="47.25" x14ac:dyDescent="0.25">
      <c r="A13" s="16" t="s">
        <v>38</v>
      </c>
      <c r="B13" s="4">
        <f ca="1">AVERAGE(C31:C40)</f>
        <v>7.4296866957531593</v>
      </c>
    </row>
    <row r="14" spans="1:4" ht="31.5" x14ac:dyDescent="0.25">
      <c r="A14" s="16" t="s">
        <v>29</v>
      </c>
      <c r="B14" s="4">
        <f ca="1">(B13-'საწყისი ეტაპი'!B13)/('საწყისი ეტაპი'!B13)</f>
        <v>6.1383813679022757E-2</v>
      </c>
    </row>
    <row r="17" spans="1:3" ht="31.5" x14ac:dyDescent="0.25">
      <c r="A17" s="23" t="s">
        <v>24</v>
      </c>
      <c r="B17" s="24" t="s">
        <v>27</v>
      </c>
    </row>
    <row r="18" spans="1:3" x14ac:dyDescent="0.25">
      <c r="A18" s="21">
        <v>1</v>
      </c>
      <c r="B18" s="22">
        <v>0</v>
      </c>
    </row>
    <row r="19" spans="1:3" x14ac:dyDescent="0.25">
      <c r="A19" s="21">
        <v>2</v>
      </c>
      <c r="B19" s="22">
        <v>0</v>
      </c>
    </row>
    <row r="20" spans="1:3" x14ac:dyDescent="0.25">
      <c r="A20" s="21">
        <v>3</v>
      </c>
      <c r="B20" s="22">
        <v>0.57999999999999996</v>
      </c>
    </row>
    <row r="21" spans="1:3" x14ac:dyDescent="0.25">
      <c r="A21" s="21">
        <v>4</v>
      </c>
      <c r="B21" s="22">
        <v>0.9</v>
      </c>
    </row>
    <row r="22" spans="1:3" x14ac:dyDescent="0.25">
      <c r="A22" s="21">
        <v>5</v>
      </c>
      <c r="B22" s="22">
        <v>1.1200000000000001</v>
      </c>
    </row>
    <row r="23" spans="1:3" x14ac:dyDescent="0.25">
      <c r="A23" s="21">
        <v>6</v>
      </c>
      <c r="B23" s="22">
        <v>1.24</v>
      </c>
    </row>
    <row r="24" spans="1:3" x14ac:dyDescent="0.25">
      <c r="A24" s="21">
        <v>7</v>
      </c>
      <c r="B24" s="22">
        <v>1.32</v>
      </c>
    </row>
    <row r="25" spans="1:3" x14ac:dyDescent="0.25">
      <c r="A25" s="21">
        <v>8</v>
      </c>
      <c r="B25" s="22">
        <v>1.41</v>
      </c>
    </row>
    <row r="26" spans="1:3" x14ac:dyDescent="0.25">
      <c r="A26" s="21">
        <v>9</v>
      </c>
      <c r="B26" s="22">
        <v>1.45</v>
      </c>
    </row>
    <row r="27" spans="1:3" x14ac:dyDescent="0.25">
      <c r="A27" s="21">
        <v>10</v>
      </c>
      <c r="B27" s="22">
        <v>1.49</v>
      </c>
    </row>
    <row r="30" spans="1:3" x14ac:dyDescent="0.25">
      <c r="A30" s="1" t="s">
        <v>30</v>
      </c>
      <c r="B30" s="1" t="s">
        <v>31</v>
      </c>
      <c r="C30" s="1" t="s">
        <v>37</v>
      </c>
    </row>
    <row r="31" spans="1:3" x14ac:dyDescent="0.25">
      <c r="A31" s="6" cm="1">
        <f t="array" aca="1" ref="A31:A37" ca="1">INDIRECT("matrix_P"&amp;'საწყისი ეტაპი'!B13)</f>
        <v>0.12239583333333333</v>
      </c>
      <c r="B31" s="6" cm="1">
        <f t="array" aca="1" ref="B31:B37" ca="1">MMULT(INDIRECT("matrix_A"&amp;'საწყისი ეტაპი'!B13),INDIRECT("matrix_P"&amp;'საწყისი ეტაპი'!B13))</f>
        <v>0.80208333333333337</v>
      </c>
      <c r="C31" s="6">
        <f t="shared" ref="C31:C38" ca="1" si="0">IFERROR(B31/A31,"")</f>
        <v>6.5531914893617023</v>
      </c>
    </row>
    <row r="32" spans="1:3" x14ac:dyDescent="0.25">
      <c r="A32" s="6">
        <f ca="1"/>
        <v>0.1796875</v>
      </c>
      <c r="B32" s="6">
        <f ca="1"/>
        <v>1.359375</v>
      </c>
      <c r="C32" s="6">
        <f t="shared" ca="1" si="0"/>
        <v>7.5652173913043477</v>
      </c>
    </row>
    <row r="33" spans="1:3" x14ac:dyDescent="0.25">
      <c r="A33" s="6">
        <f ca="1"/>
        <v>0.265625</v>
      </c>
      <c r="B33" s="6">
        <f ca="1"/>
        <v>2.1484375</v>
      </c>
      <c r="C33" s="6">
        <f t="shared" ca="1" si="0"/>
        <v>8.0882352941176467</v>
      </c>
    </row>
    <row r="34" spans="1:3" x14ac:dyDescent="0.25">
      <c r="A34" s="6">
        <f ca="1"/>
        <v>0.15364583333333334</v>
      </c>
      <c r="B34" s="6">
        <f ca="1"/>
        <v>1.1341145833333333</v>
      </c>
      <c r="C34" s="6">
        <f t="shared" ca="1" si="0"/>
        <v>7.3813559322033893</v>
      </c>
    </row>
    <row r="35" spans="1:3" x14ac:dyDescent="0.25">
      <c r="A35" s="6">
        <f ca="1"/>
        <v>0.140625</v>
      </c>
      <c r="B35" s="6">
        <f ca="1"/>
        <v>1.05078125</v>
      </c>
      <c r="C35" s="6">
        <f t="shared" ca="1" si="0"/>
        <v>7.4722222222222223</v>
      </c>
    </row>
    <row r="36" spans="1:3" x14ac:dyDescent="0.25">
      <c r="A36" s="6">
        <f ca="1"/>
        <v>5.9895833333333329E-2</v>
      </c>
      <c r="B36" s="6">
        <f ca="1"/>
        <v>0.48567708333333331</v>
      </c>
      <c r="C36" s="6">
        <f t="shared" ca="1" si="0"/>
        <v>8.108695652173914</v>
      </c>
    </row>
    <row r="37" spans="1:3" x14ac:dyDescent="0.25">
      <c r="A37" s="6">
        <f ca="1"/>
        <v>7.8125E-2</v>
      </c>
      <c r="B37" s="6">
        <f ca="1"/>
        <v>0.53428819444444442</v>
      </c>
      <c r="C37" s="6">
        <f t="shared" ca="1" si="0"/>
        <v>6.8388888888888886</v>
      </c>
    </row>
    <row r="38" spans="1:3" x14ac:dyDescent="0.25">
      <c r="A38" s="6"/>
      <c r="B38" s="6"/>
      <c r="C38" s="6" t="str">
        <f t="shared" si="0"/>
        <v/>
      </c>
    </row>
    <row r="39" spans="1:3" x14ac:dyDescent="0.25">
      <c r="A39" s="6"/>
      <c r="B39" s="6"/>
      <c r="C39" s="6" t="str">
        <f t="shared" ref="C39:C40" si="1">IFERROR(B39/A39,"")</f>
        <v/>
      </c>
    </row>
    <row r="40" spans="1:3" x14ac:dyDescent="0.25">
      <c r="A40" s="6"/>
      <c r="B40" s="6"/>
      <c r="C40" s="6" t="str">
        <f t="shared" si="1"/>
        <v/>
      </c>
    </row>
  </sheetData>
  <mergeCells count="1">
    <mergeCell ref="A11:D11"/>
  </mergeCells>
  <conditionalFormatting sqref="A30:C40">
    <cfRule type="expression" dxfId="8" priority="1">
      <formula>$A30&lt;&gt;""</formula>
    </cfRule>
  </conditionalFormatting>
  <conditionalFormatting sqref="B1">
    <cfRule type="cellIs" dxfId="7" priority="2" operator="greaterThan">
      <formula>0.1</formula>
    </cfRule>
    <cfRule type="cellIs" dxfId="6" priority="3" operator="lessThanOrEqual">
      <formula>0.1</formula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B61AE-9B41-F340-9CAC-7518A850EE62}">
  <sheetPr>
    <tabColor theme="8" tint="0.79998168889431442"/>
  </sheetPr>
  <dimension ref="A1:G80"/>
  <sheetViews>
    <sheetView topLeftCell="A13" zoomScale="120" zoomScaleNormal="120" workbookViewId="0">
      <selection activeCell="E3" sqref="E3"/>
    </sheetView>
  </sheetViews>
  <sheetFormatPr defaultColWidth="11" defaultRowHeight="15.75" x14ac:dyDescent="0.25"/>
  <cols>
    <col min="1" max="1" width="58.375" customWidth="1"/>
    <col min="2" max="7" width="15.875" customWidth="1"/>
    <col min="8" max="14" width="10.875" customWidth="1"/>
    <col min="15" max="16" width="21.625" customWidth="1"/>
    <col min="17" max="22" width="11" customWidth="1"/>
    <col min="23" max="34" width="10.875" customWidth="1"/>
  </cols>
  <sheetData>
    <row r="1" spans="1:7" x14ac:dyDescent="0.25">
      <c r="A1" s="25" t="s">
        <v>32</v>
      </c>
      <c r="B1" s="26"/>
      <c r="C1" s="26"/>
      <c r="D1" s="27"/>
      <c r="E1" s="27"/>
      <c r="F1" s="27"/>
      <c r="G1" s="28"/>
    </row>
    <row r="3" spans="1:7" x14ac:dyDescent="0.25">
      <c r="A3" s="1" t="s">
        <v>2</v>
      </c>
      <c r="B3" s="1" t="str" cm="1">
        <f t="array" ref="B3:D3">TRANSPOSE("ალტერნატივა "&amp;_xlfn.SEQUENCE('საწყისი ეტაპი'!B14))</f>
        <v>ალტერნატივა 1</v>
      </c>
      <c r="C3" s="1" t="str">
        <v>ალტერნატივა 2</v>
      </c>
      <c r="D3" s="1" t="str">
        <v>ალტერნატივა 3</v>
      </c>
      <c r="E3" s="1"/>
      <c r="F3" s="1"/>
      <c r="G3" s="1"/>
    </row>
    <row r="4" spans="1:7" x14ac:dyDescent="0.25">
      <c r="A4" t="str">
        <f>ქულები!A2</f>
        <v>კრიტერიუმი 1 - წმინდა დაყვანილი ღირებულება (მლნ ლარი)</v>
      </c>
      <c r="B4" s="6">
        <f>IFERROR(IF(ქულები!B2&lt;&gt;"",ქულები!B2/SUMSQ(ქულები!$B2:$G2)^(1/2)*5,""),"")</f>
        <v>2.0110550732501733</v>
      </c>
      <c r="C4" s="6">
        <f>IFERROR(IF(ქულები!C2&lt;&gt;"",ქულები!C2/SUMSQ(ქულები!$B2:$G2)^(1/2)*5,""),"")</f>
        <v>2.1859294274458403</v>
      </c>
      <c r="D4" s="6">
        <f>IFERROR(IF(ქულები!D2&lt;&gt;"",ქულები!D2/SUMSQ(ქულები!$B2:$G2)^(1/2)*5,""),"")</f>
        <v>4.0221101465003466</v>
      </c>
      <c r="E4" s="6" t="str">
        <f>IFERROR(IF(ქულები!E2&lt;&gt;"",ქულები!E2/SUMSQ(ქულები!$B2:$G2)^(1/2)*5,""),"")</f>
        <v/>
      </c>
      <c r="F4" s="6" t="str">
        <f>IFERROR(IF(ქულები!F2&lt;&gt;"",ქულები!F2/SUMSQ(ქულები!$B2:$G2)^(1/2)*5,""),"")</f>
        <v/>
      </c>
      <c r="G4" s="6" t="str">
        <f>IFERROR(IF(ქულები!G2&lt;&gt;"",ქულები!G2/SUMSQ(ქულები!$B2:$G2)^(1/2)*5,""),"")</f>
        <v/>
      </c>
    </row>
    <row r="5" spans="1:7" x14ac:dyDescent="0.25">
      <c r="A5" t="str">
        <f>ქულები!A3</f>
        <v>კრიტერიუმი 2 - ენერგოეფექტურობა</v>
      </c>
      <c r="B5" s="6">
        <f>IFERROR(IF(ქულები!B3&lt;&gt;"",ქულები!B3/SUMSQ(ქულები!$B3:$G3)^(1/2)*5,""),"")</f>
        <v>2.1213203435596424</v>
      </c>
      <c r="C5" s="6">
        <f>IFERROR(IF(ქულები!C3&lt;&gt;"",ქულები!C3/SUMSQ(ქულები!$B3:$G3)^(1/2)*5,""),"")</f>
        <v>2.8284271247461898</v>
      </c>
      <c r="D5" s="6">
        <f>IFERROR(IF(ქულები!D3&lt;&gt;"",ქულები!D3/SUMSQ(ქულები!$B3:$G3)^(1/2)*5,""),"")</f>
        <v>3.5355339059327373</v>
      </c>
      <c r="E5" s="6" t="str">
        <f>IFERROR(IF(ქულები!E3&lt;&gt;"",ქულები!E3/SUMSQ(ქულები!$B3:$G3)^(1/2)*5,""),"")</f>
        <v/>
      </c>
      <c r="F5" s="6" t="str">
        <f>IFERROR(IF(ქულები!F3&lt;&gt;"",ქულები!F3/SUMSQ(ქულები!$B3:$G3)^(1/2)*5,""),"")</f>
        <v/>
      </c>
      <c r="G5" s="6" t="str">
        <f>IFERROR(IF(ქულები!G3&lt;&gt;"",ქულები!G3/SUMSQ(ქულები!$B3:$G3)^(1/2)*5,""),"")</f>
        <v/>
      </c>
    </row>
    <row r="6" spans="1:7" x14ac:dyDescent="0.25">
      <c r="A6" t="str">
        <f>ქულები!A4</f>
        <v>კრიტერიუმი 3 - ჯანმრთელობის რისკის შემცირება</v>
      </c>
      <c r="B6" s="6">
        <f>IFERROR(IF(ქულები!B4&lt;&gt;"",ქულები!B4/SUMSQ(ქულები!$B4:$G4)^(1/2)*5,""),"")</f>
        <v>3.7139067635410372</v>
      </c>
      <c r="C6" s="6">
        <f>IFERROR(IF(ქულები!C4&lt;&gt;"",ქულები!C4/SUMSQ(ქულები!$B4:$G4)^(1/2)*5,""),"")</f>
        <v>1.8569533817705186</v>
      </c>
      <c r="D6" s="6">
        <f>IFERROR(IF(ქულები!D4&lt;&gt;"",ქულები!D4/SUMSQ(ქულები!$B4:$G4)^(1/2)*5,""),"")</f>
        <v>2.7854300726557781</v>
      </c>
      <c r="E6" s="6" t="str">
        <f>IFERROR(IF(ქულები!E4&lt;&gt;"",ქულები!E4/SUMSQ(ქულები!$B4:$G4)^(1/2)*5,""),"")</f>
        <v/>
      </c>
      <c r="F6" s="6" t="str">
        <f>IFERROR(IF(ქულები!F4&lt;&gt;"",ქულები!F4/SUMSQ(ქულები!$B4:$G4)^(1/2)*5,""),"")</f>
        <v/>
      </c>
      <c r="G6" s="6" t="str">
        <f>IFERROR(IF(ქულები!G4&lt;&gt;"",ქულები!G4/SUMSQ(ქულები!$B4:$G4)^(1/2)*5,""),"")</f>
        <v/>
      </c>
    </row>
    <row r="7" spans="1:7" x14ac:dyDescent="0.25">
      <c r="A7" t="str">
        <f>ქულები!A5</f>
        <v>კრიტერიუმი 4 - ტყეების გაჩეხვის შემცირება</v>
      </c>
      <c r="B7" s="6">
        <f>IFERROR(IF(ქულები!B5&lt;&gt;"",ქულები!B5/SUMSQ(ქულები!$B5:$G5)^(1/2)*5,""),"")</f>
        <v>2.3426064283290908</v>
      </c>
      <c r="C7" s="6">
        <f>IFERROR(IF(ქულები!C5&lt;&gt;"",ქულები!C5/SUMSQ(ქულები!$B5:$G5)^(1/2)*5,""),"")</f>
        <v>3.1234752377721215</v>
      </c>
      <c r="D7" s="6">
        <f>IFERROR(IF(ქულები!D5&lt;&gt;"",ქულები!D5/SUMSQ(ქულები!$B5:$G5)^(1/2)*5,""),"")</f>
        <v>3.1234752377721215</v>
      </c>
      <c r="E7" s="6" t="str">
        <f>IFERROR(IF(ქულები!E5&lt;&gt;"",ქულები!E5/SUMSQ(ქულები!$B5:$G5)^(1/2)*5,""),"")</f>
        <v/>
      </c>
      <c r="F7" s="6" t="str">
        <f>IFERROR(IF(ქულები!F5&lt;&gt;"",ქულები!F5/SUMSQ(ქულები!$B5:$G5)^(1/2)*5,""),"")</f>
        <v/>
      </c>
      <c r="G7" s="6" t="str">
        <f>IFERROR(IF(ქულები!G5&lt;&gt;"",ქულები!G5/SUMSQ(ქულები!$B5:$G5)^(1/2)*5,""),"")</f>
        <v/>
      </c>
    </row>
    <row r="8" spans="1:7" x14ac:dyDescent="0.25">
      <c r="A8" t="str">
        <f>ქულები!A6</f>
        <v>კრიტერიუმი 5 - მიღწევადობა</v>
      </c>
      <c r="B8" s="6">
        <f>IFERROR(IF(ქულები!B6&lt;&gt;"",ქულები!B6/SUMSQ(ქულები!$B6:$G6)^(1/2)*5,""),"")</f>
        <v>0.98058067569092022</v>
      </c>
      <c r="C8" s="6">
        <f>IFERROR(IF(ქულები!C6&lt;&gt;"",ქულები!C6/SUMSQ(ქულები!$B6:$G6)^(1/2)*5,""),"")</f>
        <v>2.9417420270727606</v>
      </c>
      <c r="D8" s="6">
        <f>IFERROR(IF(ქულები!D6&lt;&gt;"",ქულები!D6/SUMSQ(ქულები!$B6:$G6)^(1/2)*5,""),"")</f>
        <v>3.9223227027636809</v>
      </c>
      <c r="E8" s="6" t="str">
        <f>IFERROR(IF(ქულები!E6&lt;&gt;"",ქულები!E6/SUMSQ(ქულები!$B6:$G6)^(1/2)*5,""),"")</f>
        <v/>
      </c>
      <c r="F8" s="6" t="str">
        <f>IFERROR(IF(ქულები!F6&lt;&gt;"",ქულები!F6/SUMSQ(ქულები!$B6:$G6)^(1/2)*5,""),"")</f>
        <v/>
      </c>
      <c r="G8" s="6" t="str">
        <f>IFERROR(IF(ქულები!G6&lt;&gt;"",ქულები!G6/SUMSQ(ქულები!$B6:$G6)^(1/2)*5,""),"")</f>
        <v/>
      </c>
    </row>
    <row r="9" spans="1:7" x14ac:dyDescent="0.25">
      <c r="A9" t="str">
        <f>ქულები!A7</f>
        <v>კრიტერიუმი 6 - რისკები</v>
      </c>
      <c r="B9" s="6">
        <f>IFERROR(IF(ქულები!B7&lt;&gt;"",ქულები!B7/SUMSQ(ქულები!$B7:$G7)^(1/2)*5,""),"")</f>
        <v>-4.6852128566581817</v>
      </c>
      <c r="C9" s="6">
        <f>IFERROR(IF(ქულები!C7&lt;&gt;"",ქულები!C7/SUMSQ(ქულები!$B7:$G7)^(1/2)*5,""),"")</f>
        <v>0.78086880944303039</v>
      </c>
      <c r="D9" s="6">
        <f>IFERROR(IF(ქულები!D7&lt;&gt;"",ქულები!D7/SUMSQ(ქულები!$B7:$G7)^(1/2)*5,""),"")</f>
        <v>-1.5617376188860608</v>
      </c>
      <c r="E9" s="6" t="str">
        <f>IFERROR(IF(ქულები!E7&lt;&gt;"",ქულები!E7/SUMSQ(ქულები!$B7:$G7)^(1/2)*5,""),"")</f>
        <v/>
      </c>
      <c r="F9" s="6" t="str">
        <f>IFERROR(IF(ქულები!F7&lt;&gt;"",ქულები!F7/SUMSQ(ქულები!$B7:$G7)^(1/2)*5,""),"")</f>
        <v/>
      </c>
      <c r="G9" s="6" t="str">
        <f>IFERROR(IF(ქულები!G7&lt;&gt;"",ქულები!G7/SUMSQ(ქულები!$B7:$G7)^(1/2)*5,""),"")</f>
        <v/>
      </c>
    </row>
    <row r="10" spans="1:7" x14ac:dyDescent="0.25">
      <c r="A10" t="str">
        <f>ქულები!A8</f>
        <v>კრიტერიუმი 7 - ბაზრის განვითარება</v>
      </c>
      <c r="B10" s="6">
        <f>IFERROR(IF(ქულები!B8&lt;&gt;"",ქულები!B8/SUMSQ(ქულები!$B8:$G8)^(1/2)*5,""),"")</f>
        <v>2.0412414523193152</v>
      </c>
      <c r="C10" s="6">
        <f>IFERROR(IF(ქულები!C8&lt;&gt;"",ქულები!C8/SUMSQ(ქულები!$B8:$G8)^(1/2)*5,""),"")</f>
        <v>-2.0412414523193152</v>
      </c>
      <c r="D10" s="6">
        <f>IFERROR(IF(ქულები!D8&lt;&gt;"",ქულები!D8/SUMSQ(ქულები!$B8:$G8)^(1/2)*5,""),"")</f>
        <v>4.0824829046386304</v>
      </c>
      <c r="E10" s="6" t="str">
        <f>IFERROR(IF(ქულები!E8&lt;&gt;"",ქულები!E8/SUMSQ(ქულები!$B8:$G8)^(1/2)*5,""),"")</f>
        <v/>
      </c>
      <c r="F10" s="6" t="str">
        <f>IFERROR(IF(ქულები!F8&lt;&gt;"",ქულები!F8/SUMSQ(ქულები!$B8:$G8)^(1/2)*5,""),"")</f>
        <v/>
      </c>
      <c r="G10" s="6" t="str">
        <f>IFERROR(IF(ქულები!G8&lt;&gt;"",ქულები!G8/SUMSQ(ქულები!$B8:$G8)^(1/2)*5,""),"")</f>
        <v/>
      </c>
    </row>
    <row r="11" spans="1:7" x14ac:dyDescent="0.25">
      <c r="A11" t="str">
        <f>ქულები!A9</f>
        <v/>
      </c>
      <c r="B11" s="6" t="str">
        <f>IFERROR(IF(ქულები!B9&lt;&gt;"",ქულები!B9/SUMSQ(ქულები!$B9:$G9)^(1/2)*5,""),"")</f>
        <v/>
      </c>
      <c r="C11" s="6" t="str">
        <f>IFERROR(IF(ქულები!C9&lt;&gt;"",ქულები!C9/SUMSQ(ქულები!$B9:$G9)^(1/2)*5,""),"")</f>
        <v/>
      </c>
      <c r="D11" s="6" t="str">
        <f>IFERROR(IF(ქულები!D9&lt;&gt;"",ქულები!D9/SUMSQ(ქულები!$B9:$G9)^(1/2)*5,""),"")</f>
        <v/>
      </c>
      <c r="E11" s="6" t="str">
        <f>IFERROR(IF(ქულები!E9&lt;&gt;"",ქულები!E9/SUMSQ(ქულები!$B9:$G9)^(1/2)*5,""),"")</f>
        <v/>
      </c>
      <c r="F11" s="6" t="str">
        <f>IFERROR(IF(ქულები!F9&lt;&gt;"",ქულები!F9/SUMSQ(ქულები!$B9:$G9)^(1/2)*5,""),"")</f>
        <v/>
      </c>
      <c r="G11" s="6" t="str">
        <f>IFERROR(IF(ქულები!G9&lt;&gt;"",ქულები!G9/SUMSQ(ქულები!$B9:$G9)^(1/2)*5,""),"")</f>
        <v/>
      </c>
    </row>
    <row r="12" spans="1:7" x14ac:dyDescent="0.25">
      <c r="A12" t="str">
        <f>ქულები!A10</f>
        <v/>
      </c>
      <c r="B12" s="6" t="str">
        <f>IFERROR(IF(ქულები!B10&lt;&gt;"",ქულები!B10/SUMSQ(ქულები!$B10:$G10)^(1/2)*5,""),"")</f>
        <v/>
      </c>
      <c r="C12" s="6" t="str">
        <f>IFERROR(IF(ქულები!C10&lt;&gt;"",ქულები!C10/SUMSQ(ქულები!$B10:$G10)^(1/2)*5,""),"")</f>
        <v/>
      </c>
      <c r="D12" s="6" t="str">
        <f>IFERROR(IF(ქულები!D10&lt;&gt;"",ქულები!D10/SUMSQ(ქულები!$B10:$G10)^(1/2)*5,""),"")</f>
        <v/>
      </c>
      <c r="E12" s="6" t="str">
        <f>IFERROR(IF(ქულები!E10&lt;&gt;"",ქულები!E10/SUMSQ(ქულები!$B10:$G10)^(1/2)*5,""),"")</f>
        <v/>
      </c>
      <c r="F12" s="6" t="str">
        <f>IFERROR(IF(ქულები!F10&lt;&gt;"",ქულები!F10/SUMSQ(ქულები!$B10:$G10)^(1/2)*5,""),"")</f>
        <v/>
      </c>
      <c r="G12" s="6" t="str">
        <f>IFERROR(IF(ქულები!G10&lt;&gt;"",ქულები!G10/SUMSQ(ქულები!$B10:$G10)^(1/2)*5,""),"")</f>
        <v/>
      </c>
    </row>
    <row r="13" spans="1:7" x14ac:dyDescent="0.25">
      <c r="A13" t="str">
        <f>ქულები!A11</f>
        <v/>
      </c>
      <c r="B13" s="6" t="str">
        <f>IFERROR(IF(ქულები!B11&lt;&gt;"",ქულები!B11/SUMSQ(ქულები!$B11:$G11)^(1/2)*5,""),"")</f>
        <v/>
      </c>
      <c r="C13" s="6" t="str">
        <f>IFERROR(IF(ქულები!C11&lt;&gt;"",ქულები!C11/SUMSQ(ქულები!$B11:$G11)^(1/2)*5,""),"")</f>
        <v/>
      </c>
      <c r="D13" s="6" t="str">
        <f>IFERROR(IF(ქულები!D11&lt;&gt;"",ქულები!D11/SUMSQ(ქულები!$B11:$G11)^(1/2)*5,""),"")</f>
        <v/>
      </c>
      <c r="E13" s="6" t="str">
        <f>IFERROR(IF(ქულები!E11&lt;&gt;"",ქულები!E11/SUMSQ(ქულები!$B11:$G11)^(1/2)*5,""),"")</f>
        <v/>
      </c>
      <c r="F13" s="6" t="str">
        <f>IFERROR(IF(ქულები!F11&lt;&gt;"",ქულები!F11/SUMSQ(ქულები!$B11:$G11)^(1/2)*5,""),"")</f>
        <v/>
      </c>
      <c r="G13" s="6" t="str">
        <f>IFERROR(IF(ქულები!G11&lt;&gt;"",ქულები!G11/SUMSQ(ქულები!$B11:$G11)^(1/2)*5,""),"")</f>
        <v/>
      </c>
    </row>
    <row r="15" spans="1:7" x14ac:dyDescent="0.25">
      <c r="A15" s="25" t="s">
        <v>33</v>
      </c>
      <c r="B15" s="26"/>
      <c r="C15" s="26"/>
      <c r="D15" s="27"/>
      <c r="E15" s="27"/>
      <c r="F15" s="27"/>
      <c r="G15" s="28"/>
    </row>
    <row r="17" spans="1:7" x14ac:dyDescent="0.25">
      <c r="A17" s="1" t="s">
        <v>2</v>
      </c>
      <c r="B17" s="1" t="str" cm="1">
        <f t="array" ref="B17:D17">TRANSPOSE("ალტერნატივა "&amp;_xlfn.SEQUENCE('საწყისი ეტაპი'!B14))</f>
        <v>ალტერნატივა 1</v>
      </c>
      <c r="C17" s="1" t="str">
        <v>ალტერნატივა 2</v>
      </c>
      <c r="D17" s="1" t="str">
        <v>ალტერნატივა 3</v>
      </c>
      <c r="E17" s="1"/>
      <c r="F17" s="1"/>
      <c r="G17" s="1"/>
    </row>
    <row r="18" spans="1:7" x14ac:dyDescent="0.25">
      <c r="A18" t="str">
        <f>ქულები!A2</f>
        <v>კრიტერიუმი 1 - წმინდა დაყვანილი ღირებულება (მლნ ლარი)</v>
      </c>
      <c r="B18" s="6">
        <f ca="1">IFERROR(B4*AHP!$B15,"")</f>
        <v>0.24614476156968265</v>
      </c>
      <c r="C18" s="6">
        <f ca="1">IFERROR(C4*AHP!$B15,"")</f>
        <v>0.2675486538800898</v>
      </c>
      <c r="D18" s="6">
        <f ca="1">IFERROR(D4*AHP!$B15,"")</f>
        <v>0.4922895231393653</v>
      </c>
      <c r="E18" s="6" t="str">
        <f ca="1">IFERROR(E4*AHP!$B15,"")</f>
        <v/>
      </c>
      <c r="F18" s="6" t="str">
        <f ca="1">IFERROR(F4*AHP!$B15,"")</f>
        <v/>
      </c>
      <c r="G18" s="6" t="str">
        <f ca="1">IFERROR(G4*AHP!$B15,"")</f>
        <v/>
      </c>
    </row>
    <row r="19" spans="1:7" x14ac:dyDescent="0.25">
      <c r="A19" t="str">
        <f>ქულები!A3</f>
        <v>კრიტერიუმი 2 - ენერგოეფექტურობა</v>
      </c>
      <c r="B19" s="6">
        <f ca="1">IFERROR(B5*AHP!$B16,"")</f>
        <v>0.38117474923337324</v>
      </c>
      <c r="C19" s="6">
        <f ca="1">IFERROR(C5*AHP!$B16,"")</f>
        <v>0.50823299897783103</v>
      </c>
      <c r="D19" s="6">
        <f ca="1">IFERROR(D5*AHP!$B16,"")</f>
        <v>0.6352912487222887</v>
      </c>
      <c r="E19" s="6" t="str">
        <f ca="1">IFERROR(E5*AHP!$B16,"")</f>
        <v/>
      </c>
      <c r="F19" s="6" t="str">
        <f ca="1">IFERROR(F5*AHP!$B16,"")</f>
        <v/>
      </c>
      <c r="G19" s="6" t="str">
        <f ca="1">IFERROR(G5*AHP!$B16,"")</f>
        <v/>
      </c>
    </row>
    <row r="20" spans="1:7" x14ac:dyDescent="0.25">
      <c r="A20" t="str">
        <f>ქულები!A4</f>
        <v>კრიტერიუმი 3 - ჯანმრთელობის რისკის შემცირება</v>
      </c>
      <c r="B20" s="6">
        <f ca="1">IFERROR(B6*AHP!$B17,"")</f>
        <v>0.98650648406558805</v>
      </c>
      <c r="C20" s="6">
        <f ca="1">IFERROR(C6*AHP!$B17,"")</f>
        <v>0.49325324203279403</v>
      </c>
      <c r="D20" s="6">
        <f ca="1">IFERROR(D6*AHP!$B17,"")</f>
        <v>0.73987986304919107</v>
      </c>
      <c r="E20" s="6" t="str">
        <f ca="1">IFERROR(E6*AHP!$B17,"")</f>
        <v/>
      </c>
      <c r="F20" s="6" t="str">
        <f ca="1">IFERROR(F6*AHP!$B17,"")</f>
        <v/>
      </c>
      <c r="G20" s="6" t="str">
        <f ca="1">IFERROR(G6*AHP!$B17,"")</f>
        <v/>
      </c>
    </row>
    <row r="21" spans="1:7" x14ac:dyDescent="0.25">
      <c r="A21" t="str">
        <f>ქულები!A5</f>
        <v>კრიტერიუმი 4 - ტყეების გაჩეხვის შემცირება</v>
      </c>
      <c r="B21" s="6">
        <f ca="1">IFERROR(B7*AHP!$B18,"")</f>
        <v>0.3599317168526468</v>
      </c>
      <c r="C21" s="6">
        <f ca="1">IFERROR(C7*AHP!$B18,"")</f>
        <v>0.4799089558035291</v>
      </c>
      <c r="D21" s="6">
        <f ca="1">IFERROR(D7*AHP!$B18,"")</f>
        <v>0.4799089558035291</v>
      </c>
      <c r="E21" s="6" t="str">
        <f ca="1">IFERROR(E7*AHP!$B18,"")</f>
        <v/>
      </c>
      <c r="F21" s="6" t="str">
        <f ca="1">IFERROR(F7*AHP!$B18,"")</f>
        <v/>
      </c>
      <c r="G21" s="6" t="str">
        <f ca="1">IFERROR(G7*AHP!$B18,"")</f>
        <v/>
      </c>
    </row>
    <row r="22" spans="1:7" x14ac:dyDescent="0.25">
      <c r="A22" t="str">
        <f>ქულები!A6</f>
        <v>კრიტერიუმი 5 - მიღწევადობა</v>
      </c>
      <c r="B22" s="6">
        <f ca="1">IFERROR(B8*AHP!$B19,"")</f>
        <v>0.13789415751903566</v>
      </c>
      <c r="C22" s="6">
        <f ca="1">IFERROR(C8*AHP!$B19,"")</f>
        <v>0.41368247255710694</v>
      </c>
      <c r="D22" s="6">
        <f ca="1">IFERROR(D8*AHP!$B19,"")</f>
        <v>0.55157663007614266</v>
      </c>
      <c r="E22" s="6" t="str">
        <f ca="1">IFERROR(E8*AHP!$B19,"")</f>
        <v/>
      </c>
      <c r="F22" s="6" t="str">
        <f ca="1">IFERROR(F8*AHP!$B19,"")</f>
        <v/>
      </c>
      <c r="G22" s="6" t="str">
        <f ca="1">IFERROR(G8*AHP!$B19,"")</f>
        <v/>
      </c>
    </row>
    <row r="23" spans="1:7" x14ac:dyDescent="0.25">
      <c r="A23" t="str">
        <f>ქულები!A7</f>
        <v>კრიტერიუმი 6 - რისკები</v>
      </c>
      <c r="B23" s="6">
        <f ca="1">IFERROR(B9*AHP!$B20,"")</f>
        <v>-0.28062472839358898</v>
      </c>
      <c r="C23" s="6">
        <f ca="1">IFERROR(C9*AHP!$B20,"")</f>
        <v>4.6770788065598173E-2</v>
      </c>
      <c r="D23" s="6">
        <f ca="1">IFERROR(D9*AHP!$B20,"")</f>
        <v>-9.3541576131196347E-2</v>
      </c>
      <c r="E23" s="6" t="str">
        <f ca="1">IFERROR(E9*AHP!$B20,"")</f>
        <v/>
      </c>
      <c r="F23" s="6" t="str">
        <f ca="1">IFERROR(F9*AHP!$B20,"")</f>
        <v/>
      </c>
      <c r="G23" s="6" t="str">
        <f ca="1">IFERROR(G9*AHP!$B20,"")</f>
        <v/>
      </c>
    </row>
    <row r="24" spans="1:7" x14ac:dyDescent="0.25">
      <c r="A24" t="str">
        <f>ქულები!A8</f>
        <v>კრიტერიუმი 7 - ბაზრის განვითარება</v>
      </c>
      <c r="B24" s="6">
        <f ca="1">IFERROR(B10*AHP!$B21,"")</f>
        <v>0.15947198846244651</v>
      </c>
      <c r="C24" s="6">
        <f ca="1">IFERROR(C10*AHP!$B21,"")</f>
        <v>-0.15947198846244651</v>
      </c>
      <c r="D24" s="6">
        <f ca="1">IFERROR(D10*AHP!$B21,"")</f>
        <v>0.31894397692489301</v>
      </c>
      <c r="E24" s="6" t="str">
        <f ca="1">IFERROR(E10*AHP!$B21,"")</f>
        <v/>
      </c>
      <c r="F24" s="6" t="str">
        <f ca="1">IFERROR(F10*AHP!$B21,"")</f>
        <v/>
      </c>
      <c r="G24" s="6" t="str">
        <f ca="1">IFERROR(G10*AHP!$B21,"")</f>
        <v/>
      </c>
    </row>
    <row r="25" spans="1:7" x14ac:dyDescent="0.25">
      <c r="A25" t="str">
        <f>ქულები!A9</f>
        <v/>
      </c>
      <c r="B25" s="6" t="str">
        <f>IFERROR(B11*AHP!$B22,"")</f>
        <v/>
      </c>
      <c r="C25" s="6" t="str">
        <f>IFERROR(C11*AHP!$B22,"")</f>
        <v/>
      </c>
      <c r="D25" s="6" t="str">
        <f>IFERROR(D11*AHP!$B22,"")</f>
        <v/>
      </c>
      <c r="E25" s="6" t="str">
        <f>IFERROR(E11*AHP!$B22,"")</f>
        <v/>
      </c>
      <c r="F25" s="6" t="str">
        <f>IFERROR(F11*AHP!$B22,"")</f>
        <v/>
      </c>
      <c r="G25" s="6" t="str">
        <f>IFERROR(G11*AHP!$B22,"")</f>
        <v/>
      </c>
    </row>
    <row r="26" spans="1:7" x14ac:dyDescent="0.25">
      <c r="A26" t="str">
        <f>ქულები!A10</f>
        <v/>
      </c>
      <c r="B26" s="6" t="str">
        <f>IFERROR(B12*AHP!$B23,"")</f>
        <v/>
      </c>
      <c r="C26" s="6" t="str">
        <f>IFERROR(C12*AHP!$B23,"")</f>
        <v/>
      </c>
      <c r="D26" s="6" t="str">
        <f>IFERROR(D12*AHP!$B23,"")</f>
        <v/>
      </c>
      <c r="E26" s="6" t="str">
        <f>IFERROR(E12*AHP!$B23,"")</f>
        <v/>
      </c>
      <c r="F26" s="6" t="str">
        <f>IFERROR(F12*AHP!$B23,"")</f>
        <v/>
      </c>
      <c r="G26" s="6" t="str">
        <f>IFERROR(G12*AHP!$B23,"")</f>
        <v/>
      </c>
    </row>
    <row r="27" spans="1:7" x14ac:dyDescent="0.25">
      <c r="A27" t="str">
        <f>ქულები!A11</f>
        <v/>
      </c>
      <c r="B27" s="6" t="str">
        <f>IFERROR(B13*AHP!$B24,"")</f>
        <v/>
      </c>
      <c r="C27" s="6" t="str">
        <f>IFERROR(C13*AHP!$B24,"")</f>
        <v/>
      </c>
      <c r="D27" s="6" t="str">
        <f>IFERROR(D13*AHP!$B24,"")</f>
        <v/>
      </c>
      <c r="E27" s="6" t="str">
        <f>IFERROR(E13*AHP!$B24,"")</f>
        <v/>
      </c>
      <c r="F27" s="6" t="str">
        <f>IFERROR(F13*AHP!$B24,"")</f>
        <v/>
      </c>
      <c r="G27" s="6" t="str">
        <f>IFERROR(G13*AHP!$B24,"")</f>
        <v/>
      </c>
    </row>
    <row r="29" spans="1:7" x14ac:dyDescent="0.25">
      <c r="A29" s="25" t="s">
        <v>35</v>
      </c>
      <c r="B29" s="26"/>
      <c r="C29" s="26"/>
      <c r="D29" s="27"/>
      <c r="E29" s="27"/>
      <c r="F29" s="27"/>
      <c r="G29" s="28"/>
    </row>
    <row r="31" spans="1:7" x14ac:dyDescent="0.25">
      <c r="A31" s="1" t="s">
        <v>2</v>
      </c>
      <c r="B31" s="1" t="s">
        <v>15</v>
      </c>
      <c r="C31" s="1" t="s">
        <v>1</v>
      </c>
      <c r="D31" s="1"/>
    </row>
    <row r="32" spans="1:7" x14ac:dyDescent="0.25">
      <c r="A32" t="str">
        <f>ქულები!A2</f>
        <v>კრიტერიუმი 1 - წმინდა დაყვანილი ღირებულება (მლნ ლარი)</v>
      </c>
      <c r="B32" s="6">
        <f ca="1">IF(COUNT(B18:G18)&gt;0,MAX(B18:G18),"")</f>
        <v>0.4922895231393653</v>
      </c>
      <c r="C32" s="6">
        <f ca="1">IF(COUNT(B18:G18)&gt;0,MIN(B18:G18),"")</f>
        <v>0.24614476156968265</v>
      </c>
      <c r="D32" s="6"/>
    </row>
    <row r="33" spans="1:7" x14ac:dyDescent="0.25">
      <c r="A33" t="str">
        <f>ქულები!A3</f>
        <v>კრიტერიუმი 2 - ენერგოეფექტურობა</v>
      </c>
      <c r="B33" s="6">
        <f t="shared" ref="B33:B41" ca="1" si="0">IF(COUNT(B19:G19)&gt;0,MAX(B19:G19),"")</f>
        <v>0.6352912487222887</v>
      </c>
      <c r="C33" s="6">
        <f t="shared" ref="C33:C41" ca="1" si="1">IF(COUNT(B19:G19)&gt;0,MIN(B19:G19),"")</f>
        <v>0.38117474923337324</v>
      </c>
      <c r="D33" s="6"/>
    </row>
    <row r="34" spans="1:7" x14ac:dyDescent="0.25">
      <c r="A34" t="str">
        <f>ქულები!A4</f>
        <v>კრიტერიუმი 3 - ჯანმრთელობის რისკის შემცირება</v>
      </c>
      <c r="B34" s="6">
        <f t="shared" ca="1" si="0"/>
        <v>0.98650648406558805</v>
      </c>
      <c r="C34" s="6">
        <f t="shared" ca="1" si="1"/>
        <v>0.49325324203279403</v>
      </c>
      <c r="D34" s="6"/>
    </row>
    <row r="35" spans="1:7" x14ac:dyDescent="0.25">
      <c r="A35" t="str">
        <f>ქულები!A5</f>
        <v>კრიტერიუმი 4 - ტყეების გაჩეხვის შემცირება</v>
      </c>
      <c r="B35" s="6">
        <f t="shared" ca="1" si="0"/>
        <v>0.4799089558035291</v>
      </c>
      <c r="C35" s="6">
        <f t="shared" ca="1" si="1"/>
        <v>0.3599317168526468</v>
      </c>
      <c r="D35" s="6"/>
    </row>
    <row r="36" spans="1:7" x14ac:dyDescent="0.25">
      <c r="A36" t="str">
        <f>ქულები!A6</f>
        <v>კრიტერიუმი 5 - მიღწევადობა</v>
      </c>
      <c r="B36" s="6">
        <f t="shared" ca="1" si="0"/>
        <v>0.55157663007614266</v>
      </c>
      <c r="C36" s="6">
        <f t="shared" ca="1" si="1"/>
        <v>0.13789415751903566</v>
      </c>
      <c r="D36" s="6"/>
    </row>
    <row r="37" spans="1:7" x14ac:dyDescent="0.25">
      <c r="A37" t="str">
        <f>ქულები!A7</f>
        <v>კრიტერიუმი 6 - რისკები</v>
      </c>
      <c r="B37" s="6">
        <f t="shared" ca="1" si="0"/>
        <v>4.6770788065598173E-2</v>
      </c>
      <c r="C37" s="6">
        <f t="shared" ca="1" si="1"/>
        <v>-0.28062472839358898</v>
      </c>
      <c r="D37" s="6"/>
    </row>
    <row r="38" spans="1:7" x14ac:dyDescent="0.25">
      <c r="A38" t="str">
        <f>ქულები!A8</f>
        <v>კრიტერიუმი 7 - ბაზრის განვითარება</v>
      </c>
      <c r="B38" s="6">
        <f t="shared" ca="1" si="0"/>
        <v>0.31894397692489301</v>
      </c>
      <c r="C38" s="6">
        <f t="shared" ca="1" si="1"/>
        <v>-0.15947198846244651</v>
      </c>
      <c r="D38" s="6"/>
    </row>
    <row r="39" spans="1:7" x14ac:dyDescent="0.25">
      <c r="A39" t="str">
        <f>ქულები!A9</f>
        <v/>
      </c>
      <c r="B39" s="6" t="str">
        <f t="shared" si="0"/>
        <v/>
      </c>
      <c r="C39" s="6" t="str">
        <f t="shared" si="1"/>
        <v/>
      </c>
    </row>
    <row r="40" spans="1:7" x14ac:dyDescent="0.25">
      <c r="A40" t="str">
        <f>ქულები!A10</f>
        <v/>
      </c>
      <c r="B40" s="6" t="str">
        <f t="shared" si="0"/>
        <v/>
      </c>
      <c r="C40" s="6" t="str">
        <f t="shared" si="1"/>
        <v/>
      </c>
    </row>
    <row r="41" spans="1:7" x14ac:dyDescent="0.25">
      <c r="A41" t="str">
        <f>ქულები!A11</f>
        <v/>
      </c>
      <c r="B41" s="6" t="str">
        <f t="shared" si="0"/>
        <v/>
      </c>
      <c r="C41" s="6" t="str">
        <f t="shared" si="1"/>
        <v/>
      </c>
    </row>
    <row r="43" spans="1:7" x14ac:dyDescent="0.25">
      <c r="A43" s="25" t="s">
        <v>39</v>
      </c>
      <c r="B43" s="26"/>
      <c r="C43" s="26"/>
      <c r="D43" s="27"/>
      <c r="E43" s="27"/>
      <c r="F43" s="27"/>
      <c r="G43" s="28"/>
    </row>
    <row r="45" spans="1:7" x14ac:dyDescent="0.25">
      <c r="A45" s="1" t="s">
        <v>2</v>
      </c>
      <c r="B45" s="1" t="str" cm="1">
        <f t="array" ref="B45:D45">TRANSPOSE("ალტერნატივა "&amp;_xlfn.SEQUENCE('საწყისი ეტაპი'!B14))</f>
        <v>ალტერნატივა 1</v>
      </c>
      <c r="C45" s="1" t="str">
        <v>ალტერნატივა 2</v>
      </c>
      <c r="D45" s="1" t="str">
        <v>ალტერნატივა 3</v>
      </c>
      <c r="E45" s="1"/>
      <c r="F45" s="1"/>
      <c r="G45" s="1"/>
    </row>
    <row r="46" spans="1:7" x14ac:dyDescent="0.25">
      <c r="A46" t="str">
        <f>ქულები!A2</f>
        <v>კრიტერიუმი 1 - წმინდა დაყვანილი ღირებულება (მლნ ლარი)</v>
      </c>
      <c r="B46" s="6">
        <f ca="1">IFERROR((B18-$B32)^2,"")</f>
        <v>6.058724364819592E-2</v>
      </c>
      <c r="C46" s="6">
        <f ca="1">IFERROR((C18-$B32)^2,"")</f>
        <v>5.0508458315414763E-2</v>
      </c>
      <c r="D46" s="6">
        <f t="shared" ref="D46:G46" ca="1" si="2">IFERROR((D18-$B32)^2,"")</f>
        <v>0</v>
      </c>
      <c r="E46" s="6" t="str">
        <f t="shared" ca="1" si="2"/>
        <v/>
      </c>
      <c r="F46" s="6" t="str">
        <f t="shared" ca="1" si="2"/>
        <v/>
      </c>
      <c r="G46" s="6" t="str">
        <f t="shared" ca="1" si="2"/>
        <v/>
      </c>
    </row>
    <row r="47" spans="1:7" x14ac:dyDescent="0.25">
      <c r="A47" t="str">
        <f>ქულები!A3</f>
        <v>კრიტერიუმი 2 - ენერგოეფექტურობა</v>
      </c>
      <c r="B47" s="6">
        <f t="shared" ref="B47:G47" ca="1" si="3">IFERROR((B19-$B33)^2,"")</f>
        <v>6.4575195312499972E-2</v>
      </c>
      <c r="C47" s="6">
        <f t="shared" ca="1" si="3"/>
        <v>1.6143798828124979E-2</v>
      </c>
      <c r="D47" s="6">
        <f t="shared" ca="1" si="3"/>
        <v>0</v>
      </c>
      <c r="E47" s="6" t="str">
        <f t="shared" ca="1" si="3"/>
        <v/>
      </c>
      <c r="F47" s="6" t="str">
        <f t="shared" ca="1" si="3"/>
        <v/>
      </c>
      <c r="G47" s="6" t="str">
        <f t="shared" ca="1" si="3"/>
        <v/>
      </c>
    </row>
    <row r="48" spans="1:7" x14ac:dyDescent="0.25">
      <c r="A48" t="str">
        <f>ქულები!A4</f>
        <v>კრიტერიუმი 3 - ჯანმრთელობის რისკის შემცირება</v>
      </c>
      <c r="B48" s="6">
        <f t="shared" ref="B48:G48" ca="1" si="4">IFERROR((B20-$B34)^2,"")</f>
        <v>0</v>
      </c>
      <c r="C48" s="6">
        <f t="shared" ca="1" si="4"/>
        <v>0.24329876077586207</v>
      </c>
      <c r="D48" s="6">
        <f t="shared" ca="1" si="4"/>
        <v>6.0824690193965504E-2</v>
      </c>
      <c r="E48" s="6" t="str">
        <f t="shared" ca="1" si="4"/>
        <v/>
      </c>
      <c r="F48" s="6" t="str">
        <f t="shared" ca="1" si="4"/>
        <v/>
      </c>
      <c r="G48" s="6" t="str">
        <f t="shared" ca="1" si="4"/>
        <v/>
      </c>
    </row>
    <row r="49" spans="1:7" x14ac:dyDescent="0.25">
      <c r="A49" t="str">
        <f>ქულები!A5</f>
        <v>კრიტერიუმი 4 - ტყეების გაჩეხვის შემცირება</v>
      </c>
      <c r="B49" s="6">
        <f t="shared" ref="B49:G49" ca="1" si="5">IFERROR((B21-$B35)^2,"")</f>
        <v>1.439453786627711E-2</v>
      </c>
      <c r="C49" s="6">
        <f t="shared" ca="1" si="5"/>
        <v>0</v>
      </c>
      <c r="D49" s="6">
        <f t="shared" ca="1" si="5"/>
        <v>0</v>
      </c>
      <c r="E49" s="6" t="str">
        <f t="shared" ca="1" si="5"/>
        <v/>
      </c>
      <c r="F49" s="6" t="str">
        <f t="shared" ca="1" si="5"/>
        <v/>
      </c>
      <c r="G49" s="6" t="str">
        <f t="shared" ca="1" si="5"/>
        <v/>
      </c>
    </row>
    <row r="50" spans="1:7" x14ac:dyDescent="0.25">
      <c r="A50" t="str">
        <f>ქულები!A6</f>
        <v>კრიტერიუმი 5 - მიღწევადობა</v>
      </c>
      <c r="B50" s="6">
        <f t="shared" ref="B50:G50" ca="1" si="6">IFERROR((B22-$B36)^2,"")</f>
        <v>0.17113318810096159</v>
      </c>
      <c r="C50" s="6">
        <f t="shared" ca="1" si="6"/>
        <v>1.9014798677884637E-2</v>
      </c>
      <c r="D50" s="6">
        <f t="shared" ca="1" si="6"/>
        <v>0</v>
      </c>
      <c r="E50" s="6" t="str">
        <f t="shared" ca="1" si="6"/>
        <v/>
      </c>
      <c r="F50" s="6" t="str">
        <f t="shared" ca="1" si="6"/>
        <v/>
      </c>
      <c r="G50" s="6" t="str">
        <f t="shared" ca="1" si="6"/>
        <v/>
      </c>
    </row>
    <row r="51" spans="1:7" x14ac:dyDescent="0.25">
      <c r="A51" t="str">
        <f>ქულები!A7</f>
        <v>კრიტერიუმი 6 - რისკები</v>
      </c>
      <c r="B51" s="6">
        <f t="shared" ref="B51:G51" ca="1" si="7">IFERROR((B23-$B37)^2,"")</f>
        <v>0.10718782419757791</v>
      </c>
      <c r="C51" s="6">
        <f t="shared" ca="1" si="7"/>
        <v>0</v>
      </c>
      <c r="D51" s="6">
        <f t="shared" ca="1" si="7"/>
        <v>1.9687559546493906E-2</v>
      </c>
      <c r="E51" s="6" t="str">
        <f t="shared" ca="1" si="7"/>
        <v/>
      </c>
      <c r="F51" s="6" t="str">
        <f t="shared" ca="1" si="7"/>
        <v/>
      </c>
      <c r="G51" s="6" t="str">
        <f t="shared" ca="1" si="7"/>
        <v/>
      </c>
    </row>
    <row r="52" spans="1:7" x14ac:dyDescent="0.25">
      <c r="A52" t="str">
        <f>ქულები!A8</f>
        <v>კრიტერიუმი 7 - ბაზრის განვითარება</v>
      </c>
      <c r="B52" s="6">
        <f t="shared" ref="B52:G52" ca="1" si="8">IFERROR((B24-$B38)^2,"")</f>
        <v>2.5431315104166671E-2</v>
      </c>
      <c r="C52" s="6">
        <f t="shared" ca="1" si="8"/>
        <v>0.22888183593750008</v>
      </c>
      <c r="D52" s="6">
        <f ca="1">IFERROR((D24-$B38)^2,"")</f>
        <v>0</v>
      </c>
      <c r="E52" s="6" t="str">
        <f t="shared" ca="1" si="8"/>
        <v/>
      </c>
      <c r="F52" s="6" t="str">
        <f t="shared" ca="1" si="8"/>
        <v/>
      </c>
      <c r="G52" s="6" t="str">
        <f t="shared" ca="1" si="8"/>
        <v/>
      </c>
    </row>
    <row r="53" spans="1:7" x14ac:dyDescent="0.25">
      <c r="A53" t="str">
        <f>ქულები!A9</f>
        <v/>
      </c>
      <c r="B53" s="6" t="str">
        <f t="shared" ref="B53:G53" si="9">IFERROR((B25-$B39)^2,"")</f>
        <v/>
      </c>
      <c r="C53" s="6" t="str">
        <f t="shared" si="9"/>
        <v/>
      </c>
      <c r="D53" s="6" t="str">
        <f t="shared" si="9"/>
        <v/>
      </c>
      <c r="E53" s="6" t="str">
        <f t="shared" si="9"/>
        <v/>
      </c>
      <c r="F53" s="6" t="str">
        <f t="shared" si="9"/>
        <v/>
      </c>
      <c r="G53" s="6" t="str">
        <f t="shared" si="9"/>
        <v/>
      </c>
    </row>
    <row r="54" spans="1:7" x14ac:dyDescent="0.25">
      <c r="A54" t="str">
        <f>ქულები!A10</f>
        <v/>
      </c>
      <c r="B54" s="6" t="str">
        <f t="shared" ref="B54:G54" si="10">IFERROR((B26-$B40)^2,"")</f>
        <v/>
      </c>
      <c r="C54" s="6" t="str">
        <f t="shared" si="10"/>
        <v/>
      </c>
      <c r="D54" s="6" t="str">
        <f t="shared" si="10"/>
        <v/>
      </c>
      <c r="E54" s="6" t="str">
        <f t="shared" si="10"/>
        <v/>
      </c>
      <c r="F54" s="6" t="str">
        <f t="shared" si="10"/>
        <v/>
      </c>
      <c r="G54" s="6" t="str">
        <f t="shared" si="10"/>
        <v/>
      </c>
    </row>
    <row r="55" spans="1:7" x14ac:dyDescent="0.25">
      <c r="A55" t="str">
        <f>ქულები!A11</f>
        <v/>
      </c>
      <c r="B55" s="6" t="str">
        <f t="shared" ref="B55:G55" si="11">IFERROR((B27-$B41)^2,"")</f>
        <v/>
      </c>
      <c r="C55" s="6" t="str">
        <f t="shared" si="11"/>
        <v/>
      </c>
      <c r="D55" s="6" t="str">
        <f t="shared" si="11"/>
        <v/>
      </c>
      <c r="E55" s="6" t="str">
        <f t="shared" si="11"/>
        <v/>
      </c>
      <c r="F55" s="6" t="str">
        <f t="shared" si="11"/>
        <v/>
      </c>
      <c r="G55" s="6" t="str">
        <f t="shared" si="11"/>
        <v/>
      </c>
    </row>
    <row r="57" spans="1:7" x14ac:dyDescent="0.25">
      <c r="A57" s="25" t="s">
        <v>40</v>
      </c>
      <c r="B57" s="26"/>
      <c r="C57" s="26"/>
      <c r="D57" s="27"/>
      <c r="E57" s="27"/>
      <c r="F57" s="27"/>
      <c r="G57" s="28"/>
    </row>
    <row r="59" spans="1:7" x14ac:dyDescent="0.25">
      <c r="A59" s="1" t="s">
        <v>2</v>
      </c>
      <c r="B59" s="1" t="str" cm="1">
        <f t="array" ref="B59:D59">TRANSPOSE("ალტერნატივა "&amp;_xlfn.SEQUENCE('საწყისი ეტაპი'!B14))</f>
        <v>ალტერნატივა 1</v>
      </c>
      <c r="C59" s="1" t="str">
        <v>ალტერნატივა 2</v>
      </c>
      <c r="D59" s="1" t="str">
        <v>ალტერნატივა 3</v>
      </c>
      <c r="E59" s="1"/>
      <c r="F59" s="1"/>
      <c r="G59" s="1"/>
    </row>
    <row r="60" spans="1:7" x14ac:dyDescent="0.25">
      <c r="A60" t="str">
        <f>ქულები!A2</f>
        <v>კრიტერიუმი 1 - წმინდა დაყვანილი ღირებულება (მლნ ლარი)</v>
      </c>
      <c r="B60" s="6">
        <f ca="1">IFERROR((B18-$C32)^2,"")</f>
        <v>0</v>
      </c>
      <c r="C60" s="6">
        <f t="shared" ref="C60:G60" ca="1" si="12">IFERROR((C18-$C32)^2,"")</f>
        <v>4.5812660603550639E-4</v>
      </c>
      <c r="D60" s="6">
        <f t="shared" ca="1" si="12"/>
        <v>6.058724364819592E-2</v>
      </c>
      <c r="E60" s="6" t="str">
        <f t="shared" ca="1" si="12"/>
        <v/>
      </c>
      <c r="F60" s="6" t="str">
        <f t="shared" ca="1" si="12"/>
        <v/>
      </c>
      <c r="G60" s="6" t="str">
        <f t="shared" ca="1" si="12"/>
        <v/>
      </c>
    </row>
    <row r="61" spans="1:7" x14ac:dyDescent="0.25">
      <c r="A61" t="str">
        <f>ქულები!A3</f>
        <v>კრიტერიუმი 2 - ენერგოეფექტურობა</v>
      </c>
      <c r="B61" s="6">
        <f t="shared" ref="B61:G61" ca="1" si="13">IFERROR((B19-$C33)^2,"")</f>
        <v>0</v>
      </c>
      <c r="C61" s="6">
        <f t="shared" ca="1" si="13"/>
        <v>1.6143798828125007E-2</v>
      </c>
      <c r="D61" s="6">
        <f t="shared" ca="1" si="13"/>
        <v>6.4575195312499972E-2</v>
      </c>
      <c r="E61" s="6" t="str">
        <f t="shared" ca="1" si="13"/>
        <v/>
      </c>
      <c r="F61" s="6" t="str">
        <f t="shared" ca="1" si="13"/>
        <v/>
      </c>
      <c r="G61" s="6" t="str">
        <f t="shared" ca="1" si="13"/>
        <v/>
      </c>
    </row>
    <row r="62" spans="1:7" x14ac:dyDescent="0.25">
      <c r="A62" t="str">
        <f>ქულები!A4</f>
        <v>კრიტერიუმი 3 - ჯანმრთელობის რისკის შემცირება</v>
      </c>
      <c r="B62" s="6">
        <f t="shared" ref="B62:G62" ca="1" si="14">IFERROR((B20-$C34)^2,"")</f>
        <v>0.24329876077586207</v>
      </c>
      <c r="C62" s="6">
        <f t="shared" ca="1" si="14"/>
        <v>0</v>
      </c>
      <c r="D62" s="6">
        <f t="shared" ca="1" si="14"/>
        <v>6.0824690193965532E-2</v>
      </c>
      <c r="E62" s="6" t="str">
        <f t="shared" ca="1" si="14"/>
        <v/>
      </c>
      <c r="F62" s="6" t="str">
        <f t="shared" ca="1" si="14"/>
        <v/>
      </c>
      <c r="G62" s="6" t="str">
        <f t="shared" ca="1" si="14"/>
        <v/>
      </c>
    </row>
    <row r="63" spans="1:7" x14ac:dyDescent="0.25">
      <c r="A63" t="str">
        <f>ქულები!A5</f>
        <v>კრიტერიუმი 4 - ტყეების გაჩეხვის შემცირება</v>
      </c>
      <c r="B63" s="6">
        <f t="shared" ref="B63:G63" ca="1" si="15">IFERROR((B21-$C35)^2,"")</f>
        <v>0</v>
      </c>
      <c r="C63" s="6">
        <f t="shared" ca="1" si="15"/>
        <v>1.439453786627711E-2</v>
      </c>
      <c r="D63" s="6">
        <f t="shared" ca="1" si="15"/>
        <v>1.439453786627711E-2</v>
      </c>
      <c r="E63" s="6" t="str">
        <f t="shared" ca="1" si="15"/>
        <v/>
      </c>
      <c r="F63" s="6" t="str">
        <f t="shared" ca="1" si="15"/>
        <v/>
      </c>
      <c r="G63" s="6" t="str">
        <f t="shared" ca="1" si="15"/>
        <v/>
      </c>
    </row>
    <row r="64" spans="1:7" x14ac:dyDescent="0.25">
      <c r="A64" t="str">
        <f>ქულები!A6</f>
        <v>კრიტერიუმი 5 - მიღწევადობა</v>
      </c>
      <c r="B64" s="6">
        <f t="shared" ref="B64:G64" ca="1" si="16">IFERROR((B22-$C36)^2,"")</f>
        <v>0</v>
      </c>
      <c r="C64" s="6">
        <f t="shared" ca="1" si="16"/>
        <v>7.605919471153845E-2</v>
      </c>
      <c r="D64" s="6">
        <f t="shared" ca="1" si="16"/>
        <v>0.17113318810096159</v>
      </c>
      <c r="E64" s="6" t="str">
        <f t="shared" ca="1" si="16"/>
        <v/>
      </c>
      <c r="F64" s="6" t="str">
        <f t="shared" ca="1" si="16"/>
        <v/>
      </c>
      <c r="G64" s="6" t="str">
        <f t="shared" ca="1" si="16"/>
        <v/>
      </c>
    </row>
    <row r="65" spans="1:7" x14ac:dyDescent="0.25">
      <c r="A65" t="str">
        <f>ქულები!A7</f>
        <v>კრიტერიუმი 6 - რისკები</v>
      </c>
      <c r="B65" s="6">
        <f t="shared" ref="B65:G65" ca="1" si="17">IFERROR((B23-$C37)^2,"")</f>
        <v>0</v>
      </c>
      <c r="C65" s="6">
        <f t="shared" ca="1" si="17"/>
        <v>0.10718782419757791</v>
      </c>
      <c r="D65" s="6">
        <f t="shared" ca="1" si="17"/>
        <v>3.5000105860433589E-2</v>
      </c>
      <c r="E65" s="6" t="str">
        <f t="shared" ca="1" si="17"/>
        <v/>
      </c>
      <c r="F65" s="6" t="str">
        <f t="shared" ca="1" si="17"/>
        <v/>
      </c>
      <c r="G65" s="6" t="str">
        <f t="shared" ca="1" si="17"/>
        <v/>
      </c>
    </row>
    <row r="66" spans="1:7" x14ac:dyDescent="0.25">
      <c r="A66" t="str">
        <f>ქულები!A8</f>
        <v>კრიტერიუმი 7 - ბაზრის განვითარება</v>
      </c>
      <c r="B66" s="6">
        <f t="shared" ref="B66:G66" ca="1" si="18">IFERROR((B24-$C38)^2,"")</f>
        <v>0.10172526041666669</v>
      </c>
      <c r="C66" s="6">
        <f t="shared" ca="1" si="18"/>
        <v>0</v>
      </c>
      <c r="D66" s="6">
        <f t="shared" ca="1" si="18"/>
        <v>0.22888183593750008</v>
      </c>
      <c r="E66" s="6" t="str">
        <f t="shared" ca="1" si="18"/>
        <v/>
      </c>
      <c r="F66" s="6" t="str">
        <f t="shared" ca="1" si="18"/>
        <v/>
      </c>
      <c r="G66" s="6" t="str">
        <f t="shared" ca="1" si="18"/>
        <v/>
      </c>
    </row>
    <row r="67" spans="1:7" x14ac:dyDescent="0.25">
      <c r="A67" t="str">
        <f>ქულები!A9</f>
        <v/>
      </c>
      <c r="B67" s="6" t="str">
        <f t="shared" ref="B67:G67" si="19">IFERROR((B25-$C39)^2,"")</f>
        <v/>
      </c>
      <c r="C67" s="6" t="str">
        <f t="shared" si="19"/>
        <v/>
      </c>
      <c r="D67" s="6" t="str">
        <f t="shared" si="19"/>
        <v/>
      </c>
      <c r="E67" s="6" t="str">
        <f t="shared" si="19"/>
        <v/>
      </c>
      <c r="F67" s="6" t="str">
        <f t="shared" si="19"/>
        <v/>
      </c>
      <c r="G67" s="6" t="str">
        <f t="shared" si="19"/>
        <v/>
      </c>
    </row>
    <row r="68" spans="1:7" x14ac:dyDescent="0.25">
      <c r="A68" t="str">
        <f>ქულები!A10</f>
        <v/>
      </c>
      <c r="B68" s="6" t="str">
        <f t="shared" ref="B68:G68" si="20">IFERROR((B26-$C40)^2,"")</f>
        <v/>
      </c>
      <c r="C68" s="6" t="str">
        <f t="shared" si="20"/>
        <v/>
      </c>
      <c r="D68" s="6" t="str">
        <f t="shared" si="20"/>
        <v/>
      </c>
      <c r="E68" s="6" t="str">
        <f t="shared" si="20"/>
        <v/>
      </c>
      <c r="F68" s="6" t="str">
        <f t="shared" si="20"/>
        <v/>
      </c>
      <c r="G68" s="6" t="str">
        <f t="shared" si="20"/>
        <v/>
      </c>
    </row>
    <row r="69" spans="1:7" x14ac:dyDescent="0.25">
      <c r="A69" t="str">
        <f>ქულები!A11</f>
        <v/>
      </c>
      <c r="B69" s="6" t="str">
        <f t="shared" ref="B69:G69" si="21">IFERROR((B27-$C41)^2,"")</f>
        <v/>
      </c>
      <c r="C69" s="6" t="str">
        <f t="shared" si="21"/>
        <v/>
      </c>
      <c r="D69" s="6" t="str">
        <f t="shared" si="21"/>
        <v/>
      </c>
      <c r="E69" s="6" t="str">
        <f t="shared" si="21"/>
        <v/>
      </c>
      <c r="F69" s="6" t="str">
        <f t="shared" si="21"/>
        <v/>
      </c>
      <c r="G69" s="6" t="str">
        <f t="shared" si="21"/>
        <v/>
      </c>
    </row>
    <row r="71" spans="1:7" x14ac:dyDescent="0.25">
      <c r="A71" s="25" t="s">
        <v>36</v>
      </c>
      <c r="B71" s="26"/>
      <c r="C71" s="26"/>
      <c r="D71" s="27"/>
      <c r="E71" s="27"/>
      <c r="F71" s="27"/>
      <c r="G71" s="28"/>
    </row>
    <row r="73" spans="1:7" x14ac:dyDescent="0.25">
      <c r="A73" s="2" t="s">
        <v>14</v>
      </c>
      <c r="B73" s="2" t="s">
        <v>41</v>
      </c>
    </row>
    <row r="74" spans="1:7" x14ac:dyDescent="0.25">
      <c r="A74" t="str" cm="1">
        <f t="array" ref="A74:A76">"ალტერნატივა "&amp;_xlfn.SEQUENCE('საწყისი ეტაპი'!B14)</f>
        <v>ალტერნატივა 1</v>
      </c>
      <c r="B74" s="6">
        <f ca="1">IFERROR(IF(A74&lt;&gt;"",SQRT(SUM(B60:B69))/SUM(SQRT(SUM(B46:B55)),SQRT(SUM(B60:B69))),""),"")</f>
        <v>0.46870923470678139</v>
      </c>
    </row>
    <row r="75" spans="1:7" x14ac:dyDescent="0.25">
      <c r="A75" t="str">
        <v>ალტერნატივა 2</v>
      </c>
      <c r="B75" s="6">
        <f ca="1">IFERROR(IF(A75&lt;&gt;"",SQRT(SUM(C60:C69))/SUM(SQRT(SUM(C46:C55)),SQRT(SUM(C60:C69))),""),"")</f>
        <v>0.38260960756098716</v>
      </c>
    </row>
    <row r="76" spans="1:7" x14ac:dyDescent="0.25">
      <c r="A76" t="str">
        <v>ალტერნატივა 3</v>
      </c>
      <c r="B76" s="6">
        <f ca="1">IFERROR(IF(A76&lt;&gt;"",SQRT(SUM(D60:D69))/SUM(SQRT(SUM(D46:D55)),SQRT(SUM(D60:D69))),""),"")</f>
        <v>0.73748163962721458</v>
      </c>
    </row>
    <row r="77" spans="1:7" x14ac:dyDescent="0.25">
      <c r="B77" s="6" t="str">
        <f>IFERROR(IF(A77&lt;&gt;"",SQRT(SUM(E60:E69))/SUM(SQRT(SUM(E46:E55)),SQRT(SUM(E60:E69))),""),"")</f>
        <v/>
      </c>
    </row>
    <row r="78" spans="1:7" x14ac:dyDescent="0.25">
      <c r="B78" s="6" t="str">
        <f>IFERROR(IF(A78&lt;&gt;"",SQRT(SUM(F60:F69))/SUM(SQRT(SUM(F46:F55)),SQRT(SUM(F60:F69))),""),"")</f>
        <v/>
      </c>
    </row>
    <row r="79" spans="1:7" x14ac:dyDescent="0.25">
      <c r="B79" s="6" t="str">
        <f>IFERROR(IF(A79&lt;&gt;"",SQRT(SUM(G60:G69))/SUM(SQRT(SUM(G46:G55)),SQRT(SUM(G60:G69))),""),"")</f>
        <v/>
      </c>
    </row>
    <row r="80" spans="1:7" x14ac:dyDescent="0.25">
      <c r="B80" s="6"/>
    </row>
  </sheetData>
  <phoneticPr fontId="3" type="noConversion"/>
  <conditionalFormatting sqref="A74:B74 A75:A79 B75:B80">
    <cfRule type="expression" dxfId="5" priority="1">
      <formula>$A74&lt;&gt;""</formula>
    </cfRule>
  </conditionalFormatting>
  <conditionalFormatting sqref="A31:D32 D33:D38 A33:C41">
    <cfRule type="expression" dxfId="4" priority="5" stopIfTrue="1">
      <formula>AND($A31&lt;&gt;"",A$31&lt;&gt;"")</formula>
    </cfRule>
  </conditionalFormatting>
  <conditionalFormatting sqref="A3:G13">
    <cfRule type="expression" dxfId="3" priority="8">
      <formula>AND($A3&lt;&gt;"",A$3&lt;&gt;"")</formula>
    </cfRule>
  </conditionalFormatting>
  <conditionalFormatting sqref="A17:G27">
    <cfRule type="expression" dxfId="2" priority="7" stopIfTrue="1">
      <formula>AND($A17&lt;&gt;"",A$17&lt;&gt;"")</formula>
    </cfRule>
  </conditionalFormatting>
  <conditionalFormatting sqref="A45:G55">
    <cfRule type="expression" dxfId="1" priority="4">
      <formula>AND($A45&lt;&gt;"",A$45&lt;&gt;"")</formula>
    </cfRule>
  </conditionalFormatting>
  <conditionalFormatting sqref="A59:G69">
    <cfRule type="expression" dxfId="0" priority="3">
      <formula>AND($A59&lt;&gt;"",A$45&lt;&gt;"")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20</vt:i4>
      </vt:variant>
    </vt:vector>
  </HeadingPairs>
  <TitlesOfParts>
    <vt:vector size="27" baseType="lpstr">
      <vt:lpstr>საწყისი ეტაპი</vt:lpstr>
      <vt:lpstr>წონები</vt:lpstr>
      <vt:lpstr>ქულები</vt:lpstr>
      <vt:lpstr>შედეგები</vt:lpstr>
      <vt:lpstr>AHP</vt:lpstr>
      <vt:lpstr>AHP თანმიმდევრულობა</vt:lpstr>
      <vt:lpstr>TOPSIS</vt:lpstr>
      <vt:lpstr>matrix_A1</vt:lpstr>
      <vt:lpstr>matrix_A10</vt:lpstr>
      <vt:lpstr>matrix_A2</vt:lpstr>
      <vt:lpstr>matrix_A3</vt:lpstr>
      <vt:lpstr>matrix_A4</vt:lpstr>
      <vt:lpstr>matrix_A5</vt:lpstr>
      <vt:lpstr>matrix_A6</vt:lpstr>
      <vt:lpstr>matrix_A7</vt:lpstr>
      <vt:lpstr>matrix_A8</vt:lpstr>
      <vt:lpstr>matrix_A9</vt:lpstr>
      <vt:lpstr>matrix_P1</vt:lpstr>
      <vt:lpstr>matrix_P10</vt:lpstr>
      <vt:lpstr>matrix_P2</vt:lpstr>
      <vt:lpstr>matrix_P3</vt:lpstr>
      <vt:lpstr>matrix_P4</vt:lpstr>
      <vt:lpstr>matrix_P5</vt:lpstr>
      <vt:lpstr>matrix_P6</vt:lpstr>
      <vt:lpstr>matrix_P7</vt:lpstr>
      <vt:lpstr>matrix_P8</vt:lpstr>
      <vt:lpstr>matrix_P9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Levan Pavlenishvili</dc:creator>
  <cp:lastModifiedBy>Elene Sakvarelidze</cp:lastModifiedBy>
  <dcterms:created xsi:type="dcterms:W3CDTF">2024-04-25T15:26:24Z</dcterms:created>
  <dcterms:modified xsi:type="dcterms:W3CDTF">2024-07-01T15:17:22Z</dcterms:modified>
</cp:coreProperties>
</file>