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080" yWindow="0" windowWidth="20376" windowHeight="12816" tabRatio="755"/>
  </bookViews>
  <sheets>
    <sheet name="Introduction" sheetId="13" r:id="rId1"/>
    <sheet name="I. Summary Outputs" sheetId="1" r:id="rId2"/>
    <sheet name="II. Inputs, Baseline Energy Mix" sheetId="6" r:id="rId3"/>
    <sheet name="III. Inputs, Renewable Energy" sheetId="8" r:id="rId4"/>
    <sheet name="IV. LCOE, Baseline Energy Mix" sheetId="7" r:id="rId5"/>
    <sheet name="V. LCOE, Ren. En. Generation" sheetId="4" r:id="rId6"/>
    <sheet name="VI. LCOE, Ren. En. Grid Intconx" sheetId="17" r:id="rId7"/>
    <sheet name="VII. Sensitivity Outputs" sheetId="18" r:id="rId8"/>
    <sheet name="VIII. Report Table" sheetId="16" r:id="rId9"/>
    <sheet name="IX. Additional Data" sheetId="9" r:id="rId10"/>
    <sheet name="X. Supplementary Info" sheetId="14" r:id="rId11"/>
    <sheet name="IX. Notes" sheetId="19" r:id="rId12"/>
    <sheet name="Backup" sheetId="5" state="hidden" r:id="rId13"/>
  </sheets>
  <externalReferences>
    <externalReference r:id="rId14"/>
    <externalReference r:id="rId15"/>
  </externalReferences>
  <definedNames>
    <definedName name="BAUselection" localSheetId="11">[1]Backup!$F$8:$F$9</definedName>
    <definedName name="BAUselection">Backup!$F$8:$F$9</definedName>
    <definedName name="Debt_ratio">'[2]Financial Summary'!$K$14</definedName>
    <definedName name="Debt_term">'[2]Financial Summary'!$K$16</definedName>
    <definedName name="Effectiveness" localSheetId="11">[1]Backup!#REF!</definedName>
    <definedName name="Effectiveness" localSheetId="6">Backup!#REF!</definedName>
    <definedName name="Effectiveness" localSheetId="7">Backup!#REF!</definedName>
    <definedName name="Effectiveness" localSheetId="8">Backup!#REF!</definedName>
    <definedName name="Effectiveness" localSheetId="10">Backup!#REF!</definedName>
    <definedName name="Effectiveness">Backup!#REF!</definedName>
    <definedName name="EffectivenessDebt">Backup!$J$21:$J$25</definedName>
    <definedName name="EffectivenessEquity">Backup!$J$15:$J$19</definedName>
    <definedName name="fuelcostmb" localSheetId="11">[1]Backup!$C$17:$C$20</definedName>
    <definedName name="fuelcostmb">Backup!$C$17:$C$20</definedName>
    <definedName name="GHG">'[2]GHG Analysis'!$F$131</definedName>
    <definedName name="GHGReduc">'[2]Financial Summary'!$S$61</definedName>
    <definedName name="GridType">'[2]Energy Model'!$C$58</definedName>
    <definedName name="InputMethod" localSheetId="11">[1]Backup!$J$8:$J$9</definedName>
    <definedName name="InputMethod">Backup!$J$8:$J$9</definedName>
    <definedName name="InstrumentSelection" localSheetId="11">[1]Backup!#REF!</definedName>
    <definedName name="InstrumentSelection" localSheetId="6">Backup!#REF!</definedName>
    <definedName name="InstrumentSelection" localSheetId="7">Backup!#REF!</definedName>
    <definedName name="InstrumentSelection" localSheetId="8">Backup!#REF!</definedName>
    <definedName name="InstrumentSelection" localSheetId="10">Backup!#REF!</definedName>
    <definedName name="InstrumentSelection">Backup!#REF!</definedName>
    <definedName name="InstrumentSelectionMB" localSheetId="11">[1]Backup!$C$8:$C$9</definedName>
    <definedName name="InstrumentSelectionMB">Backup!$C$8:$C$9</definedName>
    <definedName name="Multiplier" localSheetId="11">[1]Backup!$J$37:$J$38</definedName>
    <definedName name="Multiplier">Backup!$J$37:$J$38</definedName>
    <definedName name="OperationsandMaint" localSheetId="11">[1]Backup!$F$14:$F$15</definedName>
    <definedName name="OperationsandMaint">Backup!$F$14:$F$15</definedName>
    <definedName name="POLICYCOSTING" localSheetId="11">[1]Backup!$J$34:$J$35</definedName>
    <definedName name="POLICYCOSTING">Backup!$J$34:$J$35</definedName>
    <definedName name="Prederiskingselection">Backup!$F$8:$F$9</definedName>
    <definedName name="_xlnm.Print_Area" localSheetId="3">'III. Inputs, Renewable Energy'!$A$1:$AN$232</definedName>
    <definedName name="_xlnm.Print_Area" localSheetId="0">Introduction!$A$1:$R$90</definedName>
    <definedName name="_xlnm.Print_Area" localSheetId="4">'IV. LCOE, Baseline Energy Mix'!$A$1:$AA$848</definedName>
    <definedName name="_xlnm.Print_Area" localSheetId="11">'IX. Notes'!$A$1:$AN$28</definedName>
    <definedName name="_xlnm.Print_Area" localSheetId="7">'VII. Sensitivity Outputs'!$A$1:$T$630</definedName>
    <definedName name="_xlnm.Print_Area" localSheetId="8">'VIII. Report Table'!$A$1:$AM$4</definedName>
    <definedName name="_xlnm.Print_Area" localSheetId="10">'X. Supplementary Info'!$A$1:$Q$33</definedName>
    <definedName name="REProduc">'[2]Financial Summary'!$R$117</definedName>
    <definedName name="SELECTION" localSheetId="11">[1]Backup!$J$11:$J$12</definedName>
    <definedName name="SELECTION">Backup!$J$11:$J$12</definedName>
    <definedName name="TIME">Backup!$J$27:$J$31</definedName>
    <definedName name="TimeEffect" localSheetId="11">[1]Backup!#REF!</definedName>
    <definedName name="TimeEffect" localSheetId="6">Backup!#REF!</definedName>
    <definedName name="TimeEffect" localSheetId="7">Backup!#REF!</definedName>
    <definedName name="TimeEffect" localSheetId="8">Backup!#REF!</definedName>
    <definedName name="TimeEffect" localSheetId="10">Backup!#REF!</definedName>
    <definedName name="TimeEffect">Backup!#REF!</definedName>
    <definedName name="VisGHGCr">'[2]Financial Summary'!$AE$61</definedName>
  </definedNames>
  <calcPr calcId="145621" concurrentCalc="0"/>
</workbook>
</file>

<file path=xl/calcChain.xml><?xml version="1.0" encoding="utf-8"?>
<calcChain xmlns="http://schemas.openxmlformats.org/spreadsheetml/2006/main">
  <c r="G201" i="4" l="1"/>
  <c r="H217" i="4"/>
  <c r="G220" i="4"/>
  <c r="H238" i="4"/>
  <c r="G243" i="4"/>
  <c r="H259" i="4"/>
  <c r="H31" i="4"/>
  <c r="H39" i="4"/>
  <c r="H239" i="4"/>
  <c r="H240" i="4"/>
  <c r="H32" i="4"/>
  <c r="H40" i="4"/>
  <c r="F263" i="4"/>
  <c r="H269" i="4"/>
  <c r="H270" i="4"/>
  <c r="H33" i="4"/>
  <c r="H41" i="4"/>
  <c r="H206" i="4"/>
  <c r="H207" i="4"/>
  <c r="H208" i="4"/>
  <c r="H227" i="4"/>
  <c r="H228" i="4"/>
  <c r="H229" i="4"/>
  <c r="G245" i="4"/>
  <c r="H248" i="4"/>
  <c r="H249" i="4"/>
  <c r="H250" i="4"/>
  <c r="H42" i="4"/>
  <c r="G363" i="4"/>
  <c r="H363" i="4"/>
  <c r="G364" i="4"/>
  <c r="H364" i="4"/>
  <c r="H365" i="4"/>
  <c r="H26" i="4"/>
  <c r="H28" i="4"/>
  <c r="H29" i="4"/>
  <c r="H30" i="4"/>
  <c r="H43" i="4"/>
  <c r="H44" i="4"/>
  <c r="I240" i="4"/>
  <c r="I32" i="4"/>
  <c r="I40" i="4"/>
  <c r="I270" i="4"/>
  <c r="I33" i="4"/>
  <c r="I41" i="4"/>
  <c r="I206" i="4"/>
  <c r="I207" i="4"/>
  <c r="I208" i="4"/>
  <c r="I227" i="4"/>
  <c r="I228" i="4"/>
  <c r="I229" i="4"/>
  <c r="I248" i="4"/>
  <c r="I249" i="4"/>
  <c r="I250" i="4"/>
  <c r="I42" i="4"/>
  <c r="I363" i="4"/>
  <c r="I364" i="4"/>
  <c r="I365" i="4"/>
  <c r="I26" i="4"/>
  <c r="I28" i="4"/>
  <c r="I29" i="4"/>
  <c r="I30" i="4"/>
  <c r="I43" i="4"/>
  <c r="I44" i="4"/>
  <c r="J240" i="4"/>
  <c r="J32" i="4"/>
  <c r="J40" i="4"/>
  <c r="J270" i="4"/>
  <c r="J33" i="4"/>
  <c r="J41" i="4"/>
  <c r="J206" i="4"/>
  <c r="J207" i="4"/>
  <c r="J208" i="4"/>
  <c r="J227" i="4"/>
  <c r="J228" i="4"/>
  <c r="J229" i="4"/>
  <c r="J248" i="4"/>
  <c r="J249" i="4"/>
  <c r="J250" i="4"/>
  <c r="J42" i="4"/>
  <c r="J363" i="4"/>
  <c r="J364" i="4"/>
  <c r="J365" i="4"/>
  <c r="J26" i="4"/>
  <c r="J28" i="4"/>
  <c r="J29" i="4"/>
  <c r="J30" i="4"/>
  <c r="J43" i="4"/>
  <c r="J44" i="4"/>
  <c r="K240" i="4"/>
  <c r="K32" i="4"/>
  <c r="K40" i="4"/>
  <c r="K270" i="4"/>
  <c r="K33" i="4"/>
  <c r="K41" i="4"/>
  <c r="K206" i="4"/>
  <c r="K207" i="4"/>
  <c r="K208" i="4"/>
  <c r="K227" i="4"/>
  <c r="K228" i="4"/>
  <c r="K229" i="4"/>
  <c r="K248" i="4"/>
  <c r="K249" i="4"/>
  <c r="K250" i="4"/>
  <c r="K42" i="4"/>
  <c r="K363" i="4"/>
  <c r="K364" i="4"/>
  <c r="K365" i="4"/>
  <c r="K26" i="4"/>
  <c r="K28" i="4"/>
  <c r="K29" i="4"/>
  <c r="K30" i="4"/>
  <c r="K43" i="4"/>
  <c r="K44" i="4"/>
  <c r="L240" i="4"/>
  <c r="L32" i="4"/>
  <c r="L40" i="4"/>
  <c r="L270" i="4"/>
  <c r="L33" i="4"/>
  <c r="L41" i="4"/>
  <c r="L206" i="4"/>
  <c r="L207" i="4"/>
  <c r="L208" i="4"/>
  <c r="L227" i="4"/>
  <c r="L228" i="4"/>
  <c r="L229" i="4"/>
  <c r="L248" i="4"/>
  <c r="L249" i="4"/>
  <c r="L250" i="4"/>
  <c r="L42" i="4"/>
  <c r="L363" i="4"/>
  <c r="L364" i="4"/>
  <c r="L365" i="4"/>
  <c r="L26" i="4"/>
  <c r="L28" i="4"/>
  <c r="L29" i="4"/>
  <c r="L30" i="4"/>
  <c r="L43" i="4"/>
  <c r="L44" i="4"/>
  <c r="M240" i="4"/>
  <c r="M32" i="4"/>
  <c r="M40" i="4"/>
  <c r="M270" i="4"/>
  <c r="M33" i="4"/>
  <c r="M41" i="4"/>
  <c r="M206" i="4"/>
  <c r="M207" i="4"/>
  <c r="M208" i="4"/>
  <c r="M227" i="4"/>
  <c r="M228" i="4"/>
  <c r="M229" i="4"/>
  <c r="M248" i="4"/>
  <c r="M249" i="4"/>
  <c r="M250" i="4"/>
  <c r="M42" i="4"/>
  <c r="M363" i="4"/>
  <c r="M364" i="4"/>
  <c r="M365" i="4"/>
  <c r="M26" i="4"/>
  <c r="M28" i="4"/>
  <c r="M29" i="4"/>
  <c r="M30" i="4"/>
  <c r="M43" i="4"/>
  <c r="M44" i="4"/>
  <c r="N240" i="4"/>
  <c r="N32" i="4"/>
  <c r="N40" i="4"/>
  <c r="N270" i="4"/>
  <c r="N33" i="4"/>
  <c r="N41" i="4"/>
  <c r="N206" i="4"/>
  <c r="N207" i="4"/>
  <c r="N208" i="4"/>
  <c r="N227" i="4"/>
  <c r="N228" i="4"/>
  <c r="N229" i="4"/>
  <c r="N248" i="4"/>
  <c r="N249" i="4"/>
  <c r="N250" i="4"/>
  <c r="N42" i="4"/>
  <c r="N363" i="4"/>
  <c r="N364" i="4"/>
  <c r="N365" i="4"/>
  <c r="N26" i="4"/>
  <c r="N28" i="4"/>
  <c r="N29" i="4"/>
  <c r="N30" i="4"/>
  <c r="N43" i="4"/>
  <c r="N44" i="4"/>
  <c r="O240" i="4"/>
  <c r="O32" i="4"/>
  <c r="O40" i="4"/>
  <c r="O270" i="4"/>
  <c r="O33" i="4"/>
  <c r="O41" i="4"/>
  <c r="O206" i="4"/>
  <c r="O207" i="4"/>
  <c r="O208" i="4"/>
  <c r="O227" i="4"/>
  <c r="O228" i="4"/>
  <c r="O229" i="4"/>
  <c r="O248" i="4"/>
  <c r="O249" i="4"/>
  <c r="O250" i="4"/>
  <c r="O42" i="4"/>
  <c r="O363" i="4"/>
  <c r="O364" i="4"/>
  <c r="O365" i="4"/>
  <c r="O26" i="4"/>
  <c r="O28" i="4"/>
  <c r="O29" i="4"/>
  <c r="O30" i="4"/>
  <c r="O43" i="4"/>
  <c r="O44" i="4"/>
  <c r="P240" i="4"/>
  <c r="P32" i="4"/>
  <c r="P40" i="4"/>
  <c r="P270" i="4"/>
  <c r="P33" i="4"/>
  <c r="P41" i="4"/>
  <c r="P206" i="4"/>
  <c r="P207" i="4"/>
  <c r="P208" i="4"/>
  <c r="P227" i="4"/>
  <c r="P228" i="4"/>
  <c r="P229" i="4"/>
  <c r="P248" i="4"/>
  <c r="P249" i="4"/>
  <c r="P250" i="4"/>
  <c r="P42" i="4"/>
  <c r="P363" i="4"/>
  <c r="P364" i="4"/>
  <c r="P365" i="4"/>
  <c r="P26" i="4"/>
  <c r="P28" i="4"/>
  <c r="P29" i="4"/>
  <c r="P30" i="4"/>
  <c r="P43" i="4"/>
  <c r="P44" i="4"/>
  <c r="Q240" i="4"/>
  <c r="Q32" i="4"/>
  <c r="Q40" i="4"/>
  <c r="Q270" i="4"/>
  <c r="Q33" i="4"/>
  <c r="Q41" i="4"/>
  <c r="Q206" i="4"/>
  <c r="Q207" i="4"/>
  <c r="Q208" i="4"/>
  <c r="Q227" i="4"/>
  <c r="Q228" i="4"/>
  <c r="Q229" i="4"/>
  <c r="Q248" i="4"/>
  <c r="Q249" i="4"/>
  <c r="Q250" i="4"/>
  <c r="Q42" i="4"/>
  <c r="Q363" i="4"/>
  <c r="Q364" i="4"/>
  <c r="Q365" i="4"/>
  <c r="Q26" i="4"/>
  <c r="Q28" i="4"/>
  <c r="Q29" i="4"/>
  <c r="Q30" i="4"/>
  <c r="Q43" i="4"/>
  <c r="Q44" i="4"/>
  <c r="R240" i="4"/>
  <c r="R32" i="4"/>
  <c r="R40" i="4"/>
  <c r="R270" i="4"/>
  <c r="R33" i="4"/>
  <c r="R41" i="4"/>
  <c r="R206" i="4"/>
  <c r="R207" i="4"/>
  <c r="R208" i="4"/>
  <c r="R227" i="4"/>
  <c r="R228" i="4"/>
  <c r="R229" i="4"/>
  <c r="R248" i="4"/>
  <c r="R249" i="4"/>
  <c r="R250" i="4"/>
  <c r="R42" i="4"/>
  <c r="R363" i="4"/>
  <c r="R364" i="4"/>
  <c r="R365" i="4"/>
  <c r="R26" i="4"/>
  <c r="R28" i="4"/>
  <c r="R29" i="4"/>
  <c r="R30" i="4"/>
  <c r="R43" i="4"/>
  <c r="R44" i="4"/>
  <c r="S240" i="4"/>
  <c r="S32" i="4"/>
  <c r="S40" i="4"/>
  <c r="S270" i="4"/>
  <c r="S33" i="4"/>
  <c r="S41" i="4"/>
  <c r="S206" i="4"/>
  <c r="S207" i="4"/>
  <c r="S208" i="4"/>
  <c r="S227" i="4"/>
  <c r="S228" i="4"/>
  <c r="S229" i="4"/>
  <c r="S248" i="4"/>
  <c r="S249" i="4"/>
  <c r="S250" i="4"/>
  <c r="S42" i="4"/>
  <c r="S363" i="4"/>
  <c r="S364" i="4"/>
  <c r="S365" i="4"/>
  <c r="S26" i="4"/>
  <c r="S28" i="4"/>
  <c r="S29" i="4"/>
  <c r="S30" i="4"/>
  <c r="S43" i="4"/>
  <c r="S44" i="4"/>
  <c r="T240" i="4"/>
  <c r="T32" i="4"/>
  <c r="T40" i="4"/>
  <c r="T270" i="4"/>
  <c r="T33" i="4"/>
  <c r="T41" i="4"/>
  <c r="T206" i="4"/>
  <c r="T207" i="4"/>
  <c r="T208" i="4"/>
  <c r="T227" i="4"/>
  <c r="T228" i="4"/>
  <c r="T229" i="4"/>
  <c r="T248" i="4"/>
  <c r="T249" i="4"/>
  <c r="T250" i="4"/>
  <c r="T42" i="4"/>
  <c r="T363" i="4"/>
  <c r="T364" i="4"/>
  <c r="T365" i="4"/>
  <c r="T26" i="4"/>
  <c r="T28" i="4"/>
  <c r="T29" i="4"/>
  <c r="T30" i="4"/>
  <c r="T43" i="4"/>
  <c r="T44" i="4"/>
  <c r="U240" i="4"/>
  <c r="U32" i="4"/>
  <c r="U40" i="4"/>
  <c r="U270" i="4"/>
  <c r="U33" i="4"/>
  <c r="U41" i="4"/>
  <c r="U206" i="4"/>
  <c r="U207" i="4"/>
  <c r="U208" i="4"/>
  <c r="U227" i="4"/>
  <c r="U228" i="4"/>
  <c r="U229" i="4"/>
  <c r="U248" i="4"/>
  <c r="U249" i="4"/>
  <c r="U250" i="4"/>
  <c r="U42" i="4"/>
  <c r="U363" i="4"/>
  <c r="U364" i="4"/>
  <c r="U365" i="4"/>
  <c r="U26" i="4"/>
  <c r="U28" i="4"/>
  <c r="U29" i="4"/>
  <c r="U30" i="4"/>
  <c r="U43" i="4"/>
  <c r="U44" i="4"/>
  <c r="V240" i="4"/>
  <c r="V32" i="4"/>
  <c r="V40" i="4"/>
  <c r="V270" i="4"/>
  <c r="V33" i="4"/>
  <c r="V41" i="4"/>
  <c r="V206" i="4"/>
  <c r="V207" i="4"/>
  <c r="V208" i="4"/>
  <c r="V227" i="4"/>
  <c r="V228" i="4"/>
  <c r="V229" i="4"/>
  <c r="V248" i="4"/>
  <c r="V249" i="4"/>
  <c r="V250" i="4"/>
  <c r="V42" i="4"/>
  <c r="V363" i="4"/>
  <c r="V364" i="4"/>
  <c r="V365" i="4"/>
  <c r="V26" i="4"/>
  <c r="V28" i="4"/>
  <c r="V29" i="4"/>
  <c r="V30" i="4"/>
  <c r="V43" i="4"/>
  <c r="V44" i="4"/>
  <c r="W240" i="4"/>
  <c r="W32" i="4"/>
  <c r="W40" i="4"/>
  <c r="W270" i="4"/>
  <c r="W33" i="4"/>
  <c r="W41" i="4"/>
  <c r="W206" i="4"/>
  <c r="W207" i="4"/>
  <c r="W208" i="4"/>
  <c r="W227" i="4"/>
  <c r="W228" i="4"/>
  <c r="W229" i="4"/>
  <c r="W248" i="4"/>
  <c r="W249" i="4"/>
  <c r="W250" i="4"/>
  <c r="W42" i="4"/>
  <c r="W363" i="4"/>
  <c r="W364" i="4"/>
  <c r="W365" i="4"/>
  <c r="W26" i="4"/>
  <c r="W28" i="4"/>
  <c r="W29" i="4"/>
  <c r="W30" i="4"/>
  <c r="W43" i="4"/>
  <c r="W44" i="4"/>
  <c r="X240" i="4"/>
  <c r="X32" i="4"/>
  <c r="X40" i="4"/>
  <c r="X270" i="4"/>
  <c r="X33" i="4"/>
  <c r="X41" i="4"/>
  <c r="X206" i="4"/>
  <c r="X207" i="4"/>
  <c r="X208" i="4"/>
  <c r="X227" i="4"/>
  <c r="X228" i="4"/>
  <c r="X229" i="4"/>
  <c r="X248" i="4"/>
  <c r="X249" i="4"/>
  <c r="X250" i="4"/>
  <c r="X42" i="4"/>
  <c r="X363" i="4"/>
  <c r="X364" i="4"/>
  <c r="X365" i="4"/>
  <c r="X26" i="4"/>
  <c r="X28" i="4"/>
  <c r="X29" i="4"/>
  <c r="X30" i="4"/>
  <c r="X43" i="4"/>
  <c r="X44" i="4"/>
  <c r="Y240" i="4"/>
  <c r="Y32" i="4"/>
  <c r="Y40" i="4"/>
  <c r="Y270" i="4"/>
  <c r="Y33" i="4"/>
  <c r="Y41" i="4"/>
  <c r="Y206" i="4"/>
  <c r="Y207" i="4"/>
  <c r="Y208" i="4"/>
  <c r="Y227" i="4"/>
  <c r="Y228" i="4"/>
  <c r="Y229" i="4"/>
  <c r="Y248" i="4"/>
  <c r="Y249" i="4"/>
  <c r="Y250" i="4"/>
  <c r="Y42" i="4"/>
  <c r="Y363" i="4"/>
  <c r="Y364" i="4"/>
  <c r="Y365" i="4"/>
  <c r="Y26" i="4"/>
  <c r="Y28" i="4"/>
  <c r="Y29" i="4"/>
  <c r="Y30" i="4"/>
  <c r="Y43" i="4"/>
  <c r="Y44" i="4"/>
  <c r="Z240" i="4"/>
  <c r="Z32" i="4"/>
  <c r="Z40" i="4"/>
  <c r="Z270" i="4"/>
  <c r="Z33" i="4"/>
  <c r="Z41" i="4"/>
  <c r="Z206" i="4"/>
  <c r="Z207" i="4"/>
  <c r="Z208" i="4"/>
  <c r="Z227" i="4"/>
  <c r="Z228" i="4"/>
  <c r="Z229" i="4"/>
  <c r="Z248" i="4"/>
  <c r="Z249" i="4"/>
  <c r="Z250" i="4"/>
  <c r="Z42" i="4"/>
  <c r="Z363" i="4"/>
  <c r="Z364" i="4"/>
  <c r="Z365" i="4"/>
  <c r="Z26" i="4"/>
  <c r="Z28" i="4"/>
  <c r="Z29" i="4"/>
  <c r="Z30" i="4"/>
  <c r="Z43" i="4"/>
  <c r="Z44" i="4"/>
  <c r="AA240" i="4"/>
  <c r="AA32" i="4"/>
  <c r="AA40" i="4"/>
  <c r="AA270" i="4"/>
  <c r="AA33" i="4"/>
  <c r="AA41" i="4"/>
  <c r="AA206" i="4"/>
  <c r="AA207" i="4"/>
  <c r="AA208" i="4"/>
  <c r="AA227" i="4"/>
  <c r="AA228" i="4"/>
  <c r="AA229" i="4"/>
  <c r="AA248" i="4"/>
  <c r="AA249" i="4"/>
  <c r="AA250" i="4"/>
  <c r="AA42" i="4"/>
  <c r="AA363" i="4"/>
  <c r="AA364" i="4"/>
  <c r="AA365" i="4"/>
  <c r="AA26" i="4"/>
  <c r="AA28" i="4"/>
  <c r="AA29" i="4"/>
  <c r="AA30" i="4"/>
  <c r="AA43" i="4"/>
  <c r="AA44" i="4"/>
  <c r="G44" i="4"/>
  <c r="G46" i="4"/>
  <c r="G47" i="4"/>
  <c r="G48" i="4"/>
  <c r="G49" i="4"/>
  <c r="G50" i="4"/>
  <c r="L64" i="1"/>
  <c r="F263" i="17"/>
  <c r="H269" i="17"/>
  <c r="H270" i="17"/>
  <c r="H33" i="17"/>
  <c r="H41" i="17"/>
  <c r="G245" i="17"/>
  <c r="H248" i="17"/>
  <c r="H30" i="17"/>
  <c r="H43" i="17"/>
  <c r="H249" i="17"/>
  <c r="H250" i="17"/>
  <c r="H42" i="17"/>
  <c r="H44" i="17"/>
  <c r="I270" i="17"/>
  <c r="I33" i="17"/>
  <c r="I41" i="17"/>
  <c r="I248" i="17"/>
  <c r="I30" i="17"/>
  <c r="I43" i="17"/>
  <c r="I249" i="17"/>
  <c r="I250" i="17"/>
  <c r="I42" i="17"/>
  <c r="I44" i="17"/>
  <c r="J270" i="17"/>
  <c r="J33" i="17"/>
  <c r="J41" i="17"/>
  <c r="J248" i="17"/>
  <c r="J30" i="17"/>
  <c r="J43" i="17"/>
  <c r="J249" i="17"/>
  <c r="J250" i="17"/>
  <c r="J42" i="17"/>
  <c r="J44" i="17"/>
  <c r="K270" i="17"/>
  <c r="K33" i="17"/>
  <c r="K41" i="17"/>
  <c r="K248" i="17"/>
  <c r="K30" i="17"/>
  <c r="K43" i="17"/>
  <c r="K249" i="17"/>
  <c r="K250" i="17"/>
  <c r="K42" i="17"/>
  <c r="K44" i="17"/>
  <c r="L270" i="17"/>
  <c r="L33" i="17"/>
  <c r="L41" i="17"/>
  <c r="L248" i="17"/>
  <c r="L30" i="17"/>
  <c r="L43" i="17"/>
  <c r="L249" i="17"/>
  <c r="L250" i="17"/>
  <c r="L42" i="17"/>
  <c r="L44" i="17"/>
  <c r="M270" i="17"/>
  <c r="M33" i="17"/>
  <c r="M41" i="17"/>
  <c r="M248" i="17"/>
  <c r="M30" i="17"/>
  <c r="M43" i="17"/>
  <c r="M249" i="17"/>
  <c r="M250" i="17"/>
  <c r="M42" i="17"/>
  <c r="M44" i="17"/>
  <c r="N270" i="17"/>
  <c r="N33" i="17"/>
  <c r="N41" i="17"/>
  <c r="N248" i="17"/>
  <c r="N30" i="17"/>
  <c r="N43" i="17"/>
  <c r="N249" i="17"/>
  <c r="N250" i="17"/>
  <c r="N42" i="17"/>
  <c r="N44" i="17"/>
  <c r="O270" i="17"/>
  <c r="O33" i="17"/>
  <c r="O41" i="17"/>
  <c r="O248" i="17"/>
  <c r="O30" i="17"/>
  <c r="O43" i="17"/>
  <c r="O249" i="17"/>
  <c r="O250" i="17"/>
  <c r="O42" i="17"/>
  <c r="O44" i="17"/>
  <c r="P270" i="17"/>
  <c r="P33" i="17"/>
  <c r="P41" i="17"/>
  <c r="P248" i="17"/>
  <c r="P30" i="17"/>
  <c r="P43" i="17"/>
  <c r="P249" i="17"/>
  <c r="P250" i="17"/>
  <c r="P42" i="17"/>
  <c r="P44" i="17"/>
  <c r="Q270" i="17"/>
  <c r="Q33" i="17"/>
  <c r="Q41" i="17"/>
  <c r="Q248" i="17"/>
  <c r="Q30" i="17"/>
  <c r="Q43" i="17"/>
  <c r="Q249" i="17"/>
  <c r="Q250" i="17"/>
  <c r="Q42" i="17"/>
  <c r="Q44" i="17"/>
  <c r="R270" i="17"/>
  <c r="R33" i="17"/>
  <c r="R41" i="17"/>
  <c r="R248" i="17"/>
  <c r="R30" i="17"/>
  <c r="R43" i="17"/>
  <c r="R249" i="17"/>
  <c r="R250" i="17"/>
  <c r="R42" i="17"/>
  <c r="R44" i="17"/>
  <c r="S270" i="17"/>
  <c r="S33" i="17"/>
  <c r="S41" i="17"/>
  <c r="S248" i="17"/>
  <c r="S30" i="17"/>
  <c r="S43" i="17"/>
  <c r="S249" i="17"/>
  <c r="S250" i="17"/>
  <c r="S42" i="17"/>
  <c r="S44" i="17"/>
  <c r="T270" i="17"/>
  <c r="T33" i="17"/>
  <c r="T41" i="17"/>
  <c r="T248" i="17"/>
  <c r="T30" i="17"/>
  <c r="T43" i="17"/>
  <c r="T249" i="17"/>
  <c r="T250" i="17"/>
  <c r="T42" i="17"/>
  <c r="T44" i="17"/>
  <c r="U270" i="17"/>
  <c r="U33" i="17"/>
  <c r="U41" i="17"/>
  <c r="U248" i="17"/>
  <c r="U30" i="17"/>
  <c r="U43" i="17"/>
  <c r="U249" i="17"/>
  <c r="U250" i="17"/>
  <c r="U42" i="17"/>
  <c r="U44" i="17"/>
  <c r="V270" i="17"/>
  <c r="V33" i="17"/>
  <c r="V41" i="17"/>
  <c r="V248" i="17"/>
  <c r="V30" i="17"/>
  <c r="V43" i="17"/>
  <c r="V249" i="17"/>
  <c r="V250" i="17"/>
  <c r="V42" i="17"/>
  <c r="V44" i="17"/>
  <c r="W270" i="17"/>
  <c r="W33" i="17"/>
  <c r="W41" i="17"/>
  <c r="W248" i="17"/>
  <c r="W30" i="17"/>
  <c r="W43" i="17"/>
  <c r="W249" i="17"/>
  <c r="W250" i="17"/>
  <c r="W42" i="17"/>
  <c r="W44" i="17"/>
  <c r="X270" i="17"/>
  <c r="X33" i="17"/>
  <c r="X41" i="17"/>
  <c r="X248" i="17"/>
  <c r="X30" i="17"/>
  <c r="X43" i="17"/>
  <c r="X249" i="17"/>
  <c r="X250" i="17"/>
  <c r="X42" i="17"/>
  <c r="X44" i="17"/>
  <c r="Y270" i="17"/>
  <c r="Y33" i="17"/>
  <c r="Y41" i="17"/>
  <c r="Y248" i="17"/>
  <c r="Y30" i="17"/>
  <c r="Y43" i="17"/>
  <c r="Y249" i="17"/>
  <c r="Y250" i="17"/>
  <c r="Y42" i="17"/>
  <c r="Y44" i="17"/>
  <c r="Z270" i="17"/>
  <c r="Z33" i="17"/>
  <c r="Z41" i="17"/>
  <c r="Z248" i="17"/>
  <c r="Z30" i="17"/>
  <c r="Z43" i="17"/>
  <c r="Z249" i="17"/>
  <c r="Z250" i="17"/>
  <c r="Z42" i="17"/>
  <c r="Z44" i="17"/>
  <c r="AA270" i="17"/>
  <c r="AA33" i="17"/>
  <c r="AA41" i="17"/>
  <c r="AA248" i="17"/>
  <c r="AA30" i="17"/>
  <c r="AA43" i="17"/>
  <c r="AA249" i="17"/>
  <c r="AA250" i="17"/>
  <c r="AA42" i="17"/>
  <c r="AA44" i="17"/>
  <c r="G46" i="17"/>
  <c r="G47" i="17"/>
  <c r="G48" i="17"/>
  <c r="G49" i="17"/>
  <c r="G50" i="17"/>
  <c r="L65" i="1"/>
  <c r="L63" i="1"/>
  <c r="H30" i="7"/>
  <c r="H26" i="7"/>
  <c r="H32" i="7"/>
  <c r="H47" i="7"/>
  <c r="H52" i="7"/>
  <c r="H53" i="7"/>
  <c r="I30" i="7"/>
  <c r="I26" i="7"/>
  <c r="I32" i="7"/>
  <c r="I47" i="7"/>
  <c r="I52" i="7"/>
  <c r="I53" i="7"/>
  <c r="J30" i="7"/>
  <c r="J26" i="7"/>
  <c r="J32" i="7"/>
  <c r="J47" i="7"/>
  <c r="J52" i="7"/>
  <c r="J53" i="7"/>
  <c r="K30" i="7"/>
  <c r="K26" i="7"/>
  <c r="K32" i="7"/>
  <c r="K47" i="7"/>
  <c r="K52" i="7"/>
  <c r="K53" i="7"/>
  <c r="L30" i="7"/>
  <c r="L26" i="7"/>
  <c r="L32" i="7"/>
  <c r="L47" i="7"/>
  <c r="L52" i="7"/>
  <c r="L53" i="7"/>
  <c r="M30" i="7"/>
  <c r="M26" i="7"/>
  <c r="M32" i="7"/>
  <c r="M47" i="7"/>
  <c r="M52" i="7"/>
  <c r="M53" i="7"/>
  <c r="N30" i="7"/>
  <c r="N26" i="7"/>
  <c r="N32" i="7"/>
  <c r="N47" i="7"/>
  <c r="N52" i="7"/>
  <c r="N53" i="7"/>
  <c r="O30" i="7"/>
  <c r="O26" i="7"/>
  <c r="O32" i="7"/>
  <c r="O47" i="7"/>
  <c r="O52" i="7"/>
  <c r="O53" i="7"/>
  <c r="P30" i="7"/>
  <c r="P26" i="7"/>
  <c r="P32" i="7"/>
  <c r="P47" i="7"/>
  <c r="P52" i="7"/>
  <c r="P53" i="7"/>
  <c r="Q30" i="7"/>
  <c r="Q26" i="7"/>
  <c r="Q32" i="7"/>
  <c r="Q47" i="7"/>
  <c r="Q52" i="7"/>
  <c r="Q53" i="7"/>
  <c r="R30" i="7"/>
  <c r="R26" i="7"/>
  <c r="R32" i="7"/>
  <c r="R47" i="7"/>
  <c r="R52" i="7"/>
  <c r="R53" i="7"/>
  <c r="S30" i="7"/>
  <c r="S26" i="7"/>
  <c r="S32" i="7"/>
  <c r="S47" i="7"/>
  <c r="S52" i="7"/>
  <c r="S53" i="7"/>
  <c r="T30" i="7"/>
  <c r="T26" i="7"/>
  <c r="T32" i="7"/>
  <c r="T47" i="7"/>
  <c r="T52" i="7"/>
  <c r="T53" i="7"/>
  <c r="U30" i="7"/>
  <c r="U26" i="7"/>
  <c r="U32" i="7"/>
  <c r="U47" i="7"/>
  <c r="U52" i="7"/>
  <c r="U53" i="7"/>
  <c r="V30" i="7"/>
  <c r="V26" i="7"/>
  <c r="V32" i="7"/>
  <c r="V47" i="7"/>
  <c r="V52" i="7"/>
  <c r="V53" i="7"/>
  <c r="W30" i="7"/>
  <c r="W26" i="7"/>
  <c r="W32" i="7"/>
  <c r="W47" i="7"/>
  <c r="W52" i="7"/>
  <c r="W53" i="7"/>
  <c r="X30" i="7"/>
  <c r="X26" i="7"/>
  <c r="X32" i="7"/>
  <c r="X47" i="7"/>
  <c r="X52" i="7"/>
  <c r="X53" i="7"/>
  <c r="Y30" i="7"/>
  <c r="Y26" i="7"/>
  <c r="Y32" i="7"/>
  <c r="Y47" i="7"/>
  <c r="Y52" i="7"/>
  <c r="Y53" i="7"/>
  <c r="Z30" i="7"/>
  <c r="Z26" i="7"/>
  <c r="Z32" i="7"/>
  <c r="Z47" i="7"/>
  <c r="Z52" i="7"/>
  <c r="Z53" i="7"/>
  <c r="AA30" i="7"/>
  <c r="AA26" i="7"/>
  <c r="AA32" i="7"/>
  <c r="AA47" i="7"/>
  <c r="AA52" i="7"/>
  <c r="AA53" i="7"/>
  <c r="AB30" i="7"/>
  <c r="AB26" i="7"/>
  <c r="AB32" i="7"/>
  <c r="AB47" i="7"/>
  <c r="AB52" i="7"/>
  <c r="AB53" i="7"/>
  <c r="AC30" i="7"/>
  <c r="AC26" i="7"/>
  <c r="AC32" i="7"/>
  <c r="AC47" i="7"/>
  <c r="AC52" i="7"/>
  <c r="AC53" i="7"/>
  <c r="AD30" i="7"/>
  <c r="AD26" i="7"/>
  <c r="AD32" i="7"/>
  <c r="AD47" i="7"/>
  <c r="AD52" i="7"/>
  <c r="AD53" i="7"/>
  <c r="AE30" i="7"/>
  <c r="AE26" i="7"/>
  <c r="AE32" i="7"/>
  <c r="AE47" i="7"/>
  <c r="AE52" i="7"/>
  <c r="AE53" i="7"/>
  <c r="AF30" i="7"/>
  <c r="AF26" i="7"/>
  <c r="AF32" i="7"/>
  <c r="AF47" i="7"/>
  <c r="AF52" i="7"/>
  <c r="AF53" i="7"/>
  <c r="AG30" i="7"/>
  <c r="AG26" i="7"/>
  <c r="AG32" i="7"/>
  <c r="AG47" i="7"/>
  <c r="AG52" i="7"/>
  <c r="AG53" i="7"/>
  <c r="AH30" i="7"/>
  <c r="AH26" i="7"/>
  <c r="AH32" i="7"/>
  <c r="AH47" i="7"/>
  <c r="AH52" i="7"/>
  <c r="AH53" i="7"/>
  <c r="AI30" i="7"/>
  <c r="AI26" i="7"/>
  <c r="AI32" i="7"/>
  <c r="AI47" i="7"/>
  <c r="AI52" i="7"/>
  <c r="AI53" i="7"/>
  <c r="AJ30" i="7"/>
  <c r="AJ26" i="7"/>
  <c r="AJ32" i="7"/>
  <c r="AJ47" i="7"/>
  <c r="AJ52" i="7"/>
  <c r="AJ53" i="7"/>
  <c r="AK30" i="7"/>
  <c r="AK26" i="7"/>
  <c r="AK32" i="7"/>
  <c r="AK47" i="7"/>
  <c r="AK52" i="7"/>
  <c r="AK53" i="7"/>
  <c r="AL30" i="7"/>
  <c r="AL26" i="7"/>
  <c r="AL32" i="7"/>
  <c r="AL47" i="7"/>
  <c r="AL52" i="7"/>
  <c r="AL53" i="7"/>
  <c r="AM30" i="7"/>
  <c r="AM26" i="7"/>
  <c r="AM32" i="7"/>
  <c r="AM47" i="7"/>
  <c r="AM52" i="7"/>
  <c r="AM53" i="7"/>
  <c r="AN30" i="7"/>
  <c r="AN26" i="7"/>
  <c r="AN32" i="7"/>
  <c r="AN47" i="7"/>
  <c r="AN52" i="7"/>
  <c r="AN53" i="7"/>
  <c r="AO30" i="7"/>
  <c r="AO26" i="7"/>
  <c r="AO32" i="7"/>
  <c r="AO47" i="7"/>
  <c r="AO52" i="7"/>
  <c r="AO53" i="7"/>
  <c r="AP30" i="7"/>
  <c r="AP26" i="7"/>
  <c r="AP32" i="7"/>
  <c r="AP47" i="7"/>
  <c r="AP52" i="7"/>
  <c r="AP53" i="7"/>
  <c r="AQ30" i="7"/>
  <c r="AQ26" i="7"/>
  <c r="AQ32" i="7"/>
  <c r="AQ47" i="7"/>
  <c r="AQ52" i="7"/>
  <c r="AQ53" i="7"/>
  <c r="AR30" i="7"/>
  <c r="AR26" i="7"/>
  <c r="AR32" i="7"/>
  <c r="AR47" i="7"/>
  <c r="AR52" i="7"/>
  <c r="AR53" i="7"/>
  <c r="AS30" i="7"/>
  <c r="AS26" i="7"/>
  <c r="AS32" i="7"/>
  <c r="AS47" i="7"/>
  <c r="AS52" i="7"/>
  <c r="AS53" i="7"/>
  <c r="AT30" i="7"/>
  <c r="AT26" i="7"/>
  <c r="AT32" i="7"/>
  <c r="AT47" i="7"/>
  <c r="AT52" i="7"/>
  <c r="AT53" i="7"/>
  <c r="AU30" i="7"/>
  <c r="AU26" i="7"/>
  <c r="AU32" i="7"/>
  <c r="AU47" i="7"/>
  <c r="AU52" i="7"/>
  <c r="AU53" i="7"/>
  <c r="AV30" i="7"/>
  <c r="AV26" i="7"/>
  <c r="AV32" i="7"/>
  <c r="AV47" i="7"/>
  <c r="AV52" i="7"/>
  <c r="AV53" i="7"/>
  <c r="AW30" i="7"/>
  <c r="AW26" i="7"/>
  <c r="AW32" i="7"/>
  <c r="AW47" i="7"/>
  <c r="AW52" i="7"/>
  <c r="AW53" i="7"/>
  <c r="AX30" i="7"/>
  <c r="AX26" i="7"/>
  <c r="AX32" i="7"/>
  <c r="AX47" i="7"/>
  <c r="AX52" i="7"/>
  <c r="AX53" i="7"/>
  <c r="AY30" i="7"/>
  <c r="AY26" i="7"/>
  <c r="AY32" i="7"/>
  <c r="AY47" i="7"/>
  <c r="AY52" i="7"/>
  <c r="AY53" i="7"/>
  <c r="AZ30" i="7"/>
  <c r="AZ26" i="7"/>
  <c r="AZ32" i="7"/>
  <c r="AZ47" i="7"/>
  <c r="AZ52" i="7"/>
  <c r="AZ53" i="7"/>
  <c r="BA30" i="7"/>
  <c r="BA26" i="7"/>
  <c r="BA32" i="7"/>
  <c r="BA47" i="7"/>
  <c r="BA52" i="7"/>
  <c r="BA53" i="7"/>
  <c r="BB30" i="7"/>
  <c r="BB26" i="7"/>
  <c r="BB32" i="7"/>
  <c r="BB47" i="7"/>
  <c r="BB52" i="7"/>
  <c r="BB53" i="7"/>
  <c r="BC30" i="7"/>
  <c r="BC26" i="7"/>
  <c r="BC32" i="7"/>
  <c r="BC47" i="7"/>
  <c r="BC52" i="7"/>
  <c r="BC53" i="7"/>
  <c r="BD30" i="7"/>
  <c r="BD26" i="7"/>
  <c r="BD32" i="7"/>
  <c r="BD47" i="7"/>
  <c r="BD52" i="7"/>
  <c r="BD53" i="7"/>
  <c r="BE30" i="7"/>
  <c r="BE26" i="7"/>
  <c r="BE32" i="7"/>
  <c r="BE47" i="7"/>
  <c r="BE52" i="7"/>
  <c r="BE53" i="7"/>
  <c r="G56" i="7"/>
  <c r="G58" i="7"/>
  <c r="G59" i="7"/>
  <c r="L16" i="1"/>
  <c r="G104" i="7"/>
  <c r="G105" i="7"/>
  <c r="M16" i="1"/>
  <c r="G152" i="7"/>
  <c r="G153" i="7"/>
  <c r="N16" i="1"/>
  <c r="G198" i="7"/>
  <c r="G199" i="7"/>
  <c r="O16" i="1"/>
  <c r="G246" i="7"/>
  <c r="G247" i="7"/>
  <c r="P16" i="1"/>
  <c r="G292" i="7"/>
  <c r="G293" i="7"/>
  <c r="Q16" i="1"/>
  <c r="R16" i="1"/>
  <c r="L68" i="1"/>
  <c r="L70" i="1"/>
  <c r="L71" i="1"/>
  <c r="L72" i="1"/>
  <c r="L142" i="1"/>
  <c r="L152" i="1"/>
  <c r="L31" i="1"/>
  <c r="L84" i="1"/>
  <c r="L83" i="1"/>
  <c r="L91" i="1"/>
  <c r="L117" i="1"/>
  <c r="L92" i="1"/>
  <c r="L118" i="1"/>
  <c r="L119" i="1"/>
  <c r="L121" i="1"/>
  <c r="L140" i="1"/>
  <c r="L153" i="1"/>
  <c r="L155" i="1"/>
  <c r="V30" i="8"/>
  <c r="G277" i="4"/>
  <c r="V47" i="8"/>
  <c r="H293" i="4"/>
  <c r="G296" i="4"/>
  <c r="H314" i="4"/>
  <c r="V32" i="8"/>
  <c r="G319" i="4"/>
  <c r="H335" i="4"/>
  <c r="H121" i="4"/>
  <c r="H129" i="4"/>
  <c r="H315" i="4"/>
  <c r="H316" i="4"/>
  <c r="H122" i="4"/>
  <c r="H130" i="4"/>
  <c r="F339" i="4"/>
  <c r="H345" i="4"/>
  <c r="H346" i="4"/>
  <c r="H123" i="4"/>
  <c r="H131" i="4"/>
  <c r="V37" i="8"/>
  <c r="G279" i="4"/>
  <c r="V42" i="8"/>
  <c r="G278" i="4"/>
  <c r="H282" i="4"/>
  <c r="H283" i="4"/>
  <c r="H284" i="4"/>
  <c r="H303" i="4"/>
  <c r="H304" i="4"/>
  <c r="H305" i="4"/>
  <c r="Y140" i="8"/>
  <c r="Y132" i="8"/>
  <c r="Y86" i="8"/>
  <c r="Y141" i="8"/>
  <c r="Y133" i="8"/>
  <c r="Y87" i="8"/>
  <c r="Y88" i="8"/>
  <c r="Y145" i="8"/>
  <c r="Y90" i="8"/>
  <c r="Y128" i="8"/>
  <c r="Y82" i="8"/>
  <c r="Y83" i="8"/>
  <c r="Y130" i="8"/>
  <c r="Y84" i="8"/>
  <c r="Y131" i="8"/>
  <c r="Y85" i="8"/>
  <c r="Y144" i="8"/>
  <c r="Y89" i="8"/>
  <c r="Y91" i="8"/>
  <c r="U73" i="8"/>
  <c r="U75" i="8"/>
  <c r="U91" i="8"/>
  <c r="Y73" i="8"/>
  <c r="V39" i="8"/>
  <c r="G321" i="4"/>
  <c r="G320" i="4"/>
  <c r="H324" i="4"/>
  <c r="H325" i="4"/>
  <c r="H326" i="4"/>
  <c r="H132" i="4"/>
  <c r="G377" i="4"/>
  <c r="H377" i="4"/>
  <c r="G378" i="4"/>
  <c r="H378" i="4"/>
  <c r="H379" i="4"/>
  <c r="H116" i="4"/>
  <c r="H118" i="4"/>
  <c r="H119" i="4"/>
  <c r="H120" i="4"/>
  <c r="H133" i="4"/>
  <c r="H134" i="4"/>
  <c r="I316" i="4"/>
  <c r="I122" i="4"/>
  <c r="I130" i="4"/>
  <c r="I346" i="4"/>
  <c r="I123" i="4"/>
  <c r="I131" i="4"/>
  <c r="I282" i="4"/>
  <c r="I283" i="4"/>
  <c r="I284" i="4"/>
  <c r="I303" i="4"/>
  <c r="I304" i="4"/>
  <c r="I305" i="4"/>
  <c r="I324" i="4"/>
  <c r="I325" i="4"/>
  <c r="I326" i="4"/>
  <c r="I132" i="4"/>
  <c r="I377" i="4"/>
  <c r="I378" i="4"/>
  <c r="I379" i="4"/>
  <c r="I116" i="4"/>
  <c r="I118" i="4"/>
  <c r="I119" i="4"/>
  <c r="I120" i="4"/>
  <c r="I133" i="4"/>
  <c r="I134" i="4"/>
  <c r="J316" i="4"/>
  <c r="J122" i="4"/>
  <c r="J130" i="4"/>
  <c r="J346" i="4"/>
  <c r="J123" i="4"/>
  <c r="J131" i="4"/>
  <c r="J282" i="4"/>
  <c r="J283" i="4"/>
  <c r="J284" i="4"/>
  <c r="J303" i="4"/>
  <c r="J304" i="4"/>
  <c r="J305" i="4"/>
  <c r="J324" i="4"/>
  <c r="J325" i="4"/>
  <c r="J326" i="4"/>
  <c r="J132" i="4"/>
  <c r="J377" i="4"/>
  <c r="J378" i="4"/>
  <c r="J379" i="4"/>
  <c r="J116" i="4"/>
  <c r="J118" i="4"/>
  <c r="J119" i="4"/>
  <c r="J120" i="4"/>
  <c r="J133" i="4"/>
  <c r="J134" i="4"/>
  <c r="K316" i="4"/>
  <c r="K122" i="4"/>
  <c r="K130" i="4"/>
  <c r="K346" i="4"/>
  <c r="K123" i="4"/>
  <c r="K131" i="4"/>
  <c r="K282" i="4"/>
  <c r="K283" i="4"/>
  <c r="K284" i="4"/>
  <c r="K303" i="4"/>
  <c r="K304" i="4"/>
  <c r="K305" i="4"/>
  <c r="K324" i="4"/>
  <c r="K325" i="4"/>
  <c r="K326" i="4"/>
  <c r="K132" i="4"/>
  <c r="K377" i="4"/>
  <c r="K378" i="4"/>
  <c r="K379" i="4"/>
  <c r="K116" i="4"/>
  <c r="K118" i="4"/>
  <c r="K119" i="4"/>
  <c r="K120" i="4"/>
  <c r="K133" i="4"/>
  <c r="K134" i="4"/>
  <c r="L316" i="4"/>
  <c r="L122" i="4"/>
  <c r="L130" i="4"/>
  <c r="L346" i="4"/>
  <c r="L123" i="4"/>
  <c r="L131" i="4"/>
  <c r="L282" i="4"/>
  <c r="L283" i="4"/>
  <c r="L284" i="4"/>
  <c r="L303" i="4"/>
  <c r="L304" i="4"/>
  <c r="L305" i="4"/>
  <c r="L324" i="4"/>
  <c r="L325" i="4"/>
  <c r="L326" i="4"/>
  <c r="L132" i="4"/>
  <c r="L377" i="4"/>
  <c r="L378" i="4"/>
  <c r="L379" i="4"/>
  <c r="L116" i="4"/>
  <c r="L118" i="4"/>
  <c r="L119" i="4"/>
  <c r="L120" i="4"/>
  <c r="L133" i="4"/>
  <c r="L134" i="4"/>
  <c r="M316" i="4"/>
  <c r="M122" i="4"/>
  <c r="M130" i="4"/>
  <c r="M346" i="4"/>
  <c r="M123" i="4"/>
  <c r="M131" i="4"/>
  <c r="M282" i="4"/>
  <c r="M283" i="4"/>
  <c r="M284" i="4"/>
  <c r="M303" i="4"/>
  <c r="M304" i="4"/>
  <c r="M305" i="4"/>
  <c r="M324" i="4"/>
  <c r="M325" i="4"/>
  <c r="M326" i="4"/>
  <c r="M132" i="4"/>
  <c r="M377" i="4"/>
  <c r="M378" i="4"/>
  <c r="M379" i="4"/>
  <c r="M116" i="4"/>
  <c r="M118" i="4"/>
  <c r="M119" i="4"/>
  <c r="M120" i="4"/>
  <c r="M133" i="4"/>
  <c r="M134" i="4"/>
  <c r="N316" i="4"/>
  <c r="N122" i="4"/>
  <c r="N130" i="4"/>
  <c r="N346" i="4"/>
  <c r="N123" i="4"/>
  <c r="N131" i="4"/>
  <c r="N282" i="4"/>
  <c r="N283" i="4"/>
  <c r="N284" i="4"/>
  <c r="N303" i="4"/>
  <c r="N304" i="4"/>
  <c r="N305" i="4"/>
  <c r="N324" i="4"/>
  <c r="N325" i="4"/>
  <c r="N326" i="4"/>
  <c r="N132" i="4"/>
  <c r="N377" i="4"/>
  <c r="N378" i="4"/>
  <c r="N379" i="4"/>
  <c r="N116" i="4"/>
  <c r="N118" i="4"/>
  <c r="N119" i="4"/>
  <c r="N120" i="4"/>
  <c r="N133" i="4"/>
  <c r="N134" i="4"/>
  <c r="O316" i="4"/>
  <c r="O122" i="4"/>
  <c r="O130" i="4"/>
  <c r="O346" i="4"/>
  <c r="O123" i="4"/>
  <c r="O131" i="4"/>
  <c r="O282" i="4"/>
  <c r="O283" i="4"/>
  <c r="O284" i="4"/>
  <c r="O303" i="4"/>
  <c r="O304" i="4"/>
  <c r="O305" i="4"/>
  <c r="O324" i="4"/>
  <c r="O325" i="4"/>
  <c r="O326" i="4"/>
  <c r="O132" i="4"/>
  <c r="O377" i="4"/>
  <c r="O378" i="4"/>
  <c r="O379" i="4"/>
  <c r="O116" i="4"/>
  <c r="O118" i="4"/>
  <c r="O119" i="4"/>
  <c r="O120" i="4"/>
  <c r="O133" i="4"/>
  <c r="O134" i="4"/>
  <c r="P316" i="4"/>
  <c r="P122" i="4"/>
  <c r="P130" i="4"/>
  <c r="P346" i="4"/>
  <c r="P123" i="4"/>
  <c r="P131" i="4"/>
  <c r="P282" i="4"/>
  <c r="P283" i="4"/>
  <c r="P284" i="4"/>
  <c r="P303" i="4"/>
  <c r="P304" i="4"/>
  <c r="P305" i="4"/>
  <c r="P324" i="4"/>
  <c r="P325" i="4"/>
  <c r="P326" i="4"/>
  <c r="P132" i="4"/>
  <c r="P377" i="4"/>
  <c r="P378" i="4"/>
  <c r="P379" i="4"/>
  <c r="P116" i="4"/>
  <c r="P118" i="4"/>
  <c r="P119" i="4"/>
  <c r="P120" i="4"/>
  <c r="P133" i="4"/>
  <c r="P134" i="4"/>
  <c r="Q316" i="4"/>
  <c r="Q122" i="4"/>
  <c r="Q130" i="4"/>
  <c r="Q346" i="4"/>
  <c r="Q123" i="4"/>
  <c r="Q131" i="4"/>
  <c r="Q282" i="4"/>
  <c r="Q283" i="4"/>
  <c r="Q284" i="4"/>
  <c r="Q303" i="4"/>
  <c r="Q304" i="4"/>
  <c r="Q305" i="4"/>
  <c r="Q324" i="4"/>
  <c r="Q325" i="4"/>
  <c r="Q326" i="4"/>
  <c r="Q132" i="4"/>
  <c r="Q377" i="4"/>
  <c r="Q378" i="4"/>
  <c r="Q379" i="4"/>
  <c r="Q116" i="4"/>
  <c r="Q118" i="4"/>
  <c r="Q119" i="4"/>
  <c r="Q120" i="4"/>
  <c r="Q133" i="4"/>
  <c r="Q134" i="4"/>
  <c r="R316" i="4"/>
  <c r="R122" i="4"/>
  <c r="R130" i="4"/>
  <c r="R346" i="4"/>
  <c r="R123" i="4"/>
  <c r="R131" i="4"/>
  <c r="R282" i="4"/>
  <c r="R283" i="4"/>
  <c r="R284" i="4"/>
  <c r="R303" i="4"/>
  <c r="R304" i="4"/>
  <c r="R305" i="4"/>
  <c r="R324" i="4"/>
  <c r="R325" i="4"/>
  <c r="R326" i="4"/>
  <c r="R132" i="4"/>
  <c r="R377" i="4"/>
  <c r="R378" i="4"/>
  <c r="R379" i="4"/>
  <c r="R116" i="4"/>
  <c r="R118" i="4"/>
  <c r="R119" i="4"/>
  <c r="R120" i="4"/>
  <c r="R133" i="4"/>
  <c r="R134" i="4"/>
  <c r="S316" i="4"/>
  <c r="S122" i="4"/>
  <c r="S130" i="4"/>
  <c r="S346" i="4"/>
  <c r="S123" i="4"/>
  <c r="S131" i="4"/>
  <c r="S282" i="4"/>
  <c r="S283" i="4"/>
  <c r="S284" i="4"/>
  <c r="S303" i="4"/>
  <c r="S304" i="4"/>
  <c r="S305" i="4"/>
  <c r="S324" i="4"/>
  <c r="S325" i="4"/>
  <c r="S326" i="4"/>
  <c r="S132" i="4"/>
  <c r="S377" i="4"/>
  <c r="S378" i="4"/>
  <c r="S379" i="4"/>
  <c r="S116" i="4"/>
  <c r="S118" i="4"/>
  <c r="S119" i="4"/>
  <c r="S120" i="4"/>
  <c r="S133" i="4"/>
  <c r="S134" i="4"/>
  <c r="T316" i="4"/>
  <c r="T122" i="4"/>
  <c r="T130" i="4"/>
  <c r="T346" i="4"/>
  <c r="T123" i="4"/>
  <c r="T131" i="4"/>
  <c r="T282" i="4"/>
  <c r="T283" i="4"/>
  <c r="T284" i="4"/>
  <c r="T303" i="4"/>
  <c r="T304" i="4"/>
  <c r="T305" i="4"/>
  <c r="T324" i="4"/>
  <c r="T325" i="4"/>
  <c r="T326" i="4"/>
  <c r="T132" i="4"/>
  <c r="T377" i="4"/>
  <c r="T378" i="4"/>
  <c r="T379" i="4"/>
  <c r="T116" i="4"/>
  <c r="T118" i="4"/>
  <c r="T119" i="4"/>
  <c r="T120" i="4"/>
  <c r="T133" i="4"/>
  <c r="T134" i="4"/>
  <c r="U316" i="4"/>
  <c r="U122" i="4"/>
  <c r="U130" i="4"/>
  <c r="U346" i="4"/>
  <c r="U123" i="4"/>
  <c r="U131" i="4"/>
  <c r="U282" i="4"/>
  <c r="U283" i="4"/>
  <c r="U284" i="4"/>
  <c r="U303" i="4"/>
  <c r="U304" i="4"/>
  <c r="U305" i="4"/>
  <c r="U324" i="4"/>
  <c r="U325" i="4"/>
  <c r="U326" i="4"/>
  <c r="U132" i="4"/>
  <c r="U377" i="4"/>
  <c r="U378" i="4"/>
  <c r="U379" i="4"/>
  <c r="U116" i="4"/>
  <c r="U118" i="4"/>
  <c r="U119" i="4"/>
  <c r="U120" i="4"/>
  <c r="U133" i="4"/>
  <c r="U134" i="4"/>
  <c r="V316" i="4"/>
  <c r="V122" i="4"/>
  <c r="V130" i="4"/>
  <c r="V346" i="4"/>
  <c r="V123" i="4"/>
  <c r="V131" i="4"/>
  <c r="V282" i="4"/>
  <c r="V283" i="4"/>
  <c r="V284" i="4"/>
  <c r="V303" i="4"/>
  <c r="V304" i="4"/>
  <c r="V305" i="4"/>
  <c r="V324" i="4"/>
  <c r="V325" i="4"/>
  <c r="V326" i="4"/>
  <c r="V132" i="4"/>
  <c r="V377" i="4"/>
  <c r="V378" i="4"/>
  <c r="V379" i="4"/>
  <c r="V116" i="4"/>
  <c r="V118" i="4"/>
  <c r="V119" i="4"/>
  <c r="V120" i="4"/>
  <c r="V133" i="4"/>
  <c r="V134" i="4"/>
  <c r="W316" i="4"/>
  <c r="W122" i="4"/>
  <c r="W130" i="4"/>
  <c r="W346" i="4"/>
  <c r="W123" i="4"/>
  <c r="W131" i="4"/>
  <c r="W282" i="4"/>
  <c r="W283" i="4"/>
  <c r="W284" i="4"/>
  <c r="W303" i="4"/>
  <c r="W304" i="4"/>
  <c r="W305" i="4"/>
  <c r="W324" i="4"/>
  <c r="W325" i="4"/>
  <c r="W326" i="4"/>
  <c r="W132" i="4"/>
  <c r="W377" i="4"/>
  <c r="W378" i="4"/>
  <c r="W379" i="4"/>
  <c r="W116" i="4"/>
  <c r="W118" i="4"/>
  <c r="W119" i="4"/>
  <c r="W120" i="4"/>
  <c r="W133" i="4"/>
  <c r="W134" i="4"/>
  <c r="X316" i="4"/>
  <c r="X122" i="4"/>
  <c r="X130" i="4"/>
  <c r="X346" i="4"/>
  <c r="X123" i="4"/>
  <c r="X131" i="4"/>
  <c r="X282" i="4"/>
  <c r="X283" i="4"/>
  <c r="X284" i="4"/>
  <c r="X303" i="4"/>
  <c r="X304" i="4"/>
  <c r="X305" i="4"/>
  <c r="X324" i="4"/>
  <c r="X325" i="4"/>
  <c r="X326" i="4"/>
  <c r="X132" i="4"/>
  <c r="X377" i="4"/>
  <c r="X378" i="4"/>
  <c r="X379" i="4"/>
  <c r="X116" i="4"/>
  <c r="X118" i="4"/>
  <c r="X119" i="4"/>
  <c r="X120" i="4"/>
  <c r="X133" i="4"/>
  <c r="X134" i="4"/>
  <c r="Y316" i="4"/>
  <c r="Y122" i="4"/>
  <c r="Y130" i="4"/>
  <c r="Y346" i="4"/>
  <c r="Y123" i="4"/>
  <c r="Y131" i="4"/>
  <c r="Y282" i="4"/>
  <c r="Y283" i="4"/>
  <c r="Y284" i="4"/>
  <c r="Y303" i="4"/>
  <c r="Y304" i="4"/>
  <c r="Y305" i="4"/>
  <c r="Y324" i="4"/>
  <c r="Y325" i="4"/>
  <c r="Y326" i="4"/>
  <c r="Y132" i="4"/>
  <c r="Y377" i="4"/>
  <c r="Y378" i="4"/>
  <c r="Y379" i="4"/>
  <c r="Y116" i="4"/>
  <c r="Y118" i="4"/>
  <c r="Y119" i="4"/>
  <c r="Y120" i="4"/>
  <c r="Y133" i="4"/>
  <c r="Y134" i="4"/>
  <c r="Z316" i="4"/>
  <c r="Z122" i="4"/>
  <c r="Z130" i="4"/>
  <c r="Z346" i="4"/>
  <c r="Z123" i="4"/>
  <c r="Z131" i="4"/>
  <c r="Z282" i="4"/>
  <c r="Z283" i="4"/>
  <c r="Z284" i="4"/>
  <c r="Z303" i="4"/>
  <c r="Z304" i="4"/>
  <c r="Z305" i="4"/>
  <c r="Z324" i="4"/>
  <c r="Z325" i="4"/>
  <c r="Z326" i="4"/>
  <c r="Z132" i="4"/>
  <c r="Z377" i="4"/>
  <c r="Z378" i="4"/>
  <c r="Z379" i="4"/>
  <c r="Z116" i="4"/>
  <c r="Z118" i="4"/>
  <c r="Z119" i="4"/>
  <c r="Z120" i="4"/>
  <c r="Z133" i="4"/>
  <c r="Z134" i="4"/>
  <c r="AA316" i="4"/>
  <c r="AA122" i="4"/>
  <c r="AA130" i="4"/>
  <c r="AA346" i="4"/>
  <c r="AA123" i="4"/>
  <c r="AA131" i="4"/>
  <c r="AA282" i="4"/>
  <c r="AA283" i="4"/>
  <c r="AA284" i="4"/>
  <c r="AA303" i="4"/>
  <c r="AA304" i="4"/>
  <c r="AA305" i="4"/>
  <c r="AA324" i="4"/>
  <c r="AA325" i="4"/>
  <c r="AA326" i="4"/>
  <c r="AA132" i="4"/>
  <c r="AA377" i="4"/>
  <c r="AA378" i="4"/>
  <c r="AA379" i="4"/>
  <c r="AA116" i="4"/>
  <c r="AA118" i="4"/>
  <c r="AA119" i="4"/>
  <c r="AA120" i="4"/>
  <c r="AA133" i="4"/>
  <c r="AA134" i="4"/>
  <c r="G134" i="4"/>
  <c r="V140" i="8"/>
  <c r="V141" i="8"/>
  <c r="V142" i="8"/>
  <c r="V145" i="8"/>
  <c r="V143" i="8"/>
  <c r="V144" i="8"/>
  <c r="V146" i="8"/>
  <c r="V134" i="8"/>
  <c r="V128" i="8"/>
  <c r="V129" i="8"/>
  <c r="V130" i="8"/>
  <c r="V131" i="8"/>
  <c r="V132" i="8"/>
  <c r="V133" i="8"/>
  <c r="V135" i="8"/>
  <c r="V35" i="8"/>
  <c r="G136" i="4"/>
  <c r="G137" i="4"/>
  <c r="G138" i="4"/>
  <c r="G139" i="4"/>
  <c r="G140" i="4"/>
  <c r="N64" i="1"/>
  <c r="F339" i="17"/>
  <c r="H345" i="17"/>
  <c r="H346" i="17"/>
  <c r="H123" i="17"/>
  <c r="H131" i="17"/>
  <c r="H316" i="17"/>
  <c r="G296" i="17"/>
  <c r="H315" i="17"/>
  <c r="H122" i="17"/>
  <c r="G279" i="17"/>
  <c r="G277" i="17"/>
  <c r="G278" i="17"/>
  <c r="H282" i="17"/>
  <c r="H118" i="17"/>
  <c r="H303" i="17"/>
  <c r="H119" i="17"/>
  <c r="G321" i="17"/>
  <c r="G319" i="17"/>
  <c r="G320" i="17"/>
  <c r="H324" i="17"/>
  <c r="H120" i="17"/>
  <c r="H293" i="17"/>
  <c r="H335" i="17"/>
  <c r="H314" i="17"/>
  <c r="H121" i="17"/>
  <c r="H133" i="17"/>
  <c r="H130" i="17"/>
  <c r="H283" i="17"/>
  <c r="H284" i="17"/>
  <c r="H304" i="17"/>
  <c r="H305" i="17"/>
  <c r="H325" i="17"/>
  <c r="H326" i="17"/>
  <c r="H132" i="17"/>
  <c r="H129" i="17"/>
  <c r="H134" i="17"/>
  <c r="I346" i="17"/>
  <c r="I123" i="17"/>
  <c r="I131" i="17"/>
  <c r="I316" i="17"/>
  <c r="I122" i="17"/>
  <c r="I282" i="17"/>
  <c r="I118" i="17"/>
  <c r="I303" i="17"/>
  <c r="I119" i="17"/>
  <c r="I324" i="17"/>
  <c r="I120" i="17"/>
  <c r="I133" i="17"/>
  <c r="I130" i="17"/>
  <c r="I283" i="17"/>
  <c r="I284" i="17"/>
  <c r="I304" i="17"/>
  <c r="I305" i="17"/>
  <c r="I325" i="17"/>
  <c r="I326" i="17"/>
  <c r="I132" i="17"/>
  <c r="I134" i="17"/>
  <c r="J346" i="17"/>
  <c r="J123" i="17"/>
  <c r="J131" i="17"/>
  <c r="J316" i="17"/>
  <c r="J122" i="17"/>
  <c r="J282" i="17"/>
  <c r="J118" i="17"/>
  <c r="J303" i="17"/>
  <c r="J119" i="17"/>
  <c r="J324" i="17"/>
  <c r="J120" i="17"/>
  <c r="J133" i="17"/>
  <c r="J130" i="17"/>
  <c r="J283" i="17"/>
  <c r="J284" i="17"/>
  <c r="J304" i="17"/>
  <c r="J305" i="17"/>
  <c r="J325" i="17"/>
  <c r="J326" i="17"/>
  <c r="J132" i="17"/>
  <c r="J134" i="17"/>
  <c r="K346" i="17"/>
  <c r="K123" i="17"/>
  <c r="K131" i="17"/>
  <c r="K316" i="17"/>
  <c r="K122" i="17"/>
  <c r="K282" i="17"/>
  <c r="K118" i="17"/>
  <c r="K303" i="17"/>
  <c r="K119" i="17"/>
  <c r="K324" i="17"/>
  <c r="K120" i="17"/>
  <c r="K133" i="17"/>
  <c r="K130" i="17"/>
  <c r="K283" i="17"/>
  <c r="K284" i="17"/>
  <c r="K304" i="17"/>
  <c r="K305" i="17"/>
  <c r="K325" i="17"/>
  <c r="K326" i="17"/>
  <c r="K132" i="17"/>
  <c r="K134" i="17"/>
  <c r="L346" i="17"/>
  <c r="L123" i="17"/>
  <c r="L131" i="17"/>
  <c r="L316" i="17"/>
  <c r="L122" i="17"/>
  <c r="L282" i="17"/>
  <c r="L118" i="17"/>
  <c r="L303" i="17"/>
  <c r="L119" i="17"/>
  <c r="L324" i="17"/>
  <c r="L120" i="17"/>
  <c r="L133" i="17"/>
  <c r="L130" i="17"/>
  <c r="L283" i="17"/>
  <c r="L284" i="17"/>
  <c r="L304" i="17"/>
  <c r="L305" i="17"/>
  <c r="L325" i="17"/>
  <c r="L326" i="17"/>
  <c r="L132" i="17"/>
  <c r="L134" i="17"/>
  <c r="M346" i="17"/>
  <c r="M123" i="17"/>
  <c r="M131" i="17"/>
  <c r="M316" i="17"/>
  <c r="M122" i="17"/>
  <c r="M282" i="17"/>
  <c r="M118" i="17"/>
  <c r="M303" i="17"/>
  <c r="M119" i="17"/>
  <c r="M324" i="17"/>
  <c r="M120" i="17"/>
  <c r="M133" i="17"/>
  <c r="M130" i="17"/>
  <c r="M283" i="17"/>
  <c r="M284" i="17"/>
  <c r="M304" i="17"/>
  <c r="M305" i="17"/>
  <c r="M325" i="17"/>
  <c r="M326" i="17"/>
  <c r="M132" i="17"/>
  <c r="M134" i="17"/>
  <c r="N346" i="17"/>
  <c r="N123" i="17"/>
  <c r="N131" i="17"/>
  <c r="N316" i="17"/>
  <c r="N122" i="17"/>
  <c r="N282" i="17"/>
  <c r="N118" i="17"/>
  <c r="N303" i="17"/>
  <c r="N119" i="17"/>
  <c r="N324" i="17"/>
  <c r="N120" i="17"/>
  <c r="N133" i="17"/>
  <c r="N130" i="17"/>
  <c r="N283" i="17"/>
  <c r="N284" i="17"/>
  <c r="N304" i="17"/>
  <c r="N305" i="17"/>
  <c r="N325" i="17"/>
  <c r="N326" i="17"/>
  <c r="N132" i="17"/>
  <c r="N134" i="17"/>
  <c r="O346" i="17"/>
  <c r="O123" i="17"/>
  <c r="O131" i="17"/>
  <c r="O316" i="17"/>
  <c r="O122" i="17"/>
  <c r="O282" i="17"/>
  <c r="O118" i="17"/>
  <c r="O303" i="17"/>
  <c r="O119" i="17"/>
  <c r="O324" i="17"/>
  <c r="O120" i="17"/>
  <c r="O133" i="17"/>
  <c r="O130" i="17"/>
  <c r="O283" i="17"/>
  <c r="O284" i="17"/>
  <c r="O304" i="17"/>
  <c r="O305" i="17"/>
  <c r="O325" i="17"/>
  <c r="O326" i="17"/>
  <c r="O132" i="17"/>
  <c r="O134" i="17"/>
  <c r="P346" i="17"/>
  <c r="P123" i="17"/>
  <c r="P131" i="17"/>
  <c r="P316" i="17"/>
  <c r="P122" i="17"/>
  <c r="P282" i="17"/>
  <c r="P118" i="17"/>
  <c r="P303" i="17"/>
  <c r="P119" i="17"/>
  <c r="P324" i="17"/>
  <c r="P120" i="17"/>
  <c r="P133" i="17"/>
  <c r="P130" i="17"/>
  <c r="P283" i="17"/>
  <c r="P284" i="17"/>
  <c r="P304" i="17"/>
  <c r="P305" i="17"/>
  <c r="P325" i="17"/>
  <c r="P326" i="17"/>
  <c r="P132" i="17"/>
  <c r="P134" i="17"/>
  <c r="Q346" i="17"/>
  <c r="Q123" i="17"/>
  <c r="Q131" i="17"/>
  <c r="Q316" i="17"/>
  <c r="Q122" i="17"/>
  <c r="Q282" i="17"/>
  <c r="Q118" i="17"/>
  <c r="Q303" i="17"/>
  <c r="Q119" i="17"/>
  <c r="Q324" i="17"/>
  <c r="Q120" i="17"/>
  <c r="Q133" i="17"/>
  <c r="Q130" i="17"/>
  <c r="Q283" i="17"/>
  <c r="Q284" i="17"/>
  <c r="Q304" i="17"/>
  <c r="Q305" i="17"/>
  <c r="Q325" i="17"/>
  <c r="Q326" i="17"/>
  <c r="Q132" i="17"/>
  <c r="Q134" i="17"/>
  <c r="R346" i="17"/>
  <c r="R123" i="17"/>
  <c r="R131" i="17"/>
  <c r="R316" i="17"/>
  <c r="R122" i="17"/>
  <c r="R282" i="17"/>
  <c r="R118" i="17"/>
  <c r="R303" i="17"/>
  <c r="R119" i="17"/>
  <c r="R324" i="17"/>
  <c r="R120" i="17"/>
  <c r="R133" i="17"/>
  <c r="R130" i="17"/>
  <c r="R283" i="17"/>
  <c r="R284" i="17"/>
  <c r="R304" i="17"/>
  <c r="R305" i="17"/>
  <c r="R325" i="17"/>
  <c r="R326" i="17"/>
  <c r="R132" i="17"/>
  <c r="R134" i="17"/>
  <c r="S346" i="17"/>
  <c r="S123" i="17"/>
  <c r="S131" i="17"/>
  <c r="S316" i="17"/>
  <c r="S122" i="17"/>
  <c r="S282" i="17"/>
  <c r="S118" i="17"/>
  <c r="S303" i="17"/>
  <c r="S119" i="17"/>
  <c r="S324" i="17"/>
  <c r="S120" i="17"/>
  <c r="S133" i="17"/>
  <c r="S130" i="17"/>
  <c r="S283" i="17"/>
  <c r="S284" i="17"/>
  <c r="S304" i="17"/>
  <c r="S305" i="17"/>
  <c r="S325" i="17"/>
  <c r="S326" i="17"/>
  <c r="S132" i="17"/>
  <c r="S134" i="17"/>
  <c r="T346" i="17"/>
  <c r="T123" i="17"/>
  <c r="T131" i="17"/>
  <c r="T316" i="17"/>
  <c r="T122" i="17"/>
  <c r="T282" i="17"/>
  <c r="T118" i="17"/>
  <c r="T303" i="17"/>
  <c r="T119" i="17"/>
  <c r="T324" i="17"/>
  <c r="T120" i="17"/>
  <c r="T133" i="17"/>
  <c r="T130" i="17"/>
  <c r="T283" i="17"/>
  <c r="T284" i="17"/>
  <c r="T304" i="17"/>
  <c r="T305" i="17"/>
  <c r="T325" i="17"/>
  <c r="T326" i="17"/>
  <c r="T132" i="17"/>
  <c r="T134" i="17"/>
  <c r="U346" i="17"/>
  <c r="U123" i="17"/>
  <c r="U131" i="17"/>
  <c r="U316" i="17"/>
  <c r="U122" i="17"/>
  <c r="U282" i="17"/>
  <c r="U118" i="17"/>
  <c r="U303" i="17"/>
  <c r="U119" i="17"/>
  <c r="U324" i="17"/>
  <c r="U120" i="17"/>
  <c r="U133" i="17"/>
  <c r="U130" i="17"/>
  <c r="U283" i="17"/>
  <c r="U284" i="17"/>
  <c r="U304" i="17"/>
  <c r="U305" i="17"/>
  <c r="U325" i="17"/>
  <c r="U326" i="17"/>
  <c r="U132" i="17"/>
  <c r="U134" i="17"/>
  <c r="V346" i="17"/>
  <c r="V123" i="17"/>
  <c r="V131" i="17"/>
  <c r="V316" i="17"/>
  <c r="V122" i="17"/>
  <c r="V282" i="17"/>
  <c r="V118" i="17"/>
  <c r="V303" i="17"/>
  <c r="V119" i="17"/>
  <c r="V324" i="17"/>
  <c r="V120" i="17"/>
  <c r="V133" i="17"/>
  <c r="V130" i="17"/>
  <c r="V283" i="17"/>
  <c r="V284" i="17"/>
  <c r="V304" i="17"/>
  <c r="V305" i="17"/>
  <c r="V325" i="17"/>
  <c r="V326" i="17"/>
  <c r="V132" i="17"/>
  <c r="V134" i="17"/>
  <c r="W346" i="17"/>
  <c r="W123" i="17"/>
  <c r="W131" i="17"/>
  <c r="W316" i="17"/>
  <c r="W122" i="17"/>
  <c r="W282" i="17"/>
  <c r="W118" i="17"/>
  <c r="W303" i="17"/>
  <c r="W119" i="17"/>
  <c r="W324" i="17"/>
  <c r="W120" i="17"/>
  <c r="W133" i="17"/>
  <c r="W130" i="17"/>
  <c r="W283" i="17"/>
  <c r="W284" i="17"/>
  <c r="W304" i="17"/>
  <c r="W305" i="17"/>
  <c r="W325" i="17"/>
  <c r="W326" i="17"/>
  <c r="W132" i="17"/>
  <c r="W134" i="17"/>
  <c r="X346" i="17"/>
  <c r="X123" i="17"/>
  <c r="X131" i="17"/>
  <c r="X316" i="17"/>
  <c r="X122" i="17"/>
  <c r="X282" i="17"/>
  <c r="X118" i="17"/>
  <c r="X303" i="17"/>
  <c r="X119" i="17"/>
  <c r="X324" i="17"/>
  <c r="X120" i="17"/>
  <c r="X133" i="17"/>
  <c r="X130" i="17"/>
  <c r="X283" i="17"/>
  <c r="X284" i="17"/>
  <c r="X304" i="17"/>
  <c r="X305" i="17"/>
  <c r="X325" i="17"/>
  <c r="X326" i="17"/>
  <c r="X132" i="17"/>
  <c r="X134" i="17"/>
  <c r="Y346" i="17"/>
  <c r="Y123" i="17"/>
  <c r="Y131" i="17"/>
  <c r="Y316" i="17"/>
  <c r="Y122" i="17"/>
  <c r="Y282" i="17"/>
  <c r="Y118" i="17"/>
  <c r="Y303" i="17"/>
  <c r="Y119" i="17"/>
  <c r="Y324" i="17"/>
  <c r="Y120" i="17"/>
  <c r="Y133" i="17"/>
  <c r="Y130" i="17"/>
  <c r="Y283" i="17"/>
  <c r="Y284" i="17"/>
  <c r="Y304" i="17"/>
  <c r="Y305" i="17"/>
  <c r="Y325" i="17"/>
  <c r="Y326" i="17"/>
  <c r="Y132" i="17"/>
  <c r="Y134" i="17"/>
  <c r="Z346" i="17"/>
  <c r="Z123" i="17"/>
  <c r="Z131" i="17"/>
  <c r="Z316" i="17"/>
  <c r="Z122" i="17"/>
  <c r="Z282" i="17"/>
  <c r="Z118" i="17"/>
  <c r="Z303" i="17"/>
  <c r="Z119" i="17"/>
  <c r="Z324" i="17"/>
  <c r="Z120" i="17"/>
  <c r="Z133" i="17"/>
  <c r="Z130" i="17"/>
  <c r="Z283" i="17"/>
  <c r="Z284" i="17"/>
  <c r="Z304" i="17"/>
  <c r="Z305" i="17"/>
  <c r="Z325" i="17"/>
  <c r="Z326" i="17"/>
  <c r="Z132" i="17"/>
  <c r="Z134" i="17"/>
  <c r="AA346" i="17"/>
  <c r="AA123" i="17"/>
  <c r="AA131" i="17"/>
  <c r="AA316" i="17"/>
  <c r="AA122" i="17"/>
  <c r="AA282" i="17"/>
  <c r="AA118" i="17"/>
  <c r="AA303" i="17"/>
  <c r="AA119" i="17"/>
  <c r="AA324" i="17"/>
  <c r="AA120" i="17"/>
  <c r="AA133" i="17"/>
  <c r="AA130" i="17"/>
  <c r="AA283" i="17"/>
  <c r="AA284" i="17"/>
  <c r="AA304" i="17"/>
  <c r="AA305" i="17"/>
  <c r="AA325" i="17"/>
  <c r="AA326" i="17"/>
  <c r="AA132" i="17"/>
  <c r="AA134" i="17"/>
  <c r="G136" i="17"/>
  <c r="G134" i="17"/>
  <c r="G137" i="17"/>
  <c r="G138" i="17"/>
  <c r="G139" i="17"/>
  <c r="G140" i="17"/>
  <c r="N65" i="1"/>
  <c r="N63" i="1"/>
  <c r="N68" i="1"/>
  <c r="N70" i="1"/>
  <c r="N71" i="1"/>
  <c r="N72" i="1"/>
  <c r="N142" i="1"/>
  <c r="N152" i="1"/>
  <c r="I11" i="19"/>
  <c r="I12" i="19"/>
  <c r="J18" i="19"/>
  <c r="K18" i="19"/>
  <c r="L18" i="19"/>
  <c r="M18" i="19"/>
  <c r="N18" i="19"/>
  <c r="O18" i="19"/>
  <c r="P18" i="19"/>
  <c r="Q18" i="19"/>
  <c r="R18" i="19"/>
  <c r="S18" i="19"/>
  <c r="T18" i="19"/>
  <c r="U18" i="19"/>
  <c r="V18" i="19"/>
  <c r="W18" i="19"/>
  <c r="X18" i="19"/>
  <c r="Y18" i="19"/>
  <c r="Z18" i="19"/>
  <c r="AA18" i="19"/>
  <c r="AB18" i="19"/>
  <c r="AC18" i="19"/>
  <c r="I22" i="19"/>
  <c r="V167" i="8"/>
  <c r="N114" i="1"/>
  <c r="N84" i="1"/>
  <c r="N83" i="1"/>
  <c r="N91" i="1"/>
  <c r="N117" i="1"/>
  <c r="N92" i="1"/>
  <c r="N118" i="1"/>
  <c r="N119" i="1"/>
  <c r="I30" i="19"/>
  <c r="I32" i="19"/>
  <c r="I37" i="19"/>
  <c r="J37" i="19"/>
  <c r="J38" i="19"/>
  <c r="K37" i="19"/>
  <c r="K38" i="19"/>
  <c r="L37" i="19"/>
  <c r="L38" i="19"/>
  <c r="M37" i="19"/>
  <c r="M38" i="19"/>
  <c r="N37" i="19"/>
  <c r="N38" i="19"/>
  <c r="O37" i="19"/>
  <c r="O38" i="19"/>
  <c r="P37" i="19"/>
  <c r="P38" i="19"/>
  <c r="Q37" i="19"/>
  <c r="Q38" i="19"/>
  <c r="R37" i="19"/>
  <c r="R38" i="19"/>
  <c r="S37" i="19"/>
  <c r="S38" i="19"/>
  <c r="T37" i="19"/>
  <c r="T38" i="19"/>
  <c r="U37" i="19"/>
  <c r="U38" i="19"/>
  <c r="V37" i="19"/>
  <c r="V38" i="19"/>
  <c r="W37" i="19"/>
  <c r="W38" i="19"/>
  <c r="X37" i="19"/>
  <c r="X38" i="19"/>
  <c r="Y37" i="19"/>
  <c r="Y38" i="19"/>
  <c r="Z37" i="19"/>
  <c r="Z38" i="19"/>
  <c r="AA37" i="19"/>
  <c r="AA38" i="19"/>
  <c r="AB37" i="19"/>
  <c r="AB38" i="19"/>
  <c r="AC37" i="19"/>
  <c r="AC38" i="19"/>
  <c r="I42" i="19"/>
  <c r="I46" i="19"/>
  <c r="V169" i="8"/>
  <c r="N120" i="1"/>
  <c r="N115" i="1"/>
  <c r="N121" i="1"/>
  <c r="N140" i="1"/>
  <c r="N153" i="1"/>
  <c r="N109" i="1"/>
  <c r="N103" i="1"/>
  <c r="N104" i="1"/>
  <c r="N105" i="1"/>
  <c r="N106" i="1"/>
  <c r="N107" i="1"/>
  <c r="N108" i="1"/>
  <c r="N110" i="1"/>
  <c r="N141" i="1"/>
  <c r="N154" i="1"/>
  <c r="N155" i="1"/>
  <c r="N156" i="1"/>
  <c r="L154" i="1"/>
  <c r="X145" i="8"/>
  <c r="W145" i="8"/>
  <c r="X144" i="8"/>
  <c r="W144" i="8"/>
  <c r="S31" i="8"/>
  <c r="Y143" i="8"/>
  <c r="X143" i="8"/>
  <c r="W143" i="8"/>
  <c r="S30" i="8"/>
  <c r="Y142" i="8"/>
  <c r="X142" i="8"/>
  <c r="W142" i="8"/>
  <c r="X141" i="8"/>
  <c r="W141" i="8"/>
  <c r="X140" i="8"/>
  <c r="W140" i="8"/>
  <c r="G300" i="4"/>
  <c r="V31" i="8"/>
  <c r="F340" i="4"/>
  <c r="V226" i="8"/>
  <c r="H114" i="4"/>
  <c r="F377" i="4"/>
  <c r="D371" i="4"/>
  <c r="H373" i="4"/>
  <c r="F378" i="4"/>
  <c r="H128" i="4"/>
  <c r="I114" i="4"/>
  <c r="I373" i="4"/>
  <c r="I121" i="4"/>
  <c r="I128" i="4"/>
  <c r="I129" i="4"/>
  <c r="J114" i="4"/>
  <c r="J373" i="4"/>
  <c r="J121" i="4"/>
  <c r="J128" i="4"/>
  <c r="J129" i="4"/>
  <c r="K114" i="4"/>
  <c r="K373" i="4"/>
  <c r="K121" i="4"/>
  <c r="K128" i="4"/>
  <c r="K129" i="4"/>
  <c r="L114" i="4"/>
  <c r="L373" i="4"/>
  <c r="L121" i="4"/>
  <c r="L128" i="4"/>
  <c r="L129" i="4"/>
  <c r="M114" i="4"/>
  <c r="M373" i="4"/>
  <c r="M121" i="4"/>
  <c r="M128" i="4"/>
  <c r="M129" i="4"/>
  <c r="N114" i="4"/>
  <c r="N373" i="4"/>
  <c r="N121" i="4"/>
  <c r="N128" i="4"/>
  <c r="N129" i="4"/>
  <c r="O114" i="4"/>
  <c r="O373" i="4"/>
  <c r="O121" i="4"/>
  <c r="O128" i="4"/>
  <c r="O129" i="4"/>
  <c r="P114" i="4"/>
  <c r="P373" i="4"/>
  <c r="P121" i="4"/>
  <c r="P128" i="4"/>
  <c r="P129" i="4"/>
  <c r="Q114" i="4"/>
  <c r="Q373" i="4"/>
  <c r="Q121" i="4"/>
  <c r="Q128" i="4"/>
  <c r="Q129" i="4"/>
  <c r="R114" i="4"/>
  <c r="R373" i="4"/>
  <c r="R121" i="4"/>
  <c r="R128" i="4"/>
  <c r="R129" i="4"/>
  <c r="S114" i="4"/>
  <c r="S373" i="4"/>
  <c r="S121" i="4"/>
  <c r="S128" i="4"/>
  <c r="S129" i="4"/>
  <c r="T114" i="4"/>
  <c r="T373" i="4"/>
  <c r="T121" i="4"/>
  <c r="T128" i="4"/>
  <c r="T129" i="4"/>
  <c r="U114" i="4"/>
  <c r="U373" i="4"/>
  <c r="U121" i="4"/>
  <c r="U128" i="4"/>
  <c r="U129" i="4"/>
  <c r="V114" i="4"/>
  <c r="V373" i="4"/>
  <c r="V121" i="4"/>
  <c r="V128" i="4"/>
  <c r="V129" i="4"/>
  <c r="W114" i="4"/>
  <c r="W373" i="4"/>
  <c r="W121" i="4"/>
  <c r="W128" i="4"/>
  <c r="W129" i="4"/>
  <c r="X114" i="4"/>
  <c r="X373" i="4"/>
  <c r="X121" i="4"/>
  <c r="X128" i="4"/>
  <c r="X129" i="4"/>
  <c r="Y114" i="4"/>
  <c r="Y373" i="4"/>
  <c r="Y121" i="4"/>
  <c r="Y128" i="4"/>
  <c r="Y129" i="4"/>
  <c r="Z114" i="4"/>
  <c r="Z373" i="4"/>
  <c r="Z121" i="4"/>
  <c r="Z128" i="4"/>
  <c r="Z129" i="4"/>
  <c r="AA114" i="4"/>
  <c r="AA373" i="4"/>
  <c r="AA121" i="4"/>
  <c r="AA128" i="4"/>
  <c r="AA129" i="4"/>
  <c r="H108" i="4"/>
  <c r="H110" i="4"/>
  <c r="I110" i="4"/>
  <c r="J110" i="4"/>
  <c r="K110" i="4"/>
  <c r="L110" i="4"/>
  <c r="M110" i="4"/>
  <c r="N110" i="4"/>
  <c r="O110" i="4"/>
  <c r="P110" i="4"/>
  <c r="Q110" i="4"/>
  <c r="R110" i="4"/>
  <c r="S110" i="4"/>
  <c r="T110" i="4"/>
  <c r="U110" i="4"/>
  <c r="V110" i="4"/>
  <c r="W110" i="4"/>
  <c r="X110" i="4"/>
  <c r="Y110" i="4"/>
  <c r="Z110" i="4"/>
  <c r="AA110" i="4"/>
  <c r="G300" i="17"/>
  <c r="F340" i="17"/>
  <c r="F377" i="17"/>
  <c r="G377" i="17"/>
  <c r="D371" i="17"/>
  <c r="H373" i="17"/>
  <c r="H377" i="17"/>
  <c r="F378" i="17"/>
  <c r="G378" i="17"/>
  <c r="H378" i="17"/>
  <c r="H379" i="17"/>
  <c r="H116" i="17"/>
  <c r="H128" i="17"/>
  <c r="I373" i="17"/>
  <c r="I377" i="17"/>
  <c r="I378" i="17"/>
  <c r="I379" i="17"/>
  <c r="I116" i="17"/>
  <c r="I121" i="17"/>
  <c r="I128" i="17"/>
  <c r="I129" i="17"/>
  <c r="J373" i="17"/>
  <c r="J377" i="17"/>
  <c r="J378" i="17"/>
  <c r="J379" i="17"/>
  <c r="J116" i="17"/>
  <c r="J121" i="17"/>
  <c r="J128" i="17"/>
  <c r="J129" i="17"/>
  <c r="K373" i="17"/>
  <c r="K377" i="17"/>
  <c r="K378" i="17"/>
  <c r="K379" i="17"/>
  <c r="K116" i="17"/>
  <c r="K121" i="17"/>
  <c r="K128" i="17"/>
  <c r="K129" i="17"/>
  <c r="L373" i="17"/>
  <c r="L377" i="17"/>
  <c r="L378" i="17"/>
  <c r="L379" i="17"/>
  <c r="L116" i="17"/>
  <c r="L121" i="17"/>
  <c r="L128" i="17"/>
  <c r="L129" i="17"/>
  <c r="M373" i="17"/>
  <c r="M377" i="17"/>
  <c r="M378" i="17"/>
  <c r="M379" i="17"/>
  <c r="M116" i="17"/>
  <c r="M121" i="17"/>
  <c r="M128" i="17"/>
  <c r="M129" i="17"/>
  <c r="N373" i="17"/>
  <c r="N377" i="17"/>
  <c r="N378" i="17"/>
  <c r="N379" i="17"/>
  <c r="N116" i="17"/>
  <c r="N121" i="17"/>
  <c r="N128" i="17"/>
  <c r="N129" i="17"/>
  <c r="O373" i="17"/>
  <c r="O377" i="17"/>
  <c r="O378" i="17"/>
  <c r="O379" i="17"/>
  <c r="O116" i="17"/>
  <c r="O121" i="17"/>
  <c r="O128" i="17"/>
  <c r="O129" i="17"/>
  <c r="P373" i="17"/>
  <c r="P377" i="17"/>
  <c r="P378" i="17"/>
  <c r="P379" i="17"/>
  <c r="P116" i="17"/>
  <c r="P121" i="17"/>
  <c r="P128" i="17"/>
  <c r="P129" i="17"/>
  <c r="Q373" i="17"/>
  <c r="Q377" i="17"/>
  <c r="Q378" i="17"/>
  <c r="Q379" i="17"/>
  <c r="Q116" i="17"/>
  <c r="Q121" i="17"/>
  <c r="Q128" i="17"/>
  <c r="Q129" i="17"/>
  <c r="R373" i="17"/>
  <c r="R377" i="17"/>
  <c r="R378" i="17"/>
  <c r="R379" i="17"/>
  <c r="R116" i="17"/>
  <c r="R121" i="17"/>
  <c r="R128" i="17"/>
  <c r="R129" i="17"/>
  <c r="S373" i="17"/>
  <c r="S377" i="17"/>
  <c r="S378" i="17"/>
  <c r="S379" i="17"/>
  <c r="S116" i="17"/>
  <c r="S121" i="17"/>
  <c r="S128" i="17"/>
  <c r="S129" i="17"/>
  <c r="T373" i="17"/>
  <c r="T377" i="17"/>
  <c r="T378" i="17"/>
  <c r="T379" i="17"/>
  <c r="T116" i="17"/>
  <c r="T121" i="17"/>
  <c r="T128" i="17"/>
  <c r="T129" i="17"/>
  <c r="U373" i="17"/>
  <c r="U377" i="17"/>
  <c r="U378" i="17"/>
  <c r="U379" i="17"/>
  <c r="U116" i="17"/>
  <c r="U121" i="17"/>
  <c r="U128" i="17"/>
  <c r="U129" i="17"/>
  <c r="V373" i="17"/>
  <c r="V377" i="17"/>
  <c r="V378" i="17"/>
  <c r="V379" i="17"/>
  <c r="V116" i="17"/>
  <c r="V121" i="17"/>
  <c r="V128" i="17"/>
  <c r="V129" i="17"/>
  <c r="W373" i="17"/>
  <c r="W377" i="17"/>
  <c r="W378" i="17"/>
  <c r="W379" i="17"/>
  <c r="W116" i="17"/>
  <c r="W121" i="17"/>
  <c r="W128" i="17"/>
  <c r="W129" i="17"/>
  <c r="X373" i="17"/>
  <c r="X377" i="17"/>
  <c r="X378" i="17"/>
  <c r="X379" i="17"/>
  <c r="X116" i="17"/>
  <c r="X121" i="17"/>
  <c r="X128" i="17"/>
  <c r="X129" i="17"/>
  <c r="Y373" i="17"/>
  <c r="Y377" i="17"/>
  <c r="Y378" i="17"/>
  <c r="Y379" i="17"/>
  <c r="Y116" i="17"/>
  <c r="Y121" i="17"/>
  <c r="Y128" i="17"/>
  <c r="Y129" i="17"/>
  <c r="Z373" i="17"/>
  <c r="Z377" i="17"/>
  <c r="Z378" i="17"/>
  <c r="Z379" i="17"/>
  <c r="Z116" i="17"/>
  <c r="Z121" i="17"/>
  <c r="Z128" i="17"/>
  <c r="Z129" i="17"/>
  <c r="AA373" i="17"/>
  <c r="AA377" i="17"/>
  <c r="AA378" i="17"/>
  <c r="AA379" i="17"/>
  <c r="AA116" i="17"/>
  <c r="AA121" i="17"/>
  <c r="AA128" i="17"/>
  <c r="AA129" i="17"/>
  <c r="H108" i="17"/>
  <c r="H110" i="17"/>
  <c r="I110" i="17"/>
  <c r="J110" i="17"/>
  <c r="K110" i="17"/>
  <c r="L110" i="17"/>
  <c r="M110" i="17"/>
  <c r="N110" i="17"/>
  <c r="O110" i="17"/>
  <c r="P110" i="17"/>
  <c r="Q110" i="17"/>
  <c r="R110" i="17"/>
  <c r="S110" i="17"/>
  <c r="T110" i="17"/>
  <c r="U110" i="17"/>
  <c r="V110" i="17"/>
  <c r="W110" i="17"/>
  <c r="X110" i="17"/>
  <c r="Y110" i="17"/>
  <c r="Z110" i="17"/>
  <c r="AA110" i="17"/>
  <c r="N37" i="6"/>
  <c r="G55" i="7"/>
  <c r="H18" i="7"/>
  <c r="H20" i="7"/>
  <c r="I18" i="7"/>
  <c r="I20" i="7"/>
  <c r="J18" i="7"/>
  <c r="J20" i="7"/>
  <c r="K18" i="7"/>
  <c r="K20" i="7"/>
  <c r="L18" i="7"/>
  <c r="L20" i="7"/>
  <c r="M18" i="7"/>
  <c r="M20" i="7"/>
  <c r="N18" i="7"/>
  <c r="N20" i="7"/>
  <c r="O18" i="7"/>
  <c r="O20" i="7"/>
  <c r="P18" i="7"/>
  <c r="P20" i="7"/>
  <c r="Q18" i="7"/>
  <c r="Q20" i="7"/>
  <c r="R18" i="7"/>
  <c r="R20" i="7"/>
  <c r="S18" i="7"/>
  <c r="S20" i="7"/>
  <c r="T18" i="7"/>
  <c r="T20" i="7"/>
  <c r="U18" i="7"/>
  <c r="U20" i="7"/>
  <c r="V18" i="7"/>
  <c r="V20" i="7"/>
  <c r="W18" i="7"/>
  <c r="W20" i="7"/>
  <c r="X18" i="7"/>
  <c r="X20" i="7"/>
  <c r="Y18" i="7"/>
  <c r="Y20" i="7"/>
  <c r="Z18" i="7"/>
  <c r="Z20" i="7"/>
  <c r="AA18" i="7"/>
  <c r="AA20" i="7"/>
  <c r="AB18" i="7"/>
  <c r="AB20" i="7"/>
  <c r="AC18" i="7"/>
  <c r="AC20" i="7"/>
  <c r="AD18" i="7"/>
  <c r="AD20" i="7"/>
  <c r="AE18" i="7"/>
  <c r="AE20" i="7"/>
  <c r="AF18" i="7"/>
  <c r="AF20" i="7"/>
  <c r="AG18" i="7"/>
  <c r="AG20" i="7"/>
  <c r="AH18" i="7"/>
  <c r="AH20" i="7"/>
  <c r="AI18" i="7"/>
  <c r="AI20" i="7"/>
  <c r="AJ18" i="7"/>
  <c r="AJ20" i="7"/>
  <c r="AK18" i="7"/>
  <c r="AK20" i="7"/>
  <c r="AL18" i="7"/>
  <c r="AL20" i="7"/>
  <c r="AM18" i="7"/>
  <c r="AM20" i="7"/>
  <c r="AN18" i="7"/>
  <c r="AN20" i="7"/>
  <c r="AO18" i="7"/>
  <c r="AO20" i="7"/>
  <c r="AP18" i="7"/>
  <c r="AP20" i="7"/>
  <c r="AQ18" i="7"/>
  <c r="AQ20" i="7"/>
  <c r="AR18" i="7"/>
  <c r="AR20" i="7"/>
  <c r="AS18" i="7"/>
  <c r="AS20" i="7"/>
  <c r="AT18" i="7"/>
  <c r="AT20" i="7"/>
  <c r="AU18" i="7"/>
  <c r="AU20" i="7"/>
  <c r="AV18" i="7"/>
  <c r="AV20" i="7"/>
  <c r="AW18" i="7"/>
  <c r="AW20" i="7"/>
  <c r="AX18" i="7"/>
  <c r="AX20" i="7"/>
  <c r="AY18" i="7"/>
  <c r="AY20" i="7"/>
  <c r="AZ18" i="7"/>
  <c r="AZ20" i="7"/>
  <c r="BA18" i="7"/>
  <c r="BA20" i="7"/>
  <c r="BB18" i="7"/>
  <c r="BB20" i="7"/>
  <c r="BC18" i="7"/>
  <c r="BC20" i="7"/>
  <c r="BD18" i="7"/>
  <c r="BD20" i="7"/>
  <c r="BE18" i="7"/>
  <c r="BE20" i="7"/>
  <c r="G57" i="7"/>
  <c r="N105" i="6"/>
  <c r="H24" i="7"/>
  <c r="H46" i="7"/>
  <c r="N17" i="6"/>
  <c r="N32" i="6"/>
  <c r="G304" i="7"/>
  <c r="H320" i="7"/>
  <c r="N33" i="6"/>
  <c r="G323" i="7"/>
  <c r="H341" i="7"/>
  <c r="N34" i="6"/>
  <c r="G346" i="7"/>
  <c r="H362" i="7"/>
  <c r="H39" i="7"/>
  <c r="H48" i="7"/>
  <c r="G326" i="7"/>
  <c r="H342" i="7"/>
  <c r="N76" i="6"/>
  <c r="G327" i="7"/>
  <c r="H343" i="7"/>
  <c r="H40" i="7"/>
  <c r="H49" i="7"/>
  <c r="G366" i="7"/>
  <c r="H372" i="7"/>
  <c r="G367" i="7"/>
  <c r="H373" i="7"/>
  <c r="H41" i="7"/>
  <c r="H50" i="7"/>
  <c r="G305" i="7"/>
  <c r="H309" i="7"/>
  <c r="H310" i="7"/>
  <c r="H311" i="7"/>
  <c r="G324" i="7"/>
  <c r="H330" i="7"/>
  <c r="H331" i="7"/>
  <c r="H332" i="7"/>
  <c r="G347" i="7"/>
  <c r="N41" i="6"/>
  <c r="G348" i="7"/>
  <c r="H351" i="7"/>
  <c r="H352" i="7"/>
  <c r="H353" i="7"/>
  <c r="H51" i="7"/>
  <c r="F774" i="7"/>
  <c r="G774" i="7"/>
  <c r="D768" i="7"/>
  <c r="H770" i="7"/>
  <c r="H774" i="7"/>
  <c r="F775" i="7"/>
  <c r="G775" i="7"/>
  <c r="H775" i="7"/>
  <c r="H776" i="7"/>
  <c r="H34" i="7"/>
  <c r="H36" i="7"/>
  <c r="H37" i="7"/>
  <c r="H38" i="7"/>
  <c r="I24" i="7"/>
  <c r="I46" i="7"/>
  <c r="C18" i="9"/>
  <c r="I39" i="7"/>
  <c r="I48" i="7"/>
  <c r="I343" i="7"/>
  <c r="I40" i="7"/>
  <c r="I49" i="7"/>
  <c r="I373" i="7"/>
  <c r="I41" i="7"/>
  <c r="I50" i="7"/>
  <c r="I309" i="7"/>
  <c r="I310" i="7"/>
  <c r="I311" i="7"/>
  <c r="I330" i="7"/>
  <c r="I331" i="7"/>
  <c r="I332" i="7"/>
  <c r="I351" i="7"/>
  <c r="I352" i="7"/>
  <c r="I353" i="7"/>
  <c r="I51" i="7"/>
  <c r="I770" i="7"/>
  <c r="I774" i="7"/>
  <c r="I775" i="7"/>
  <c r="I776" i="7"/>
  <c r="I34" i="7"/>
  <c r="I36" i="7"/>
  <c r="I37" i="7"/>
  <c r="I38" i="7"/>
  <c r="J24" i="7"/>
  <c r="J46" i="7"/>
  <c r="C19" i="9"/>
  <c r="J39" i="7"/>
  <c r="J48" i="7"/>
  <c r="J343" i="7"/>
  <c r="J40" i="7"/>
  <c r="J49" i="7"/>
  <c r="J373" i="7"/>
  <c r="J41" i="7"/>
  <c r="J50" i="7"/>
  <c r="J309" i="7"/>
  <c r="J310" i="7"/>
  <c r="J311" i="7"/>
  <c r="J330" i="7"/>
  <c r="J331" i="7"/>
  <c r="J332" i="7"/>
  <c r="J351" i="7"/>
  <c r="J352" i="7"/>
  <c r="J353" i="7"/>
  <c r="J51" i="7"/>
  <c r="J770" i="7"/>
  <c r="J774" i="7"/>
  <c r="J775" i="7"/>
  <c r="J776" i="7"/>
  <c r="J34" i="7"/>
  <c r="J36" i="7"/>
  <c r="J37" i="7"/>
  <c r="J38" i="7"/>
  <c r="K24" i="7"/>
  <c r="K46" i="7"/>
  <c r="C20" i="9"/>
  <c r="K39" i="7"/>
  <c r="K48" i="7"/>
  <c r="K343" i="7"/>
  <c r="K40" i="7"/>
  <c r="K49" i="7"/>
  <c r="K373" i="7"/>
  <c r="K41" i="7"/>
  <c r="K50" i="7"/>
  <c r="K309" i="7"/>
  <c r="K310" i="7"/>
  <c r="K311" i="7"/>
  <c r="K330" i="7"/>
  <c r="K331" i="7"/>
  <c r="K332" i="7"/>
  <c r="K351" i="7"/>
  <c r="K352" i="7"/>
  <c r="K353" i="7"/>
  <c r="K51" i="7"/>
  <c r="K770" i="7"/>
  <c r="K774" i="7"/>
  <c r="K775" i="7"/>
  <c r="K776" i="7"/>
  <c r="K34" i="7"/>
  <c r="K36" i="7"/>
  <c r="K37" i="7"/>
  <c r="K38" i="7"/>
  <c r="L24" i="7"/>
  <c r="L46" i="7"/>
  <c r="C21" i="9"/>
  <c r="L39" i="7"/>
  <c r="L48" i="7"/>
  <c r="L343" i="7"/>
  <c r="L40" i="7"/>
  <c r="L49" i="7"/>
  <c r="L373" i="7"/>
  <c r="L41" i="7"/>
  <c r="L50" i="7"/>
  <c r="L309" i="7"/>
  <c r="L310" i="7"/>
  <c r="L311" i="7"/>
  <c r="L330" i="7"/>
  <c r="L331" i="7"/>
  <c r="L332" i="7"/>
  <c r="L351" i="7"/>
  <c r="L352" i="7"/>
  <c r="L353" i="7"/>
  <c r="L51" i="7"/>
  <c r="L770" i="7"/>
  <c r="L774" i="7"/>
  <c r="L775" i="7"/>
  <c r="L776" i="7"/>
  <c r="L34" i="7"/>
  <c r="L36" i="7"/>
  <c r="L37" i="7"/>
  <c r="L38" i="7"/>
  <c r="M24" i="7"/>
  <c r="M46" i="7"/>
  <c r="C22" i="9"/>
  <c r="M39" i="7"/>
  <c r="M48" i="7"/>
  <c r="M343" i="7"/>
  <c r="M40" i="7"/>
  <c r="M49" i="7"/>
  <c r="M373" i="7"/>
  <c r="M41" i="7"/>
  <c r="M50" i="7"/>
  <c r="M309" i="7"/>
  <c r="M310" i="7"/>
  <c r="M311" i="7"/>
  <c r="M330" i="7"/>
  <c r="M331" i="7"/>
  <c r="M332" i="7"/>
  <c r="M351" i="7"/>
  <c r="M352" i="7"/>
  <c r="M353" i="7"/>
  <c r="M51" i="7"/>
  <c r="M770" i="7"/>
  <c r="M774" i="7"/>
  <c r="M775" i="7"/>
  <c r="M776" i="7"/>
  <c r="M34" i="7"/>
  <c r="M36" i="7"/>
  <c r="M37" i="7"/>
  <c r="M38" i="7"/>
  <c r="N24" i="7"/>
  <c r="N46" i="7"/>
  <c r="C23" i="9"/>
  <c r="N39" i="7"/>
  <c r="N48" i="7"/>
  <c r="N343" i="7"/>
  <c r="N40" i="7"/>
  <c r="N49" i="7"/>
  <c r="N373" i="7"/>
  <c r="N41" i="7"/>
  <c r="N50" i="7"/>
  <c r="N309" i="7"/>
  <c r="N310" i="7"/>
  <c r="N311" i="7"/>
  <c r="N330" i="7"/>
  <c r="N331" i="7"/>
  <c r="N332" i="7"/>
  <c r="N351" i="7"/>
  <c r="N352" i="7"/>
  <c r="N353" i="7"/>
  <c r="N51" i="7"/>
  <c r="N770" i="7"/>
  <c r="N774" i="7"/>
  <c r="N775" i="7"/>
  <c r="N776" i="7"/>
  <c r="N34" i="7"/>
  <c r="N36" i="7"/>
  <c r="N37" i="7"/>
  <c r="N38" i="7"/>
  <c r="O24" i="7"/>
  <c r="O46" i="7"/>
  <c r="C24" i="9"/>
  <c r="O39" i="7"/>
  <c r="O48" i="7"/>
  <c r="O343" i="7"/>
  <c r="O40" i="7"/>
  <c r="O49" i="7"/>
  <c r="O373" i="7"/>
  <c r="O41" i="7"/>
  <c r="O50" i="7"/>
  <c r="O309" i="7"/>
  <c r="O310" i="7"/>
  <c r="O311" i="7"/>
  <c r="O330" i="7"/>
  <c r="O331" i="7"/>
  <c r="O332" i="7"/>
  <c r="O351" i="7"/>
  <c r="O352" i="7"/>
  <c r="O353" i="7"/>
  <c r="O51" i="7"/>
  <c r="O770" i="7"/>
  <c r="O774" i="7"/>
  <c r="O775" i="7"/>
  <c r="O776" i="7"/>
  <c r="O34" i="7"/>
  <c r="O36" i="7"/>
  <c r="O37" i="7"/>
  <c r="O38" i="7"/>
  <c r="P24" i="7"/>
  <c r="P46" i="7"/>
  <c r="C25" i="9"/>
  <c r="P39" i="7"/>
  <c r="P48" i="7"/>
  <c r="P343" i="7"/>
  <c r="P40" i="7"/>
  <c r="P49" i="7"/>
  <c r="P373" i="7"/>
  <c r="P41" i="7"/>
  <c r="P50" i="7"/>
  <c r="P309" i="7"/>
  <c r="P310" i="7"/>
  <c r="P311" i="7"/>
  <c r="P330" i="7"/>
  <c r="P331" i="7"/>
  <c r="P332" i="7"/>
  <c r="P351" i="7"/>
  <c r="P352" i="7"/>
  <c r="P353" i="7"/>
  <c r="P51" i="7"/>
  <c r="P770" i="7"/>
  <c r="P774" i="7"/>
  <c r="P775" i="7"/>
  <c r="P776" i="7"/>
  <c r="P34" i="7"/>
  <c r="P36" i="7"/>
  <c r="P37" i="7"/>
  <c r="P38" i="7"/>
  <c r="Q24" i="7"/>
  <c r="Q46" i="7"/>
  <c r="C26" i="9"/>
  <c r="Q39" i="7"/>
  <c r="Q48" i="7"/>
  <c r="Q343" i="7"/>
  <c r="Q40" i="7"/>
  <c r="Q49" i="7"/>
  <c r="Q373" i="7"/>
  <c r="Q41" i="7"/>
  <c r="Q50" i="7"/>
  <c r="Q309" i="7"/>
  <c r="Q310" i="7"/>
  <c r="Q311" i="7"/>
  <c r="Q330" i="7"/>
  <c r="Q331" i="7"/>
  <c r="Q332" i="7"/>
  <c r="Q351" i="7"/>
  <c r="Q352" i="7"/>
  <c r="Q353" i="7"/>
  <c r="Q51" i="7"/>
  <c r="Q770" i="7"/>
  <c r="Q774" i="7"/>
  <c r="Q775" i="7"/>
  <c r="Q776" i="7"/>
  <c r="Q34" i="7"/>
  <c r="Q36" i="7"/>
  <c r="Q37" i="7"/>
  <c r="Q38" i="7"/>
  <c r="R24" i="7"/>
  <c r="R46" i="7"/>
  <c r="C27" i="9"/>
  <c r="R39" i="7"/>
  <c r="R48" i="7"/>
  <c r="R343" i="7"/>
  <c r="R40" i="7"/>
  <c r="R49" i="7"/>
  <c r="R373" i="7"/>
  <c r="R41" i="7"/>
  <c r="R50" i="7"/>
  <c r="R309" i="7"/>
  <c r="R310" i="7"/>
  <c r="R311" i="7"/>
  <c r="R330" i="7"/>
  <c r="R331" i="7"/>
  <c r="R332" i="7"/>
  <c r="R351" i="7"/>
  <c r="R352" i="7"/>
  <c r="R353" i="7"/>
  <c r="R51" i="7"/>
  <c r="R770" i="7"/>
  <c r="R774" i="7"/>
  <c r="R775" i="7"/>
  <c r="R776" i="7"/>
  <c r="R34" i="7"/>
  <c r="R36" i="7"/>
  <c r="R37" i="7"/>
  <c r="R38" i="7"/>
  <c r="S24" i="7"/>
  <c r="S46" i="7"/>
  <c r="C28" i="9"/>
  <c r="S39" i="7"/>
  <c r="S48" i="7"/>
  <c r="S343" i="7"/>
  <c r="S40" i="7"/>
  <c r="S49" i="7"/>
  <c r="S373" i="7"/>
  <c r="S41" i="7"/>
  <c r="S50" i="7"/>
  <c r="S309" i="7"/>
  <c r="S310" i="7"/>
  <c r="S311" i="7"/>
  <c r="S330" i="7"/>
  <c r="S331" i="7"/>
  <c r="S332" i="7"/>
  <c r="S351" i="7"/>
  <c r="S352" i="7"/>
  <c r="S353" i="7"/>
  <c r="S51" i="7"/>
  <c r="S770" i="7"/>
  <c r="S774" i="7"/>
  <c r="S775" i="7"/>
  <c r="S776" i="7"/>
  <c r="S34" i="7"/>
  <c r="S36" i="7"/>
  <c r="S37" i="7"/>
  <c r="S38" i="7"/>
  <c r="T24" i="7"/>
  <c r="T46" i="7"/>
  <c r="C29" i="9"/>
  <c r="T39" i="7"/>
  <c r="T48" i="7"/>
  <c r="T343" i="7"/>
  <c r="T40" i="7"/>
  <c r="T49" i="7"/>
  <c r="T373" i="7"/>
  <c r="T41" i="7"/>
  <c r="T50" i="7"/>
  <c r="T309" i="7"/>
  <c r="T310" i="7"/>
  <c r="T311" i="7"/>
  <c r="T330" i="7"/>
  <c r="T331" i="7"/>
  <c r="T332" i="7"/>
  <c r="T351" i="7"/>
  <c r="T352" i="7"/>
  <c r="T353" i="7"/>
  <c r="T51" i="7"/>
  <c r="T770" i="7"/>
  <c r="T774" i="7"/>
  <c r="T775" i="7"/>
  <c r="T776" i="7"/>
  <c r="T34" i="7"/>
  <c r="T36" i="7"/>
  <c r="T37" i="7"/>
  <c r="T38" i="7"/>
  <c r="U24" i="7"/>
  <c r="U46" i="7"/>
  <c r="C30" i="9"/>
  <c r="U39" i="7"/>
  <c r="U48" i="7"/>
  <c r="U343" i="7"/>
  <c r="U40" i="7"/>
  <c r="U49" i="7"/>
  <c r="U373" i="7"/>
  <c r="U41" i="7"/>
  <c r="U50" i="7"/>
  <c r="U309" i="7"/>
  <c r="U310" i="7"/>
  <c r="U311" i="7"/>
  <c r="U330" i="7"/>
  <c r="U331" i="7"/>
  <c r="U332" i="7"/>
  <c r="U351" i="7"/>
  <c r="U352" i="7"/>
  <c r="U353" i="7"/>
  <c r="U51" i="7"/>
  <c r="U770" i="7"/>
  <c r="U774" i="7"/>
  <c r="U775" i="7"/>
  <c r="U776" i="7"/>
  <c r="U34" i="7"/>
  <c r="U36" i="7"/>
  <c r="U37" i="7"/>
  <c r="U38" i="7"/>
  <c r="V24" i="7"/>
  <c r="V46" i="7"/>
  <c r="C31" i="9"/>
  <c r="V39" i="7"/>
  <c r="V48" i="7"/>
  <c r="V343" i="7"/>
  <c r="V40" i="7"/>
  <c r="V49" i="7"/>
  <c r="V373" i="7"/>
  <c r="V41" i="7"/>
  <c r="V50" i="7"/>
  <c r="V309" i="7"/>
  <c r="V310" i="7"/>
  <c r="V311" i="7"/>
  <c r="V330" i="7"/>
  <c r="V331" i="7"/>
  <c r="V332" i="7"/>
  <c r="V351" i="7"/>
  <c r="V352" i="7"/>
  <c r="V353" i="7"/>
  <c r="V51" i="7"/>
  <c r="V770" i="7"/>
  <c r="V774" i="7"/>
  <c r="V775" i="7"/>
  <c r="V776" i="7"/>
  <c r="V34" i="7"/>
  <c r="V36" i="7"/>
  <c r="V37" i="7"/>
  <c r="V38" i="7"/>
  <c r="W24" i="7"/>
  <c r="W46" i="7"/>
  <c r="C32" i="9"/>
  <c r="W39" i="7"/>
  <c r="W48" i="7"/>
  <c r="W343" i="7"/>
  <c r="W40" i="7"/>
  <c r="W49" i="7"/>
  <c r="W373" i="7"/>
  <c r="W41" i="7"/>
  <c r="W50" i="7"/>
  <c r="W309" i="7"/>
  <c r="W310" i="7"/>
  <c r="W311" i="7"/>
  <c r="W330" i="7"/>
  <c r="W331" i="7"/>
  <c r="W332" i="7"/>
  <c r="W351" i="7"/>
  <c r="W352" i="7"/>
  <c r="W353" i="7"/>
  <c r="W51" i="7"/>
  <c r="W770" i="7"/>
  <c r="W774" i="7"/>
  <c r="W775" i="7"/>
  <c r="W776" i="7"/>
  <c r="W34" i="7"/>
  <c r="W36" i="7"/>
  <c r="W37" i="7"/>
  <c r="W38" i="7"/>
  <c r="X24" i="7"/>
  <c r="X46" i="7"/>
  <c r="C33" i="9"/>
  <c r="X39" i="7"/>
  <c r="X48" i="7"/>
  <c r="X343" i="7"/>
  <c r="X40" i="7"/>
  <c r="X49" i="7"/>
  <c r="X373" i="7"/>
  <c r="X41" i="7"/>
  <c r="X50" i="7"/>
  <c r="X309" i="7"/>
  <c r="X310" i="7"/>
  <c r="X311" i="7"/>
  <c r="X330" i="7"/>
  <c r="X331" i="7"/>
  <c r="X332" i="7"/>
  <c r="X351" i="7"/>
  <c r="X352" i="7"/>
  <c r="X353" i="7"/>
  <c r="X51" i="7"/>
  <c r="X770" i="7"/>
  <c r="X774" i="7"/>
  <c r="X775" i="7"/>
  <c r="X776" i="7"/>
  <c r="X34" i="7"/>
  <c r="X36" i="7"/>
  <c r="X37" i="7"/>
  <c r="X38" i="7"/>
  <c r="Y24" i="7"/>
  <c r="Y46" i="7"/>
  <c r="C34" i="9"/>
  <c r="Y39" i="7"/>
  <c r="Y48" i="7"/>
  <c r="Y343" i="7"/>
  <c r="Y40" i="7"/>
  <c r="Y49" i="7"/>
  <c r="Y373" i="7"/>
  <c r="Y41" i="7"/>
  <c r="Y50" i="7"/>
  <c r="Y309" i="7"/>
  <c r="Y310" i="7"/>
  <c r="Y311" i="7"/>
  <c r="Y330" i="7"/>
  <c r="Y331" i="7"/>
  <c r="Y332" i="7"/>
  <c r="Y351" i="7"/>
  <c r="Y352" i="7"/>
  <c r="Y353" i="7"/>
  <c r="Y51" i="7"/>
  <c r="Y770" i="7"/>
  <c r="Y774" i="7"/>
  <c r="Y775" i="7"/>
  <c r="Y776" i="7"/>
  <c r="Y34" i="7"/>
  <c r="Y36" i="7"/>
  <c r="Y37" i="7"/>
  <c r="Y38" i="7"/>
  <c r="Z24" i="7"/>
  <c r="Z46" i="7"/>
  <c r="C35" i="9"/>
  <c r="Z39" i="7"/>
  <c r="Z48" i="7"/>
  <c r="Z343" i="7"/>
  <c r="Z40" i="7"/>
  <c r="Z49" i="7"/>
  <c r="Z373" i="7"/>
  <c r="Z41" i="7"/>
  <c r="Z50" i="7"/>
  <c r="Z309" i="7"/>
  <c r="Z310" i="7"/>
  <c r="Z311" i="7"/>
  <c r="Z330" i="7"/>
  <c r="Z331" i="7"/>
  <c r="Z332" i="7"/>
  <c r="Z351" i="7"/>
  <c r="Z352" i="7"/>
  <c r="Z353" i="7"/>
  <c r="Z51" i="7"/>
  <c r="Z770" i="7"/>
  <c r="Z774" i="7"/>
  <c r="Z775" i="7"/>
  <c r="Z776" i="7"/>
  <c r="Z34" i="7"/>
  <c r="Z36" i="7"/>
  <c r="Z37" i="7"/>
  <c r="Z38" i="7"/>
  <c r="AA24" i="7"/>
  <c r="AA46" i="7"/>
  <c r="C36" i="9"/>
  <c r="AA39" i="7"/>
  <c r="AA48" i="7"/>
  <c r="AA343" i="7"/>
  <c r="AA40" i="7"/>
  <c r="AA49" i="7"/>
  <c r="AA373" i="7"/>
  <c r="AA41" i="7"/>
  <c r="AA50" i="7"/>
  <c r="AA309" i="7"/>
  <c r="AA310" i="7"/>
  <c r="AA311" i="7"/>
  <c r="AA330" i="7"/>
  <c r="AA331" i="7"/>
  <c r="AA332" i="7"/>
  <c r="AA351" i="7"/>
  <c r="AA352" i="7"/>
  <c r="AA353" i="7"/>
  <c r="AA51" i="7"/>
  <c r="AA770" i="7"/>
  <c r="AA774" i="7"/>
  <c r="AA775" i="7"/>
  <c r="AA776" i="7"/>
  <c r="AA34" i="7"/>
  <c r="AA36" i="7"/>
  <c r="AA37" i="7"/>
  <c r="AA38" i="7"/>
  <c r="AB24" i="7"/>
  <c r="AB46" i="7"/>
  <c r="C37" i="9"/>
  <c r="AB39" i="7"/>
  <c r="AB48" i="7"/>
  <c r="AB343" i="7"/>
  <c r="AB40" i="7"/>
  <c r="AB49" i="7"/>
  <c r="AB373" i="7"/>
  <c r="AB41" i="7"/>
  <c r="AB50" i="7"/>
  <c r="AB309" i="7"/>
  <c r="AB310" i="7"/>
  <c r="AB311" i="7"/>
  <c r="AB330" i="7"/>
  <c r="AB331" i="7"/>
  <c r="AB332" i="7"/>
  <c r="AB351" i="7"/>
  <c r="AB352" i="7"/>
  <c r="AB353" i="7"/>
  <c r="AB51" i="7"/>
  <c r="AB770" i="7"/>
  <c r="AB774" i="7"/>
  <c r="AB775" i="7"/>
  <c r="AB776" i="7"/>
  <c r="AB34" i="7"/>
  <c r="AB36" i="7"/>
  <c r="AB37" i="7"/>
  <c r="AB38" i="7"/>
  <c r="AC24" i="7"/>
  <c r="AC46" i="7"/>
  <c r="C38" i="9"/>
  <c r="AC39" i="7"/>
  <c r="AC48" i="7"/>
  <c r="AC343" i="7"/>
  <c r="AC40" i="7"/>
  <c r="AC49" i="7"/>
  <c r="AC373" i="7"/>
  <c r="AC41" i="7"/>
  <c r="AC50" i="7"/>
  <c r="AC309" i="7"/>
  <c r="AC310" i="7"/>
  <c r="AC311" i="7"/>
  <c r="AC330" i="7"/>
  <c r="AC331" i="7"/>
  <c r="AC332" i="7"/>
  <c r="AC351" i="7"/>
  <c r="AC352" i="7"/>
  <c r="AC353" i="7"/>
  <c r="AC51" i="7"/>
  <c r="AC770" i="7"/>
  <c r="AC774" i="7"/>
  <c r="AC775" i="7"/>
  <c r="AC776" i="7"/>
  <c r="AC34" i="7"/>
  <c r="AC36" i="7"/>
  <c r="AC37" i="7"/>
  <c r="AC38" i="7"/>
  <c r="AD24" i="7"/>
  <c r="AD46" i="7"/>
  <c r="C39" i="9"/>
  <c r="AD39" i="7"/>
  <c r="AD48" i="7"/>
  <c r="AD343" i="7"/>
  <c r="AD40" i="7"/>
  <c r="AD49" i="7"/>
  <c r="AD373" i="7"/>
  <c r="AD41" i="7"/>
  <c r="AD50" i="7"/>
  <c r="AD309" i="7"/>
  <c r="AD310" i="7"/>
  <c r="AD311" i="7"/>
  <c r="AD330" i="7"/>
  <c r="AD331" i="7"/>
  <c r="AD332" i="7"/>
  <c r="AD351" i="7"/>
  <c r="AD352" i="7"/>
  <c r="AD353" i="7"/>
  <c r="AD51" i="7"/>
  <c r="AD770" i="7"/>
  <c r="AD774" i="7"/>
  <c r="AD775" i="7"/>
  <c r="AD776" i="7"/>
  <c r="AD34" i="7"/>
  <c r="AD36" i="7"/>
  <c r="AD37" i="7"/>
  <c r="AD38" i="7"/>
  <c r="AE24" i="7"/>
  <c r="AE46" i="7"/>
  <c r="C40" i="9"/>
  <c r="AE39" i="7"/>
  <c r="AE48" i="7"/>
  <c r="AE343" i="7"/>
  <c r="AE40" i="7"/>
  <c r="AE49" i="7"/>
  <c r="AE373" i="7"/>
  <c r="AE41" i="7"/>
  <c r="AE50" i="7"/>
  <c r="AE309" i="7"/>
  <c r="AE310" i="7"/>
  <c r="AE311" i="7"/>
  <c r="AE330" i="7"/>
  <c r="AE331" i="7"/>
  <c r="AE332" i="7"/>
  <c r="AE351" i="7"/>
  <c r="AE352" i="7"/>
  <c r="AE353" i="7"/>
  <c r="AE51" i="7"/>
  <c r="AE770" i="7"/>
  <c r="AE774" i="7"/>
  <c r="AE775" i="7"/>
  <c r="AE776" i="7"/>
  <c r="AE34" i="7"/>
  <c r="AE36" i="7"/>
  <c r="AE37" i="7"/>
  <c r="AE38" i="7"/>
  <c r="AF24" i="7"/>
  <c r="AF46" i="7"/>
  <c r="C41" i="9"/>
  <c r="AF39" i="7"/>
  <c r="AF48" i="7"/>
  <c r="AF343" i="7"/>
  <c r="AF40" i="7"/>
  <c r="AF49" i="7"/>
  <c r="AF373" i="7"/>
  <c r="AF41" i="7"/>
  <c r="AF50" i="7"/>
  <c r="AF309" i="7"/>
  <c r="AF310" i="7"/>
  <c r="AF311" i="7"/>
  <c r="AF330" i="7"/>
  <c r="AF331" i="7"/>
  <c r="AF332" i="7"/>
  <c r="AF351" i="7"/>
  <c r="AF352" i="7"/>
  <c r="AF353" i="7"/>
  <c r="AF51" i="7"/>
  <c r="AF770" i="7"/>
  <c r="AF774" i="7"/>
  <c r="AF775" i="7"/>
  <c r="AF776" i="7"/>
  <c r="AF34" i="7"/>
  <c r="AF36" i="7"/>
  <c r="AF37" i="7"/>
  <c r="AF38" i="7"/>
  <c r="AG24" i="7"/>
  <c r="AG46" i="7"/>
  <c r="C42" i="9"/>
  <c r="AG39" i="7"/>
  <c r="AG48" i="7"/>
  <c r="AG343" i="7"/>
  <c r="AG40" i="7"/>
  <c r="AG49" i="7"/>
  <c r="AG373" i="7"/>
  <c r="AG41" i="7"/>
  <c r="AG50" i="7"/>
  <c r="AG309" i="7"/>
  <c r="AG310" i="7"/>
  <c r="AG311" i="7"/>
  <c r="AG330" i="7"/>
  <c r="AG331" i="7"/>
  <c r="AG332" i="7"/>
  <c r="AG351" i="7"/>
  <c r="AG352" i="7"/>
  <c r="AG353" i="7"/>
  <c r="AG51" i="7"/>
  <c r="AG770" i="7"/>
  <c r="AG774" i="7"/>
  <c r="AG775" i="7"/>
  <c r="AG776" i="7"/>
  <c r="AG34" i="7"/>
  <c r="AG36" i="7"/>
  <c r="AG37" i="7"/>
  <c r="AG38" i="7"/>
  <c r="AH24" i="7"/>
  <c r="AH46" i="7"/>
  <c r="C43" i="9"/>
  <c r="AH39" i="7"/>
  <c r="AH48" i="7"/>
  <c r="AH343" i="7"/>
  <c r="AH40" i="7"/>
  <c r="AH49" i="7"/>
  <c r="AH373" i="7"/>
  <c r="AH41" i="7"/>
  <c r="AH50" i="7"/>
  <c r="AH309" i="7"/>
  <c r="AH310" i="7"/>
  <c r="AH311" i="7"/>
  <c r="AH330" i="7"/>
  <c r="AH331" i="7"/>
  <c r="AH332" i="7"/>
  <c r="AH351" i="7"/>
  <c r="AH352" i="7"/>
  <c r="AH353" i="7"/>
  <c r="AH51" i="7"/>
  <c r="AH770" i="7"/>
  <c r="AH774" i="7"/>
  <c r="AH775" i="7"/>
  <c r="AH776" i="7"/>
  <c r="AH34" i="7"/>
  <c r="AH36" i="7"/>
  <c r="AH37" i="7"/>
  <c r="AH38" i="7"/>
  <c r="AI24" i="7"/>
  <c r="AI46" i="7"/>
  <c r="C44" i="9"/>
  <c r="AI39" i="7"/>
  <c r="AI48" i="7"/>
  <c r="AI343" i="7"/>
  <c r="AI40" i="7"/>
  <c r="AI49" i="7"/>
  <c r="AI373" i="7"/>
  <c r="AI41" i="7"/>
  <c r="AI50" i="7"/>
  <c r="AI309" i="7"/>
  <c r="AI310" i="7"/>
  <c r="AI311" i="7"/>
  <c r="AI330" i="7"/>
  <c r="AI331" i="7"/>
  <c r="AI332" i="7"/>
  <c r="AI351" i="7"/>
  <c r="AI352" i="7"/>
  <c r="AI353" i="7"/>
  <c r="AI51" i="7"/>
  <c r="AI770" i="7"/>
  <c r="AI774" i="7"/>
  <c r="AI775" i="7"/>
  <c r="AI776" i="7"/>
  <c r="AI34" i="7"/>
  <c r="AI36" i="7"/>
  <c r="AI37" i="7"/>
  <c r="AI38" i="7"/>
  <c r="AJ24" i="7"/>
  <c r="AJ46" i="7"/>
  <c r="C45" i="9"/>
  <c r="AJ39" i="7"/>
  <c r="AJ48" i="7"/>
  <c r="AJ343" i="7"/>
  <c r="AJ40" i="7"/>
  <c r="AJ49" i="7"/>
  <c r="AJ373" i="7"/>
  <c r="AJ41" i="7"/>
  <c r="AJ50" i="7"/>
  <c r="AJ309" i="7"/>
  <c r="AJ310" i="7"/>
  <c r="AJ311" i="7"/>
  <c r="AJ330" i="7"/>
  <c r="AJ331" i="7"/>
  <c r="AJ332" i="7"/>
  <c r="AJ351" i="7"/>
  <c r="AJ352" i="7"/>
  <c r="AJ353" i="7"/>
  <c r="AJ51" i="7"/>
  <c r="AJ770" i="7"/>
  <c r="AJ774" i="7"/>
  <c r="AJ775" i="7"/>
  <c r="AJ776" i="7"/>
  <c r="AJ34" i="7"/>
  <c r="AJ36" i="7"/>
  <c r="AJ37" i="7"/>
  <c r="AJ38" i="7"/>
  <c r="AK24" i="7"/>
  <c r="AK46" i="7"/>
  <c r="C46" i="9"/>
  <c r="AK39" i="7"/>
  <c r="AK48" i="7"/>
  <c r="AK343" i="7"/>
  <c r="AK40" i="7"/>
  <c r="AK49" i="7"/>
  <c r="AK373" i="7"/>
  <c r="AK41" i="7"/>
  <c r="AK50" i="7"/>
  <c r="AK309" i="7"/>
  <c r="AK310" i="7"/>
  <c r="AK311" i="7"/>
  <c r="AK330" i="7"/>
  <c r="AK331" i="7"/>
  <c r="AK332" i="7"/>
  <c r="AK351" i="7"/>
  <c r="AK352" i="7"/>
  <c r="AK353" i="7"/>
  <c r="AK51" i="7"/>
  <c r="AK770" i="7"/>
  <c r="AK774" i="7"/>
  <c r="AK775" i="7"/>
  <c r="AK776" i="7"/>
  <c r="AK34" i="7"/>
  <c r="AK36" i="7"/>
  <c r="AK37" i="7"/>
  <c r="AK38" i="7"/>
  <c r="AL24" i="7"/>
  <c r="AL46" i="7"/>
  <c r="C47" i="9"/>
  <c r="AL39" i="7"/>
  <c r="AL48" i="7"/>
  <c r="AL343" i="7"/>
  <c r="AL40" i="7"/>
  <c r="AL49" i="7"/>
  <c r="AL373" i="7"/>
  <c r="AL41" i="7"/>
  <c r="AL50" i="7"/>
  <c r="AL309" i="7"/>
  <c r="AL310" i="7"/>
  <c r="AL311" i="7"/>
  <c r="AL330" i="7"/>
  <c r="AL331" i="7"/>
  <c r="AL332" i="7"/>
  <c r="AL351" i="7"/>
  <c r="AL352" i="7"/>
  <c r="AL353" i="7"/>
  <c r="AL51" i="7"/>
  <c r="AL770" i="7"/>
  <c r="AL774" i="7"/>
  <c r="AL775" i="7"/>
  <c r="AL776" i="7"/>
  <c r="AL34" i="7"/>
  <c r="AL36" i="7"/>
  <c r="AL37" i="7"/>
  <c r="AL38" i="7"/>
  <c r="AM24" i="7"/>
  <c r="AM46" i="7"/>
  <c r="C48" i="9"/>
  <c r="AM39" i="7"/>
  <c r="AM48" i="7"/>
  <c r="AM343" i="7"/>
  <c r="AM40" i="7"/>
  <c r="AM49" i="7"/>
  <c r="AM373" i="7"/>
  <c r="AM41" i="7"/>
  <c r="AM50" i="7"/>
  <c r="AM309" i="7"/>
  <c r="AM310" i="7"/>
  <c r="AM311" i="7"/>
  <c r="AM330" i="7"/>
  <c r="AM331" i="7"/>
  <c r="AM332" i="7"/>
  <c r="AM351" i="7"/>
  <c r="AM352" i="7"/>
  <c r="AM353" i="7"/>
  <c r="AM51" i="7"/>
  <c r="AM770" i="7"/>
  <c r="AM774" i="7"/>
  <c r="AM775" i="7"/>
  <c r="AM776" i="7"/>
  <c r="AM34" i="7"/>
  <c r="AM36" i="7"/>
  <c r="AM37" i="7"/>
  <c r="AM38" i="7"/>
  <c r="AN24" i="7"/>
  <c r="AN46" i="7"/>
  <c r="C49" i="9"/>
  <c r="AN39" i="7"/>
  <c r="AN48" i="7"/>
  <c r="AN343" i="7"/>
  <c r="AN40" i="7"/>
  <c r="AN49" i="7"/>
  <c r="AN373" i="7"/>
  <c r="AN41" i="7"/>
  <c r="AN50" i="7"/>
  <c r="AN309" i="7"/>
  <c r="AN310" i="7"/>
  <c r="AN311" i="7"/>
  <c r="AN330" i="7"/>
  <c r="AN331" i="7"/>
  <c r="AN332" i="7"/>
  <c r="AN351" i="7"/>
  <c r="AN352" i="7"/>
  <c r="AN353" i="7"/>
  <c r="AN51" i="7"/>
  <c r="AN770" i="7"/>
  <c r="AN774" i="7"/>
  <c r="AN775" i="7"/>
  <c r="AN776" i="7"/>
  <c r="AN34" i="7"/>
  <c r="AN36" i="7"/>
  <c r="AN37" i="7"/>
  <c r="AN38" i="7"/>
  <c r="AO24" i="7"/>
  <c r="AO46" i="7"/>
  <c r="C50" i="9"/>
  <c r="AO39" i="7"/>
  <c r="AO48" i="7"/>
  <c r="AO343" i="7"/>
  <c r="AO40" i="7"/>
  <c r="AO49" i="7"/>
  <c r="AO373" i="7"/>
  <c r="AO41" i="7"/>
  <c r="AO50" i="7"/>
  <c r="AO309" i="7"/>
  <c r="AO310" i="7"/>
  <c r="AO311" i="7"/>
  <c r="AO330" i="7"/>
  <c r="AO331" i="7"/>
  <c r="AO332" i="7"/>
  <c r="AO351" i="7"/>
  <c r="AO352" i="7"/>
  <c r="AO353" i="7"/>
  <c r="AO51" i="7"/>
  <c r="AO770" i="7"/>
  <c r="AO774" i="7"/>
  <c r="AO775" i="7"/>
  <c r="AO776" i="7"/>
  <c r="AO34" i="7"/>
  <c r="AO36" i="7"/>
  <c r="AO37" i="7"/>
  <c r="AO38" i="7"/>
  <c r="AP24" i="7"/>
  <c r="AP46" i="7"/>
  <c r="C51" i="9"/>
  <c r="AP39" i="7"/>
  <c r="AP48" i="7"/>
  <c r="AP343" i="7"/>
  <c r="AP40" i="7"/>
  <c r="AP49" i="7"/>
  <c r="AP373" i="7"/>
  <c r="AP41" i="7"/>
  <c r="AP50" i="7"/>
  <c r="AP309" i="7"/>
  <c r="AP310" i="7"/>
  <c r="AP311" i="7"/>
  <c r="AP330" i="7"/>
  <c r="AP331" i="7"/>
  <c r="AP332" i="7"/>
  <c r="AP351" i="7"/>
  <c r="AP352" i="7"/>
  <c r="AP353" i="7"/>
  <c r="AP51" i="7"/>
  <c r="AP770" i="7"/>
  <c r="AP774" i="7"/>
  <c r="AP775" i="7"/>
  <c r="AP776" i="7"/>
  <c r="AP34" i="7"/>
  <c r="AP36" i="7"/>
  <c r="AP37" i="7"/>
  <c r="AP38" i="7"/>
  <c r="AQ24" i="7"/>
  <c r="AQ46" i="7"/>
  <c r="C52" i="9"/>
  <c r="AQ39" i="7"/>
  <c r="AQ48" i="7"/>
  <c r="AQ343" i="7"/>
  <c r="AQ40" i="7"/>
  <c r="AQ49" i="7"/>
  <c r="AQ373" i="7"/>
  <c r="AQ41" i="7"/>
  <c r="AQ50" i="7"/>
  <c r="AQ309" i="7"/>
  <c r="AQ310" i="7"/>
  <c r="AQ311" i="7"/>
  <c r="AQ330" i="7"/>
  <c r="AQ331" i="7"/>
  <c r="AQ332" i="7"/>
  <c r="AQ351" i="7"/>
  <c r="AQ352" i="7"/>
  <c r="AQ353" i="7"/>
  <c r="AQ51" i="7"/>
  <c r="AQ770" i="7"/>
  <c r="AQ774" i="7"/>
  <c r="AQ775" i="7"/>
  <c r="AQ776" i="7"/>
  <c r="AQ34" i="7"/>
  <c r="AQ36" i="7"/>
  <c r="AQ37" i="7"/>
  <c r="AQ38" i="7"/>
  <c r="AR24" i="7"/>
  <c r="AR46" i="7"/>
  <c r="C53" i="9"/>
  <c r="AR39" i="7"/>
  <c r="AR48" i="7"/>
  <c r="AR343" i="7"/>
  <c r="AR40" i="7"/>
  <c r="AR49" i="7"/>
  <c r="AR373" i="7"/>
  <c r="AR41" i="7"/>
  <c r="AR50" i="7"/>
  <c r="AR309" i="7"/>
  <c r="AR310" i="7"/>
  <c r="AR311" i="7"/>
  <c r="AR330" i="7"/>
  <c r="AR331" i="7"/>
  <c r="AR332" i="7"/>
  <c r="AR351" i="7"/>
  <c r="AR352" i="7"/>
  <c r="AR353" i="7"/>
  <c r="AR51" i="7"/>
  <c r="AR770" i="7"/>
  <c r="AR774" i="7"/>
  <c r="AR775" i="7"/>
  <c r="AR776" i="7"/>
  <c r="AR34" i="7"/>
  <c r="AR36" i="7"/>
  <c r="AR37" i="7"/>
  <c r="AR38" i="7"/>
  <c r="AS24" i="7"/>
  <c r="AS46" i="7"/>
  <c r="C54" i="9"/>
  <c r="AS39" i="7"/>
  <c r="AS48" i="7"/>
  <c r="AS343" i="7"/>
  <c r="AS40" i="7"/>
  <c r="AS49" i="7"/>
  <c r="AS373" i="7"/>
  <c r="AS41" i="7"/>
  <c r="AS50" i="7"/>
  <c r="AS309" i="7"/>
  <c r="AS310" i="7"/>
  <c r="AS311" i="7"/>
  <c r="AS330" i="7"/>
  <c r="AS331" i="7"/>
  <c r="AS332" i="7"/>
  <c r="AS351" i="7"/>
  <c r="AS352" i="7"/>
  <c r="AS353" i="7"/>
  <c r="AS51" i="7"/>
  <c r="AS770" i="7"/>
  <c r="AS774" i="7"/>
  <c r="AS775" i="7"/>
  <c r="AS776" i="7"/>
  <c r="AS34" i="7"/>
  <c r="AS36" i="7"/>
  <c r="AS37" i="7"/>
  <c r="AS38" i="7"/>
  <c r="AT24" i="7"/>
  <c r="AT46" i="7"/>
  <c r="C55" i="9"/>
  <c r="AT39" i="7"/>
  <c r="AT48" i="7"/>
  <c r="AT343" i="7"/>
  <c r="AT40" i="7"/>
  <c r="AT49" i="7"/>
  <c r="AT373" i="7"/>
  <c r="AT41" i="7"/>
  <c r="AT50" i="7"/>
  <c r="AT309" i="7"/>
  <c r="AT310" i="7"/>
  <c r="AT311" i="7"/>
  <c r="AT330" i="7"/>
  <c r="AT331" i="7"/>
  <c r="AT332" i="7"/>
  <c r="AT351" i="7"/>
  <c r="AT352" i="7"/>
  <c r="AT353" i="7"/>
  <c r="AT51" i="7"/>
  <c r="AT770" i="7"/>
  <c r="AT774" i="7"/>
  <c r="AT775" i="7"/>
  <c r="AT776" i="7"/>
  <c r="AT34" i="7"/>
  <c r="AT36" i="7"/>
  <c r="AT37" i="7"/>
  <c r="AT38" i="7"/>
  <c r="AU24" i="7"/>
  <c r="AU46" i="7"/>
  <c r="C56" i="9"/>
  <c r="AU39" i="7"/>
  <c r="AU48" i="7"/>
  <c r="AU343" i="7"/>
  <c r="AU40" i="7"/>
  <c r="AU49" i="7"/>
  <c r="AU373" i="7"/>
  <c r="AU41" i="7"/>
  <c r="AU50" i="7"/>
  <c r="AU309" i="7"/>
  <c r="AU310" i="7"/>
  <c r="AU311" i="7"/>
  <c r="AU330" i="7"/>
  <c r="AU331" i="7"/>
  <c r="AU332" i="7"/>
  <c r="AU351" i="7"/>
  <c r="AU352" i="7"/>
  <c r="AU353" i="7"/>
  <c r="AU51" i="7"/>
  <c r="AU770" i="7"/>
  <c r="AU774" i="7"/>
  <c r="AU775" i="7"/>
  <c r="AU776" i="7"/>
  <c r="AU34" i="7"/>
  <c r="AU36" i="7"/>
  <c r="AU37" i="7"/>
  <c r="AU38" i="7"/>
  <c r="AV24" i="7"/>
  <c r="AV46" i="7"/>
  <c r="C57" i="9"/>
  <c r="AV39" i="7"/>
  <c r="AV48" i="7"/>
  <c r="AV343" i="7"/>
  <c r="AV40" i="7"/>
  <c r="AV49" i="7"/>
  <c r="AV373" i="7"/>
  <c r="AV41" i="7"/>
  <c r="AV50" i="7"/>
  <c r="AV309" i="7"/>
  <c r="AV310" i="7"/>
  <c r="AV311" i="7"/>
  <c r="AV330" i="7"/>
  <c r="AV331" i="7"/>
  <c r="AV332" i="7"/>
  <c r="AV351" i="7"/>
  <c r="AV352" i="7"/>
  <c r="AV353" i="7"/>
  <c r="AV51" i="7"/>
  <c r="AV770" i="7"/>
  <c r="AV774" i="7"/>
  <c r="AV775" i="7"/>
  <c r="AV776" i="7"/>
  <c r="AV34" i="7"/>
  <c r="AV36" i="7"/>
  <c r="AV37" i="7"/>
  <c r="AV38" i="7"/>
  <c r="AW24" i="7"/>
  <c r="AW46" i="7"/>
  <c r="C58" i="9"/>
  <c r="AW39" i="7"/>
  <c r="AW48" i="7"/>
  <c r="AW343" i="7"/>
  <c r="AW40" i="7"/>
  <c r="AW49" i="7"/>
  <c r="AW373" i="7"/>
  <c r="AW41" i="7"/>
  <c r="AW50" i="7"/>
  <c r="AW309" i="7"/>
  <c r="AW310" i="7"/>
  <c r="AW311" i="7"/>
  <c r="AW330" i="7"/>
  <c r="AW331" i="7"/>
  <c r="AW332" i="7"/>
  <c r="AW351" i="7"/>
  <c r="AW352" i="7"/>
  <c r="AW353" i="7"/>
  <c r="AW51" i="7"/>
  <c r="AW770" i="7"/>
  <c r="AW774" i="7"/>
  <c r="AW775" i="7"/>
  <c r="AW776" i="7"/>
  <c r="AW34" i="7"/>
  <c r="AW36" i="7"/>
  <c r="AW37" i="7"/>
  <c r="AW38" i="7"/>
  <c r="AX24" i="7"/>
  <c r="AX46" i="7"/>
  <c r="C59" i="9"/>
  <c r="AX39" i="7"/>
  <c r="AX48" i="7"/>
  <c r="AX343" i="7"/>
  <c r="AX40" i="7"/>
  <c r="AX49" i="7"/>
  <c r="AX373" i="7"/>
  <c r="AX41" i="7"/>
  <c r="AX50" i="7"/>
  <c r="AX309" i="7"/>
  <c r="AX310" i="7"/>
  <c r="AX311" i="7"/>
  <c r="AX330" i="7"/>
  <c r="AX331" i="7"/>
  <c r="AX332" i="7"/>
  <c r="AX351" i="7"/>
  <c r="AX352" i="7"/>
  <c r="AX353" i="7"/>
  <c r="AX51" i="7"/>
  <c r="AX770" i="7"/>
  <c r="AX774" i="7"/>
  <c r="AX775" i="7"/>
  <c r="AX776" i="7"/>
  <c r="AX34" i="7"/>
  <c r="AX36" i="7"/>
  <c r="AX37" i="7"/>
  <c r="AX38" i="7"/>
  <c r="AY24" i="7"/>
  <c r="AY46" i="7"/>
  <c r="C60" i="9"/>
  <c r="AY39" i="7"/>
  <c r="AY48" i="7"/>
  <c r="AY343" i="7"/>
  <c r="AY40" i="7"/>
  <c r="AY49" i="7"/>
  <c r="AY373" i="7"/>
  <c r="AY41" i="7"/>
  <c r="AY50" i="7"/>
  <c r="AY309" i="7"/>
  <c r="AY310" i="7"/>
  <c r="AY311" i="7"/>
  <c r="AY330" i="7"/>
  <c r="AY331" i="7"/>
  <c r="AY332" i="7"/>
  <c r="AY351" i="7"/>
  <c r="AY352" i="7"/>
  <c r="AY353" i="7"/>
  <c r="AY51" i="7"/>
  <c r="AY770" i="7"/>
  <c r="AY774" i="7"/>
  <c r="AY775" i="7"/>
  <c r="AY776" i="7"/>
  <c r="AY34" i="7"/>
  <c r="AY36" i="7"/>
  <c r="AY37" i="7"/>
  <c r="AY38" i="7"/>
  <c r="AZ24" i="7"/>
  <c r="AZ46" i="7"/>
  <c r="C61" i="9"/>
  <c r="AZ39" i="7"/>
  <c r="AZ48" i="7"/>
  <c r="AZ343" i="7"/>
  <c r="AZ40" i="7"/>
  <c r="AZ49" i="7"/>
  <c r="AZ373" i="7"/>
  <c r="AZ41" i="7"/>
  <c r="AZ50" i="7"/>
  <c r="AZ309" i="7"/>
  <c r="AZ310" i="7"/>
  <c r="AZ311" i="7"/>
  <c r="AZ330" i="7"/>
  <c r="AZ331" i="7"/>
  <c r="AZ332" i="7"/>
  <c r="AZ351" i="7"/>
  <c r="AZ352" i="7"/>
  <c r="AZ353" i="7"/>
  <c r="AZ51" i="7"/>
  <c r="AZ770" i="7"/>
  <c r="AZ774" i="7"/>
  <c r="AZ775" i="7"/>
  <c r="AZ776" i="7"/>
  <c r="AZ34" i="7"/>
  <c r="AZ36" i="7"/>
  <c r="AZ37" i="7"/>
  <c r="AZ38" i="7"/>
  <c r="BA24" i="7"/>
  <c r="BA46" i="7"/>
  <c r="C62" i="9"/>
  <c r="BA39" i="7"/>
  <c r="BA48" i="7"/>
  <c r="BA343" i="7"/>
  <c r="BA40" i="7"/>
  <c r="BA49" i="7"/>
  <c r="BA373" i="7"/>
  <c r="BA41" i="7"/>
  <c r="BA50" i="7"/>
  <c r="BA309" i="7"/>
  <c r="BA310" i="7"/>
  <c r="BA311" i="7"/>
  <c r="BA330" i="7"/>
  <c r="BA331" i="7"/>
  <c r="BA332" i="7"/>
  <c r="BA351" i="7"/>
  <c r="BA352" i="7"/>
  <c r="BA353" i="7"/>
  <c r="BA51" i="7"/>
  <c r="BA770" i="7"/>
  <c r="BA774" i="7"/>
  <c r="BA775" i="7"/>
  <c r="BA776" i="7"/>
  <c r="BA34" i="7"/>
  <c r="BA36" i="7"/>
  <c r="BA37" i="7"/>
  <c r="BA38" i="7"/>
  <c r="BB24" i="7"/>
  <c r="BB46" i="7"/>
  <c r="C63" i="9"/>
  <c r="BB39" i="7"/>
  <c r="BB48" i="7"/>
  <c r="BB343" i="7"/>
  <c r="BB40" i="7"/>
  <c r="BB49" i="7"/>
  <c r="BB373" i="7"/>
  <c r="BB41" i="7"/>
  <c r="BB50" i="7"/>
  <c r="BB309" i="7"/>
  <c r="BB310" i="7"/>
  <c r="BB311" i="7"/>
  <c r="BB330" i="7"/>
  <c r="BB331" i="7"/>
  <c r="BB332" i="7"/>
  <c r="BB351" i="7"/>
  <c r="BB352" i="7"/>
  <c r="BB353" i="7"/>
  <c r="BB51" i="7"/>
  <c r="BB770" i="7"/>
  <c r="BB774" i="7"/>
  <c r="BB775" i="7"/>
  <c r="BB776" i="7"/>
  <c r="BB34" i="7"/>
  <c r="BB36" i="7"/>
  <c r="BB37" i="7"/>
  <c r="BB38" i="7"/>
  <c r="BC24" i="7"/>
  <c r="BC46" i="7"/>
  <c r="C64" i="9"/>
  <c r="BC39" i="7"/>
  <c r="BC48" i="7"/>
  <c r="BC343" i="7"/>
  <c r="BC40" i="7"/>
  <c r="BC49" i="7"/>
  <c r="BC373" i="7"/>
  <c r="BC41" i="7"/>
  <c r="BC50" i="7"/>
  <c r="BC309" i="7"/>
  <c r="BC310" i="7"/>
  <c r="BC311" i="7"/>
  <c r="BC330" i="7"/>
  <c r="BC331" i="7"/>
  <c r="BC332" i="7"/>
  <c r="BC351" i="7"/>
  <c r="BC352" i="7"/>
  <c r="BC353" i="7"/>
  <c r="BC51" i="7"/>
  <c r="BC770" i="7"/>
  <c r="BC774" i="7"/>
  <c r="BC775" i="7"/>
  <c r="BC776" i="7"/>
  <c r="BC34" i="7"/>
  <c r="BC36" i="7"/>
  <c r="BC37" i="7"/>
  <c r="BC38" i="7"/>
  <c r="BD24" i="7"/>
  <c r="BD46" i="7"/>
  <c r="C65" i="9"/>
  <c r="BD39" i="7"/>
  <c r="BD48" i="7"/>
  <c r="BD343" i="7"/>
  <c r="BD40" i="7"/>
  <c r="BD49" i="7"/>
  <c r="BD373" i="7"/>
  <c r="BD41" i="7"/>
  <c r="BD50" i="7"/>
  <c r="BD309" i="7"/>
  <c r="BD310" i="7"/>
  <c r="BD311" i="7"/>
  <c r="BD330" i="7"/>
  <c r="BD331" i="7"/>
  <c r="BD332" i="7"/>
  <c r="BD351" i="7"/>
  <c r="BD352" i="7"/>
  <c r="BD353" i="7"/>
  <c r="BD51" i="7"/>
  <c r="BD770" i="7"/>
  <c r="BD774" i="7"/>
  <c r="BD775" i="7"/>
  <c r="BD776" i="7"/>
  <c r="BD34" i="7"/>
  <c r="BD36" i="7"/>
  <c r="BD37" i="7"/>
  <c r="BD38" i="7"/>
  <c r="BE24" i="7"/>
  <c r="BE46" i="7"/>
  <c r="C66" i="9"/>
  <c r="BE39" i="7"/>
  <c r="BE48" i="7"/>
  <c r="BE343" i="7"/>
  <c r="BE40" i="7"/>
  <c r="BE49" i="7"/>
  <c r="BE373" i="7"/>
  <c r="BE41" i="7"/>
  <c r="BE50" i="7"/>
  <c r="BE309" i="7"/>
  <c r="BE310" i="7"/>
  <c r="BE311" i="7"/>
  <c r="BE330" i="7"/>
  <c r="BE331" i="7"/>
  <c r="BE332" i="7"/>
  <c r="BE351" i="7"/>
  <c r="BE352" i="7"/>
  <c r="BE353" i="7"/>
  <c r="BE51" i="7"/>
  <c r="BE770" i="7"/>
  <c r="BE774" i="7"/>
  <c r="BE775" i="7"/>
  <c r="BE776" i="7"/>
  <c r="BE34" i="7"/>
  <c r="BE36" i="7"/>
  <c r="BE37" i="7"/>
  <c r="BE38" i="7"/>
  <c r="G53" i="7"/>
  <c r="L15" i="1"/>
  <c r="G101" i="7"/>
  <c r="H66" i="7"/>
  <c r="I66" i="7"/>
  <c r="J66" i="7"/>
  <c r="K66" i="7"/>
  <c r="L66" i="7"/>
  <c r="M66" i="7"/>
  <c r="N66" i="7"/>
  <c r="O66" i="7"/>
  <c r="P66" i="7"/>
  <c r="Q66" i="7"/>
  <c r="R66" i="7"/>
  <c r="S66" i="7"/>
  <c r="T66" i="7"/>
  <c r="U66" i="7"/>
  <c r="V66" i="7"/>
  <c r="W66" i="7"/>
  <c r="X66" i="7"/>
  <c r="Y66" i="7"/>
  <c r="Z66" i="7"/>
  <c r="AA66" i="7"/>
  <c r="AB66" i="7"/>
  <c r="AC66" i="7"/>
  <c r="AD66" i="7"/>
  <c r="AE66" i="7"/>
  <c r="AF66" i="7"/>
  <c r="AG66" i="7"/>
  <c r="AH66" i="7"/>
  <c r="AI66" i="7"/>
  <c r="AJ66" i="7"/>
  <c r="AK66" i="7"/>
  <c r="AL66" i="7"/>
  <c r="AM66" i="7"/>
  <c r="AN66" i="7"/>
  <c r="AO66" i="7"/>
  <c r="AP66" i="7"/>
  <c r="AQ66" i="7"/>
  <c r="AR66" i="7"/>
  <c r="AS66" i="7"/>
  <c r="AT66" i="7"/>
  <c r="AU66" i="7"/>
  <c r="AV66" i="7"/>
  <c r="AW66" i="7"/>
  <c r="AX66" i="7"/>
  <c r="AY66" i="7"/>
  <c r="AZ66" i="7"/>
  <c r="BA66" i="7"/>
  <c r="BB66" i="7"/>
  <c r="BC66" i="7"/>
  <c r="BD66" i="7"/>
  <c r="BE66" i="7"/>
  <c r="G103" i="7"/>
  <c r="M15" i="1"/>
  <c r="G149" i="7"/>
  <c r="H114" i="7"/>
  <c r="I114" i="7"/>
  <c r="J114" i="7"/>
  <c r="K114" i="7"/>
  <c r="L114" i="7"/>
  <c r="M114" i="7"/>
  <c r="N114" i="7"/>
  <c r="O114" i="7"/>
  <c r="P114" i="7"/>
  <c r="Q114" i="7"/>
  <c r="R114" i="7"/>
  <c r="S114" i="7"/>
  <c r="T114" i="7"/>
  <c r="U114" i="7"/>
  <c r="V114" i="7"/>
  <c r="W114" i="7"/>
  <c r="X114" i="7"/>
  <c r="Y114" i="7"/>
  <c r="Z114" i="7"/>
  <c r="AA114" i="7"/>
  <c r="AB114" i="7"/>
  <c r="AC114" i="7"/>
  <c r="AD114" i="7"/>
  <c r="AE114" i="7"/>
  <c r="AF114" i="7"/>
  <c r="AG114" i="7"/>
  <c r="AH114" i="7"/>
  <c r="AI114" i="7"/>
  <c r="AJ114" i="7"/>
  <c r="AK114" i="7"/>
  <c r="AL114" i="7"/>
  <c r="AM114" i="7"/>
  <c r="AN114" i="7"/>
  <c r="AO114" i="7"/>
  <c r="AP114" i="7"/>
  <c r="AQ114" i="7"/>
  <c r="AR114" i="7"/>
  <c r="AS114" i="7"/>
  <c r="AT114" i="7"/>
  <c r="AU114" i="7"/>
  <c r="AV114" i="7"/>
  <c r="AW114" i="7"/>
  <c r="AX114" i="7"/>
  <c r="AY114" i="7"/>
  <c r="AZ114" i="7"/>
  <c r="BA114" i="7"/>
  <c r="BB114" i="7"/>
  <c r="BC114" i="7"/>
  <c r="BD114" i="7"/>
  <c r="BE114" i="7"/>
  <c r="G151" i="7"/>
  <c r="N15" i="1"/>
  <c r="G195" i="7"/>
  <c r="H160" i="7"/>
  <c r="I160" i="7"/>
  <c r="J160" i="7"/>
  <c r="K160" i="7"/>
  <c r="L160" i="7"/>
  <c r="M160" i="7"/>
  <c r="N160" i="7"/>
  <c r="O160" i="7"/>
  <c r="P160" i="7"/>
  <c r="Q160" i="7"/>
  <c r="R160" i="7"/>
  <c r="S160" i="7"/>
  <c r="T160" i="7"/>
  <c r="U160" i="7"/>
  <c r="V160" i="7"/>
  <c r="W160" i="7"/>
  <c r="X160" i="7"/>
  <c r="Y160" i="7"/>
  <c r="Z160" i="7"/>
  <c r="AA160" i="7"/>
  <c r="AB160" i="7"/>
  <c r="AC160" i="7"/>
  <c r="AD160" i="7"/>
  <c r="AE160" i="7"/>
  <c r="AF160" i="7"/>
  <c r="AG160" i="7"/>
  <c r="AH160" i="7"/>
  <c r="AI160" i="7"/>
  <c r="AJ160" i="7"/>
  <c r="AK160" i="7"/>
  <c r="AL160" i="7"/>
  <c r="AM160" i="7"/>
  <c r="AN160" i="7"/>
  <c r="AO160" i="7"/>
  <c r="AP160" i="7"/>
  <c r="AQ160" i="7"/>
  <c r="AR160" i="7"/>
  <c r="AS160" i="7"/>
  <c r="AT160" i="7"/>
  <c r="AU160" i="7"/>
  <c r="AV160" i="7"/>
  <c r="AW160" i="7"/>
  <c r="AX160" i="7"/>
  <c r="AY160" i="7"/>
  <c r="AZ160" i="7"/>
  <c r="BA160" i="7"/>
  <c r="BB160" i="7"/>
  <c r="BC160" i="7"/>
  <c r="BD160" i="7"/>
  <c r="BE160" i="7"/>
  <c r="G197" i="7"/>
  <c r="O15" i="1"/>
  <c r="G243" i="7"/>
  <c r="H208" i="7"/>
  <c r="I208" i="7"/>
  <c r="J208" i="7"/>
  <c r="K208" i="7"/>
  <c r="L208" i="7"/>
  <c r="M208" i="7"/>
  <c r="N208" i="7"/>
  <c r="O208" i="7"/>
  <c r="P208" i="7"/>
  <c r="Q208" i="7"/>
  <c r="R208" i="7"/>
  <c r="S208" i="7"/>
  <c r="T208" i="7"/>
  <c r="U208" i="7"/>
  <c r="V208" i="7"/>
  <c r="W208" i="7"/>
  <c r="X208" i="7"/>
  <c r="Y208" i="7"/>
  <c r="Z208" i="7"/>
  <c r="AA208" i="7"/>
  <c r="AB208" i="7"/>
  <c r="AC208" i="7"/>
  <c r="AD208" i="7"/>
  <c r="AE208" i="7"/>
  <c r="AF208" i="7"/>
  <c r="AG208" i="7"/>
  <c r="AH208" i="7"/>
  <c r="AI208" i="7"/>
  <c r="AJ208" i="7"/>
  <c r="AK208" i="7"/>
  <c r="AL208" i="7"/>
  <c r="AM208" i="7"/>
  <c r="AN208" i="7"/>
  <c r="AO208" i="7"/>
  <c r="AP208" i="7"/>
  <c r="AQ208" i="7"/>
  <c r="AR208" i="7"/>
  <c r="AS208" i="7"/>
  <c r="AT208" i="7"/>
  <c r="AU208" i="7"/>
  <c r="AV208" i="7"/>
  <c r="AW208" i="7"/>
  <c r="AX208" i="7"/>
  <c r="AY208" i="7"/>
  <c r="AZ208" i="7"/>
  <c r="BA208" i="7"/>
  <c r="BB208" i="7"/>
  <c r="BC208" i="7"/>
  <c r="BD208" i="7"/>
  <c r="BE208" i="7"/>
  <c r="G245" i="7"/>
  <c r="P15" i="1"/>
  <c r="G289" i="7"/>
  <c r="H254" i="7"/>
  <c r="I254" i="7"/>
  <c r="J254" i="7"/>
  <c r="K254" i="7"/>
  <c r="L254" i="7"/>
  <c r="M254" i="7"/>
  <c r="N254" i="7"/>
  <c r="O254" i="7"/>
  <c r="P254" i="7"/>
  <c r="Q254" i="7"/>
  <c r="R254" i="7"/>
  <c r="S254" i="7"/>
  <c r="T254" i="7"/>
  <c r="U254" i="7"/>
  <c r="V254" i="7"/>
  <c r="W254" i="7"/>
  <c r="X254" i="7"/>
  <c r="Y254" i="7"/>
  <c r="Z254" i="7"/>
  <c r="AA254" i="7"/>
  <c r="AB254" i="7"/>
  <c r="AC254" i="7"/>
  <c r="AD254" i="7"/>
  <c r="AE254" i="7"/>
  <c r="AF254" i="7"/>
  <c r="AG254" i="7"/>
  <c r="AH254" i="7"/>
  <c r="AI254" i="7"/>
  <c r="AJ254" i="7"/>
  <c r="AK254" i="7"/>
  <c r="AL254" i="7"/>
  <c r="AM254" i="7"/>
  <c r="AN254" i="7"/>
  <c r="AO254" i="7"/>
  <c r="AP254" i="7"/>
  <c r="AQ254" i="7"/>
  <c r="AR254" i="7"/>
  <c r="AS254" i="7"/>
  <c r="AT254" i="7"/>
  <c r="AU254" i="7"/>
  <c r="AV254" i="7"/>
  <c r="AW254" i="7"/>
  <c r="AX254" i="7"/>
  <c r="AY254" i="7"/>
  <c r="AZ254" i="7"/>
  <c r="BA254" i="7"/>
  <c r="BB254" i="7"/>
  <c r="BC254" i="7"/>
  <c r="BD254" i="7"/>
  <c r="BE254" i="7"/>
  <c r="G291" i="7"/>
  <c r="Q15" i="1"/>
  <c r="L25" i="1"/>
  <c r="U215" i="8"/>
  <c r="L27" i="1"/>
  <c r="L28" i="1"/>
  <c r="L34" i="1"/>
  <c r="L30" i="1"/>
  <c r="N157" i="1"/>
  <c r="S226" i="8"/>
  <c r="H24" i="4"/>
  <c r="H38" i="4"/>
  <c r="S32" i="8"/>
  <c r="G223" i="4"/>
  <c r="S184" i="8"/>
  <c r="G224" i="4"/>
  <c r="F264" i="4"/>
  <c r="G244" i="4"/>
  <c r="F363" i="4"/>
  <c r="D357" i="4"/>
  <c r="H359" i="4"/>
  <c r="F364" i="4"/>
  <c r="I24" i="4"/>
  <c r="I38" i="4"/>
  <c r="I31" i="4"/>
  <c r="I39" i="4"/>
  <c r="I359" i="4"/>
  <c r="J24" i="4"/>
  <c r="J38" i="4"/>
  <c r="J31" i="4"/>
  <c r="J39" i="4"/>
  <c r="J359" i="4"/>
  <c r="K24" i="4"/>
  <c r="K38" i="4"/>
  <c r="K31" i="4"/>
  <c r="K39" i="4"/>
  <c r="K359" i="4"/>
  <c r="L24" i="4"/>
  <c r="L38" i="4"/>
  <c r="L31" i="4"/>
  <c r="L39" i="4"/>
  <c r="L359" i="4"/>
  <c r="M24" i="4"/>
  <c r="M38" i="4"/>
  <c r="M31" i="4"/>
  <c r="M39" i="4"/>
  <c r="M359" i="4"/>
  <c r="N24" i="4"/>
  <c r="N38" i="4"/>
  <c r="N31" i="4"/>
  <c r="N39" i="4"/>
  <c r="N359" i="4"/>
  <c r="O24" i="4"/>
  <c r="O38" i="4"/>
  <c r="O31" i="4"/>
  <c r="O39" i="4"/>
  <c r="O359" i="4"/>
  <c r="P24" i="4"/>
  <c r="P38" i="4"/>
  <c r="P31" i="4"/>
  <c r="P39" i="4"/>
  <c r="P359" i="4"/>
  <c r="Q24" i="4"/>
  <c r="Q38" i="4"/>
  <c r="Q31" i="4"/>
  <c r="Q39" i="4"/>
  <c r="Q359" i="4"/>
  <c r="R24" i="4"/>
  <c r="R38" i="4"/>
  <c r="R31" i="4"/>
  <c r="R39" i="4"/>
  <c r="R359" i="4"/>
  <c r="S24" i="4"/>
  <c r="S38" i="4"/>
  <c r="S31" i="4"/>
  <c r="S39" i="4"/>
  <c r="S359" i="4"/>
  <c r="T24" i="4"/>
  <c r="T38" i="4"/>
  <c r="T31" i="4"/>
  <c r="T39" i="4"/>
  <c r="T359" i="4"/>
  <c r="U24" i="4"/>
  <c r="U38" i="4"/>
  <c r="U31" i="4"/>
  <c r="U39" i="4"/>
  <c r="U359" i="4"/>
  <c r="V24" i="4"/>
  <c r="V38" i="4"/>
  <c r="V31" i="4"/>
  <c r="V39" i="4"/>
  <c r="V359" i="4"/>
  <c r="W24" i="4"/>
  <c r="W38" i="4"/>
  <c r="W31" i="4"/>
  <c r="W39" i="4"/>
  <c r="W359" i="4"/>
  <c r="X24" i="4"/>
  <c r="X38" i="4"/>
  <c r="X31" i="4"/>
  <c r="X39" i="4"/>
  <c r="X359" i="4"/>
  <c r="Y24" i="4"/>
  <c r="Y38" i="4"/>
  <c r="Y31" i="4"/>
  <c r="Y39" i="4"/>
  <c r="Y359" i="4"/>
  <c r="Z24" i="4"/>
  <c r="Z38" i="4"/>
  <c r="Z31" i="4"/>
  <c r="Z39" i="4"/>
  <c r="Z359" i="4"/>
  <c r="AA24" i="4"/>
  <c r="AA38" i="4"/>
  <c r="AA31" i="4"/>
  <c r="AA39" i="4"/>
  <c r="AA359" i="4"/>
  <c r="H18" i="4"/>
  <c r="H20" i="4"/>
  <c r="I20" i="4"/>
  <c r="J20" i="4"/>
  <c r="K20" i="4"/>
  <c r="L20" i="4"/>
  <c r="M20" i="4"/>
  <c r="N20" i="4"/>
  <c r="O20" i="4"/>
  <c r="P20" i="4"/>
  <c r="Q20" i="4"/>
  <c r="R20" i="4"/>
  <c r="S20" i="4"/>
  <c r="T20" i="4"/>
  <c r="U20" i="4"/>
  <c r="V20" i="4"/>
  <c r="W20" i="4"/>
  <c r="X20" i="4"/>
  <c r="Y20" i="4"/>
  <c r="Z20" i="4"/>
  <c r="AA20" i="4"/>
  <c r="H38" i="17"/>
  <c r="G201" i="17"/>
  <c r="H217" i="17"/>
  <c r="G220" i="17"/>
  <c r="H238" i="17"/>
  <c r="G243" i="17"/>
  <c r="H259" i="17"/>
  <c r="H31" i="17"/>
  <c r="H39" i="17"/>
  <c r="G223" i="17"/>
  <c r="H239" i="17"/>
  <c r="G224" i="17"/>
  <c r="H240" i="17"/>
  <c r="H32" i="17"/>
  <c r="H40" i="17"/>
  <c r="F264" i="17"/>
  <c r="H206" i="17"/>
  <c r="H207" i="17"/>
  <c r="H208" i="17"/>
  <c r="H227" i="17"/>
  <c r="H228" i="17"/>
  <c r="H229" i="17"/>
  <c r="G244" i="17"/>
  <c r="F363" i="17"/>
  <c r="G363" i="17"/>
  <c r="D357" i="17"/>
  <c r="H359" i="17"/>
  <c r="H363" i="17"/>
  <c r="F364" i="17"/>
  <c r="G364" i="17"/>
  <c r="H364" i="17"/>
  <c r="H365" i="17"/>
  <c r="H26" i="17"/>
  <c r="H28" i="17"/>
  <c r="H29" i="17"/>
  <c r="I38" i="17"/>
  <c r="I31" i="17"/>
  <c r="I39" i="17"/>
  <c r="I240" i="17"/>
  <c r="I32" i="17"/>
  <c r="I40" i="17"/>
  <c r="I206" i="17"/>
  <c r="I207" i="17"/>
  <c r="I208" i="17"/>
  <c r="I227" i="17"/>
  <c r="I228" i="17"/>
  <c r="I229" i="17"/>
  <c r="I359" i="17"/>
  <c r="I363" i="17"/>
  <c r="I364" i="17"/>
  <c r="I365" i="17"/>
  <c r="I26" i="17"/>
  <c r="I28" i="17"/>
  <c r="I29" i="17"/>
  <c r="J38" i="17"/>
  <c r="J31" i="17"/>
  <c r="J39" i="17"/>
  <c r="J240" i="17"/>
  <c r="J32" i="17"/>
  <c r="J40" i="17"/>
  <c r="J206" i="17"/>
  <c r="J207" i="17"/>
  <c r="J208" i="17"/>
  <c r="J227" i="17"/>
  <c r="J228" i="17"/>
  <c r="J229" i="17"/>
  <c r="J359" i="17"/>
  <c r="J363" i="17"/>
  <c r="J364" i="17"/>
  <c r="J365" i="17"/>
  <c r="J26" i="17"/>
  <c r="J28" i="17"/>
  <c r="J29" i="17"/>
  <c r="K38" i="17"/>
  <c r="K31" i="17"/>
  <c r="K39" i="17"/>
  <c r="K240" i="17"/>
  <c r="K32" i="17"/>
  <c r="K40" i="17"/>
  <c r="K206" i="17"/>
  <c r="K207" i="17"/>
  <c r="K208" i="17"/>
  <c r="K227" i="17"/>
  <c r="K228" i="17"/>
  <c r="K229" i="17"/>
  <c r="K359" i="17"/>
  <c r="K363" i="17"/>
  <c r="K364" i="17"/>
  <c r="K365" i="17"/>
  <c r="K26" i="17"/>
  <c r="K28" i="17"/>
  <c r="K29" i="17"/>
  <c r="L38" i="17"/>
  <c r="L31" i="17"/>
  <c r="L39" i="17"/>
  <c r="L240" i="17"/>
  <c r="L32" i="17"/>
  <c r="L40" i="17"/>
  <c r="L206" i="17"/>
  <c r="L207" i="17"/>
  <c r="L208" i="17"/>
  <c r="L227" i="17"/>
  <c r="L228" i="17"/>
  <c r="L229" i="17"/>
  <c r="L359" i="17"/>
  <c r="L363" i="17"/>
  <c r="L364" i="17"/>
  <c r="L365" i="17"/>
  <c r="L26" i="17"/>
  <c r="L28" i="17"/>
  <c r="L29" i="17"/>
  <c r="M38" i="17"/>
  <c r="M31" i="17"/>
  <c r="M39" i="17"/>
  <c r="M240" i="17"/>
  <c r="M32" i="17"/>
  <c r="M40" i="17"/>
  <c r="M206" i="17"/>
  <c r="M207" i="17"/>
  <c r="M208" i="17"/>
  <c r="M227" i="17"/>
  <c r="M228" i="17"/>
  <c r="M229" i="17"/>
  <c r="M359" i="17"/>
  <c r="M363" i="17"/>
  <c r="M364" i="17"/>
  <c r="M365" i="17"/>
  <c r="M26" i="17"/>
  <c r="M28" i="17"/>
  <c r="M29" i="17"/>
  <c r="N38" i="17"/>
  <c r="N31" i="17"/>
  <c r="N39" i="17"/>
  <c r="N240" i="17"/>
  <c r="N32" i="17"/>
  <c r="N40" i="17"/>
  <c r="N206" i="17"/>
  <c r="N207" i="17"/>
  <c r="N208" i="17"/>
  <c r="N227" i="17"/>
  <c r="N228" i="17"/>
  <c r="N229" i="17"/>
  <c r="N359" i="17"/>
  <c r="N363" i="17"/>
  <c r="N364" i="17"/>
  <c r="N365" i="17"/>
  <c r="N26" i="17"/>
  <c r="N28" i="17"/>
  <c r="N29" i="17"/>
  <c r="O38" i="17"/>
  <c r="O31" i="17"/>
  <c r="O39" i="17"/>
  <c r="O240" i="17"/>
  <c r="O32" i="17"/>
  <c r="O40" i="17"/>
  <c r="O206" i="17"/>
  <c r="O207" i="17"/>
  <c r="O208" i="17"/>
  <c r="O227" i="17"/>
  <c r="O228" i="17"/>
  <c r="O229" i="17"/>
  <c r="O359" i="17"/>
  <c r="O363" i="17"/>
  <c r="O364" i="17"/>
  <c r="O365" i="17"/>
  <c r="O26" i="17"/>
  <c r="O28" i="17"/>
  <c r="O29" i="17"/>
  <c r="P38" i="17"/>
  <c r="P31" i="17"/>
  <c r="P39" i="17"/>
  <c r="P240" i="17"/>
  <c r="P32" i="17"/>
  <c r="P40" i="17"/>
  <c r="P206" i="17"/>
  <c r="P207" i="17"/>
  <c r="P208" i="17"/>
  <c r="P227" i="17"/>
  <c r="P228" i="17"/>
  <c r="P229" i="17"/>
  <c r="P359" i="17"/>
  <c r="P363" i="17"/>
  <c r="P364" i="17"/>
  <c r="P365" i="17"/>
  <c r="P26" i="17"/>
  <c r="P28" i="17"/>
  <c r="P29" i="17"/>
  <c r="Q38" i="17"/>
  <c r="Q31" i="17"/>
  <c r="Q39" i="17"/>
  <c r="Q240" i="17"/>
  <c r="Q32" i="17"/>
  <c r="Q40" i="17"/>
  <c r="Q206" i="17"/>
  <c r="Q207" i="17"/>
  <c r="Q208" i="17"/>
  <c r="Q227" i="17"/>
  <c r="Q228" i="17"/>
  <c r="Q229" i="17"/>
  <c r="Q359" i="17"/>
  <c r="Q363" i="17"/>
  <c r="Q364" i="17"/>
  <c r="Q365" i="17"/>
  <c r="Q26" i="17"/>
  <c r="Q28" i="17"/>
  <c r="Q29" i="17"/>
  <c r="R38" i="17"/>
  <c r="R31" i="17"/>
  <c r="R39" i="17"/>
  <c r="R240" i="17"/>
  <c r="R32" i="17"/>
  <c r="R40" i="17"/>
  <c r="R206" i="17"/>
  <c r="R207" i="17"/>
  <c r="R208" i="17"/>
  <c r="R227" i="17"/>
  <c r="R228" i="17"/>
  <c r="R229" i="17"/>
  <c r="R359" i="17"/>
  <c r="R363" i="17"/>
  <c r="R364" i="17"/>
  <c r="R365" i="17"/>
  <c r="R26" i="17"/>
  <c r="R28" i="17"/>
  <c r="R29" i="17"/>
  <c r="S38" i="17"/>
  <c r="S31" i="17"/>
  <c r="S39" i="17"/>
  <c r="S240" i="17"/>
  <c r="S32" i="17"/>
  <c r="S40" i="17"/>
  <c r="S206" i="17"/>
  <c r="S207" i="17"/>
  <c r="S208" i="17"/>
  <c r="S227" i="17"/>
  <c r="S228" i="17"/>
  <c r="S229" i="17"/>
  <c r="S359" i="17"/>
  <c r="S363" i="17"/>
  <c r="S364" i="17"/>
  <c r="S365" i="17"/>
  <c r="S26" i="17"/>
  <c r="S28" i="17"/>
  <c r="S29" i="17"/>
  <c r="T38" i="17"/>
  <c r="T31" i="17"/>
  <c r="T39" i="17"/>
  <c r="T240" i="17"/>
  <c r="T32" i="17"/>
  <c r="T40" i="17"/>
  <c r="T206" i="17"/>
  <c r="T207" i="17"/>
  <c r="T208" i="17"/>
  <c r="T227" i="17"/>
  <c r="T228" i="17"/>
  <c r="T229" i="17"/>
  <c r="T359" i="17"/>
  <c r="T363" i="17"/>
  <c r="T364" i="17"/>
  <c r="T365" i="17"/>
  <c r="T26" i="17"/>
  <c r="T28" i="17"/>
  <c r="T29" i="17"/>
  <c r="U38" i="17"/>
  <c r="U31" i="17"/>
  <c r="U39" i="17"/>
  <c r="U240" i="17"/>
  <c r="U32" i="17"/>
  <c r="U40" i="17"/>
  <c r="U206" i="17"/>
  <c r="U207" i="17"/>
  <c r="U208" i="17"/>
  <c r="U227" i="17"/>
  <c r="U228" i="17"/>
  <c r="U229" i="17"/>
  <c r="U359" i="17"/>
  <c r="U363" i="17"/>
  <c r="U364" i="17"/>
  <c r="U365" i="17"/>
  <c r="U26" i="17"/>
  <c r="U28" i="17"/>
  <c r="U29" i="17"/>
  <c r="V38" i="17"/>
  <c r="V31" i="17"/>
  <c r="V39" i="17"/>
  <c r="V240" i="17"/>
  <c r="V32" i="17"/>
  <c r="V40" i="17"/>
  <c r="V206" i="17"/>
  <c r="V207" i="17"/>
  <c r="V208" i="17"/>
  <c r="V227" i="17"/>
  <c r="V228" i="17"/>
  <c r="V229" i="17"/>
  <c r="V359" i="17"/>
  <c r="V363" i="17"/>
  <c r="V364" i="17"/>
  <c r="V365" i="17"/>
  <c r="V26" i="17"/>
  <c r="V28" i="17"/>
  <c r="V29" i="17"/>
  <c r="W38" i="17"/>
  <c r="W31" i="17"/>
  <c r="W39" i="17"/>
  <c r="W240" i="17"/>
  <c r="W32" i="17"/>
  <c r="W40" i="17"/>
  <c r="W206" i="17"/>
  <c r="W207" i="17"/>
  <c r="W208" i="17"/>
  <c r="W227" i="17"/>
  <c r="W228" i="17"/>
  <c r="W229" i="17"/>
  <c r="W359" i="17"/>
  <c r="W363" i="17"/>
  <c r="W364" i="17"/>
  <c r="W365" i="17"/>
  <c r="W26" i="17"/>
  <c r="W28" i="17"/>
  <c r="W29" i="17"/>
  <c r="X38" i="17"/>
  <c r="X31" i="17"/>
  <c r="X39" i="17"/>
  <c r="X240" i="17"/>
  <c r="X32" i="17"/>
  <c r="X40" i="17"/>
  <c r="X206" i="17"/>
  <c r="X207" i="17"/>
  <c r="X208" i="17"/>
  <c r="X227" i="17"/>
  <c r="X228" i="17"/>
  <c r="X229" i="17"/>
  <c r="X359" i="17"/>
  <c r="X363" i="17"/>
  <c r="X364" i="17"/>
  <c r="X365" i="17"/>
  <c r="X26" i="17"/>
  <c r="X28" i="17"/>
  <c r="X29" i="17"/>
  <c r="Y38" i="17"/>
  <c r="Y31" i="17"/>
  <c r="Y39" i="17"/>
  <c r="Y240" i="17"/>
  <c r="Y32" i="17"/>
  <c r="Y40" i="17"/>
  <c r="Y206" i="17"/>
  <c r="Y207" i="17"/>
  <c r="Y208" i="17"/>
  <c r="Y227" i="17"/>
  <c r="Y228" i="17"/>
  <c r="Y229" i="17"/>
  <c r="Y359" i="17"/>
  <c r="Y363" i="17"/>
  <c r="Y364" i="17"/>
  <c r="Y365" i="17"/>
  <c r="Y26" i="17"/>
  <c r="Y28" i="17"/>
  <c r="Y29" i="17"/>
  <c r="Z38" i="17"/>
  <c r="Z31" i="17"/>
  <c r="Z39" i="17"/>
  <c r="Z240" i="17"/>
  <c r="Z32" i="17"/>
  <c r="Z40" i="17"/>
  <c r="Z206" i="17"/>
  <c r="Z207" i="17"/>
  <c r="Z208" i="17"/>
  <c r="Z227" i="17"/>
  <c r="Z228" i="17"/>
  <c r="Z229" i="17"/>
  <c r="Z359" i="17"/>
  <c r="Z363" i="17"/>
  <c r="Z364" i="17"/>
  <c r="Z365" i="17"/>
  <c r="Z26" i="17"/>
  <c r="Z28" i="17"/>
  <c r="Z29" i="17"/>
  <c r="AA38" i="17"/>
  <c r="AA31" i="17"/>
  <c r="AA39" i="17"/>
  <c r="AA240" i="17"/>
  <c r="AA32" i="17"/>
  <c r="AA40" i="17"/>
  <c r="AA206" i="17"/>
  <c r="AA207" i="17"/>
  <c r="AA208" i="17"/>
  <c r="AA227" i="17"/>
  <c r="AA228" i="17"/>
  <c r="AA229" i="17"/>
  <c r="AA359" i="17"/>
  <c r="AA363" i="17"/>
  <c r="AA364" i="17"/>
  <c r="AA365" i="17"/>
  <c r="AA26" i="17"/>
  <c r="AA28" i="17"/>
  <c r="AA29" i="17"/>
  <c r="G44" i="17"/>
  <c r="H18" i="17"/>
  <c r="H20" i="17"/>
  <c r="I20" i="17"/>
  <c r="J20" i="17"/>
  <c r="K20" i="17"/>
  <c r="L20" i="17"/>
  <c r="M20" i="17"/>
  <c r="N20" i="17"/>
  <c r="O20" i="17"/>
  <c r="P20" i="17"/>
  <c r="Q20" i="17"/>
  <c r="R20" i="17"/>
  <c r="S20" i="17"/>
  <c r="T20" i="17"/>
  <c r="U20" i="17"/>
  <c r="V20" i="17"/>
  <c r="W20" i="17"/>
  <c r="X20" i="17"/>
  <c r="Y20" i="17"/>
  <c r="Z20" i="17"/>
  <c r="AA20" i="17"/>
  <c r="U258" i="8"/>
  <c r="U259" i="8"/>
  <c r="U260" i="8"/>
  <c r="G176" i="17"/>
  <c r="G175" i="17"/>
  <c r="G86" i="17"/>
  <c r="G85" i="17"/>
  <c r="N85" i="1"/>
  <c r="L85" i="1"/>
  <c r="K86" i="19"/>
  <c r="K85" i="19"/>
  <c r="K69" i="19"/>
  <c r="K74" i="19"/>
  <c r="K90" i="19"/>
  <c r="K63" i="19"/>
  <c r="K73" i="19"/>
  <c r="K89" i="19"/>
  <c r="I10" i="19"/>
  <c r="I29" i="19"/>
  <c r="O92" i="18"/>
  <c r="O91" i="18"/>
  <c r="P92" i="18"/>
  <c r="G368" i="7"/>
  <c r="L120" i="1"/>
  <c r="L115" i="1"/>
  <c r="L114" i="1"/>
  <c r="L63" i="16"/>
  <c r="L61" i="16"/>
  <c r="L59" i="16"/>
  <c r="L109" i="1"/>
  <c r="L108" i="1"/>
  <c r="L107" i="1"/>
  <c r="L106" i="1"/>
  <c r="L105" i="1"/>
  <c r="L104" i="1"/>
  <c r="L103" i="1"/>
  <c r="L110" i="1"/>
  <c r="I14" i="19"/>
  <c r="I15" i="19"/>
  <c r="G288" i="17"/>
  <c r="G290" i="17"/>
  <c r="H287" i="17"/>
  <c r="H213" i="17"/>
  <c r="H72" i="17"/>
  <c r="M213" i="17"/>
  <c r="O77" i="17"/>
  <c r="O72" i="17"/>
  <c r="S213" i="17"/>
  <c r="S74" i="17"/>
  <c r="S255" i="17"/>
  <c r="T72" i="17"/>
  <c r="U213" i="17"/>
  <c r="U74" i="17"/>
  <c r="V74" i="17"/>
  <c r="V255" i="17"/>
  <c r="W255" i="17"/>
  <c r="X255" i="17"/>
  <c r="Y74" i="17"/>
  <c r="Z255" i="17"/>
  <c r="AA74" i="17"/>
  <c r="AA255" i="17"/>
  <c r="M58" i="17"/>
  <c r="Y58" i="17"/>
  <c r="L64" i="16"/>
  <c r="L58" i="16"/>
  <c r="J59" i="16"/>
  <c r="J60" i="16"/>
  <c r="J61" i="16"/>
  <c r="J62" i="16"/>
  <c r="J63" i="16"/>
  <c r="J64" i="16"/>
  <c r="N87" i="1"/>
  <c r="L52" i="16"/>
  <c r="L73" i="16"/>
  <c r="L70" i="16"/>
  <c r="L69" i="16"/>
  <c r="J69" i="16"/>
  <c r="J70" i="16"/>
  <c r="J73" i="16"/>
  <c r="J74" i="16"/>
  <c r="J68" i="16"/>
  <c r="F72" i="16"/>
  <c r="F71" i="16"/>
  <c r="D115" i="1"/>
  <c r="E69" i="16"/>
  <c r="D116" i="1"/>
  <c r="E70" i="16"/>
  <c r="D119" i="1"/>
  <c r="E73" i="16"/>
  <c r="D120" i="1"/>
  <c r="E74" i="16"/>
  <c r="D114" i="1"/>
  <c r="E68" i="16"/>
  <c r="D109" i="1"/>
  <c r="E64" i="16"/>
  <c r="D104" i="1"/>
  <c r="E59" i="16"/>
  <c r="D105" i="1"/>
  <c r="E60" i="16"/>
  <c r="D106" i="1"/>
  <c r="E61" i="16"/>
  <c r="D107" i="1"/>
  <c r="E62" i="16"/>
  <c r="D108" i="1"/>
  <c r="E63" i="16"/>
  <c r="D103" i="1"/>
  <c r="E58" i="16"/>
  <c r="N93" i="1"/>
  <c r="L50" i="16"/>
  <c r="L45" i="16"/>
  <c r="L33" i="1"/>
  <c r="V38" i="8"/>
  <c r="N48" i="1"/>
  <c r="S37" i="8"/>
  <c r="L47" i="1"/>
  <c r="J31" i="16"/>
  <c r="S38" i="8"/>
  <c r="L48" i="1"/>
  <c r="L49" i="1"/>
  <c r="J33" i="16"/>
  <c r="L44" i="1"/>
  <c r="J40" i="16"/>
  <c r="N54" i="1"/>
  <c r="L36" i="16"/>
  <c r="V43" i="8"/>
  <c r="N55" i="1"/>
  <c r="L37" i="16"/>
  <c r="N56" i="1"/>
  <c r="L38" i="16"/>
  <c r="L56" i="1"/>
  <c r="J38" i="16"/>
  <c r="S43" i="8"/>
  <c r="L55" i="1"/>
  <c r="J37" i="16"/>
  <c r="S42" i="8"/>
  <c r="L54" i="1"/>
  <c r="J36" i="16"/>
  <c r="L32" i="16"/>
  <c r="J32" i="16"/>
  <c r="N42" i="1"/>
  <c r="L28" i="16"/>
  <c r="L42" i="1"/>
  <c r="J28" i="16"/>
  <c r="J15" i="16"/>
  <c r="J20" i="16"/>
  <c r="J19" i="16"/>
  <c r="J16" i="16"/>
  <c r="J9" i="16"/>
  <c r="C39" i="18"/>
  <c r="C38" i="18"/>
  <c r="C419" i="18"/>
  <c r="C37" i="18"/>
  <c r="C566" i="18"/>
  <c r="C36" i="18"/>
  <c r="C501" i="18"/>
  <c r="C35" i="18"/>
  <c r="C564" i="18"/>
  <c r="C34" i="18"/>
  <c r="C415" i="18"/>
  <c r="C33" i="18"/>
  <c r="C562" i="18"/>
  <c r="C32" i="18"/>
  <c r="C497" i="18"/>
  <c r="C31" i="18"/>
  <c r="C560" i="18"/>
  <c r="C417" i="18"/>
  <c r="X128" i="8"/>
  <c r="X82" i="8"/>
  <c r="X83" i="8"/>
  <c r="X130" i="8"/>
  <c r="X84" i="8"/>
  <c r="R33" i="18"/>
  <c r="X131" i="8"/>
  <c r="X85" i="8"/>
  <c r="X132" i="8"/>
  <c r="X86" i="8"/>
  <c r="R35" i="18"/>
  <c r="X133" i="8"/>
  <c r="X88" i="8"/>
  <c r="R37" i="18"/>
  <c r="X89" i="8"/>
  <c r="X90" i="8"/>
  <c r="R39" i="18"/>
  <c r="W128" i="8"/>
  <c r="W82" i="8"/>
  <c r="W83" i="8"/>
  <c r="W130" i="8"/>
  <c r="W84" i="8"/>
  <c r="W131" i="8"/>
  <c r="W85" i="8"/>
  <c r="Q34" i="18"/>
  <c r="W132" i="8"/>
  <c r="W86" i="8"/>
  <c r="W133" i="8"/>
  <c r="W87" i="8"/>
  <c r="Q36" i="18"/>
  <c r="W88" i="8"/>
  <c r="W89" i="8"/>
  <c r="Q38" i="18"/>
  <c r="W90" i="8"/>
  <c r="V82" i="8"/>
  <c r="V83" i="8"/>
  <c r="V84" i="8"/>
  <c r="V85" i="8"/>
  <c r="V86" i="8"/>
  <c r="V87" i="8"/>
  <c r="V89" i="8"/>
  <c r="V90" i="8"/>
  <c r="O40" i="18"/>
  <c r="T73" i="8"/>
  <c r="T75" i="8"/>
  <c r="T91" i="8"/>
  <c r="N40" i="18"/>
  <c r="S73" i="8"/>
  <c r="S75" i="8"/>
  <c r="M25" i="18"/>
  <c r="R73" i="8"/>
  <c r="R75" i="8"/>
  <c r="L25" i="18"/>
  <c r="S39" i="18"/>
  <c r="Q39" i="18"/>
  <c r="P39" i="18"/>
  <c r="O39" i="18"/>
  <c r="N39" i="18"/>
  <c r="M39" i="18"/>
  <c r="L39" i="18"/>
  <c r="S38" i="18"/>
  <c r="R38" i="18"/>
  <c r="P38" i="18"/>
  <c r="O38" i="18"/>
  <c r="N38" i="18"/>
  <c r="M38" i="18"/>
  <c r="L38" i="18"/>
  <c r="S37" i="18"/>
  <c r="Q37" i="18"/>
  <c r="O37" i="18"/>
  <c r="N37" i="18"/>
  <c r="M37" i="18"/>
  <c r="L37" i="18"/>
  <c r="S36" i="18"/>
  <c r="P36" i="18"/>
  <c r="O36" i="18"/>
  <c r="N36" i="18"/>
  <c r="M36" i="18"/>
  <c r="L36" i="18"/>
  <c r="S35" i="18"/>
  <c r="Q35" i="18"/>
  <c r="P35" i="18"/>
  <c r="O35" i="18"/>
  <c r="N35" i="18"/>
  <c r="M35" i="18"/>
  <c r="L35" i="18"/>
  <c r="S34" i="18"/>
  <c r="R34" i="18"/>
  <c r="O34" i="18"/>
  <c r="N34" i="18"/>
  <c r="M34" i="18"/>
  <c r="L34" i="18"/>
  <c r="S33" i="18"/>
  <c r="Q33" i="18"/>
  <c r="P33" i="18"/>
  <c r="O33" i="18"/>
  <c r="N33" i="18"/>
  <c r="M33" i="18"/>
  <c r="L33" i="18"/>
  <c r="S32" i="18"/>
  <c r="R32" i="18"/>
  <c r="Q32" i="18"/>
  <c r="P32" i="18"/>
  <c r="O32" i="18"/>
  <c r="N32" i="18"/>
  <c r="M32" i="18"/>
  <c r="L32" i="18"/>
  <c r="S31" i="18"/>
  <c r="R31" i="18"/>
  <c r="P31" i="18"/>
  <c r="O31" i="18"/>
  <c r="N31" i="18"/>
  <c r="M31" i="18"/>
  <c r="L31" i="18"/>
  <c r="Y74" i="8"/>
  <c r="X73" i="8"/>
  <c r="W73" i="8"/>
  <c r="Q23" i="18"/>
  <c r="V74" i="8"/>
  <c r="O25" i="18"/>
  <c r="N25" i="18"/>
  <c r="S24" i="18"/>
  <c r="X74" i="8"/>
  <c r="R24" i="18"/>
  <c r="W74" i="8"/>
  <c r="Q24" i="18"/>
  <c r="P24" i="18"/>
  <c r="O24" i="18"/>
  <c r="N24" i="18"/>
  <c r="M24" i="18"/>
  <c r="L24" i="18"/>
  <c r="O23" i="18"/>
  <c r="N23" i="18"/>
  <c r="M23" i="18"/>
  <c r="L23" i="18"/>
  <c r="N133" i="1"/>
  <c r="L133" i="1"/>
  <c r="Y146" i="8"/>
  <c r="X146" i="8"/>
  <c r="W146" i="8"/>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C346" i="17"/>
  <c r="C345" i="17"/>
  <c r="F342" i="17"/>
  <c r="C342" i="17"/>
  <c r="F341" i="17"/>
  <c r="C341" i="17"/>
  <c r="C340" i="17"/>
  <c r="C316" i="17"/>
  <c r="C315" i="17"/>
  <c r="C314" i="17"/>
  <c r="Q166" i="17"/>
  <c r="G299" i="17"/>
  <c r="C270" i="17"/>
  <c r="C269" i="17"/>
  <c r="F266" i="17"/>
  <c r="C266" i="17"/>
  <c r="F265" i="17"/>
  <c r="C265" i="17"/>
  <c r="C264" i="17"/>
  <c r="C240" i="17"/>
  <c r="C239" i="17"/>
  <c r="C217" i="17"/>
  <c r="B167" i="17"/>
  <c r="B166" i="17"/>
  <c r="Y165" i="17"/>
  <c r="U165" i="17"/>
  <c r="S165" i="17"/>
  <c r="Q165" i="17"/>
  <c r="O165" i="17"/>
  <c r="M165" i="17"/>
  <c r="I165" i="17"/>
  <c r="B165" i="17"/>
  <c r="B164" i="17"/>
  <c r="B163" i="17"/>
  <c r="B162" i="17"/>
  <c r="Y154" i="17"/>
  <c r="U154" i="17"/>
  <c r="Q154" i="17"/>
  <c r="P154" i="17"/>
  <c r="O154" i="17"/>
  <c r="M154" i="17"/>
  <c r="I154" i="17"/>
  <c r="AA146" i="17"/>
  <c r="Z146" i="17"/>
  <c r="Y146" i="17"/>
  <c r="X146" i="17"/>
  <c r="W146" i="17"/>
  <c r="V146" i="17"/>
  <c r="U146" i="17"/>
  <c r="T146" i="17"/>
  <c r="S146" i="17"/>
  <c r="R146" i="17"/>
  <c r="Q146" i="17"/>
  <c r="P146" i="17"/>
  <c r="O146" i="17"/>
  <c r="N146" i="17"/>
  <c r="M146" i="17"/>
  <c r="L146" i="17"/>
  <c r="K146" i="17"/>
  <c r="J146" i="17"/>
  <c r="I146" i="17"/>
  <c r="H146" i="17"/>
  <c r="G146" i="17"/>
  <c r="B131" i="17"/>
  <c r="B130" i="17"/>
  <c r="B129" i="17"/>
  <c r="B128" i="17"/>
  <c r="Z165" i="17"/>
  <c r="V165" i="17"/>
  <c r="T165" i="17"/>
  <c r="R165" i="17"/>
  <c r="N165" i="17"/>
  <c r="J165" i="17"/>
  <c r="Z154" i="17"/>
  <c r="V154" i="17"/>
  <c r="R154" i="17"/>
  <c r="N154" i="17"/>
  <c r="J154" i="17"/>
  <c r="AA108" i="17"/>
  <c r="Z108" i="17"/>
  <c r="Y108" i="17"/>
  <c r="X108" i="17"/>
  <c r="W108" i="17"/>
  <c r="V108" i="17"/>
  <c r="U108" i="17"/>
  <c r="T108" i="17"/>
  <c r="S108" i="17"/>
  <c r="R108" i="17"/>
  <c r="Q108" i="17"/>
  <c r="P108" i="17"/>
  <c r="O108" i="17"/>
  <c r="N108" i="17"/>
  <c r="M108" i="17"/>
  <c r="L108" i="17"/>
  <c r="K108" i="17"/>
  <c r="J108" i="17"/>
  <c r="I108" i="17"/>
  <c r="P148" i="17"/>
  <c r="B77" i="17"/>
  <c r="B76" i="17"/>
  <c r="Z75" i="17"/>
  <c r="X75" i="17"/>
  <c r="T75" i="17"/>
  <c r="P75" i="17"/>
  <c r="N75" i="17"/>
  <c r="L75" i="17"/>
  <c r="J75" i="17"/>
  <c r="B75" i="17"/>
  <c r="B74" i="17"/>
  <c r="B73" i="17"/>
  <c r="B72" i="17"/>
  <c r="Z64" i="17"/>
  <c r="X64" i="17"/>
  <c r="V64" i="17"/>
  <c r="T64" i="17"/>
  <c r="P64" i="17"/>
  <c r="N64" i="17"/>
  <c r="L64" i="17"/>
  <c r="J64" i="17"/>
  <c r="H64" i="17"/>
  <c r="AA56" i="17"/>
  <c r="Z56" i="17"/>
  <c r="Y56" i="17"/>
  <c r="X56" i="17"/>
  <c r="W56" i="17"/>
  <c r="V56" i="17"/>
  <c r="U56" i="17"/>
  <c r="T56" i="17"/>
  <c r="S56" i="17"/>
  <c r="R56" i="17"/>
  <c r="Q56" i="17"/>
  <c r="P56" i="17"/>
  <c r="O56" i="17"/>
  <c r="N56" i="17"/>
  <c r="M56" i="17"/>
  <c r="L56" i="17"/>
  <c r="K56" i="17"/>
  <c r="J56" i="17"/>
  <c r="I56" i="17"/>
  <c r="H56" i="17"/>
  <c r="G56" i="17"/>
  <c r="B41" i="17"/>
  <c r="B40" i="17"/>
  <c r="B39" i="17"/>
  <c r="B38" i="17"/>
  <c r="Y75" i="17"/>
  <c r="W75" i="17"/>
  <c r="U75" i="17"/>
  <c r="Q75" i="17"/>
  <c r="I75" i="17"/>
  <c r="Y64" i="17"/>
  <c r="U64" i="17"/>
  <c r="R64" i="17"/>
  <c r="Q64" i="17"/>
  <c r="M64" i="17"/>
  <c r="I64" i="17"/>
  <c r="AA18" i="17"/>
  <c r="Z18" i="17"/>
  <c r="Y18" i="17"/>
  <c r="X18" i="17"/>
  <c r="W18" i="17"/>
  <c r="V18" i="17"/>
  <c r="U18" i="17"/>
  <c r="T18" i="17"/>
  <c r="S18" i="17"/>
  <c r="R18" i="17"/>
  <c r="Q18" i="17"/>
  <c r="P18" i="17"/>
  <c r="O18" i="17"/>
  <c r="N18" i="17"/>
  <c r="M18" i="17"/>
  <c r="L18" i="17"/>
  <c r="K18" i="17"/>
  <c r="J18" i="17"/>
  <c r="I18" i="17"/>
  <c r="X58" i="17"/>
  <c r="R271" i="17"/>
  <c r="Q271" i="17"/>
  <c r="W148" i="17"/>
  <c r="W58" i="17"/>
  <c r="AA148" i="17"/>
  <c r="J271" i="17"/>
  <c r="U166" i="17"/>
  <c r="J58" i="17"/>
  <c r="O58" i="17"/>
  <c r="U58" i="17"/>
  <c r="L148" i="17"/>
  <c r="I58" i="17"/>
  <c r="S58" i="17"/>
  <c r="R255" i="17"/>
  <c r="K58" i="17"/>
  <c r="Q58" i="17"/>
  <c r="AA58" i="17"/>
  <c r="S64" i="17"/>
  <c r="S75" i="17"/>
  <c r="L165" i="17"/>
  <c r="P165" i="17"/>
  <c r="O64" i="17"/>
  <c r="O75" i="17"/>
  <c r="S154" i="17"/>
  <c r="W154" i="17"/>
  <c r="X165" i="17"/>
  <c r="K64" i="17"/>
  <c r="AA64" i="17"/>
  <c r="K75" i="17"/>
  <c r="AA75" i="17"/>
  <c r="Y148" i="17"/>
  <c r="U148" i="17"/>
  <c r="Q148" i="17"/>
  <c r="M148" i="17"/>
  <c r="Z148" i="17"/>
  <c r="T148" i="17"/>
  <c r="O148" i="17"/>
  <c r="J148" i="17"/>
  <c r="X148" i="17"/>
  <c r="S148" i="17"/>
  <c r="N148" i="17"/>
  <c r="I148" i="17"/>
  <c r="R148" i="17"/>
  <c r="H154" i="17"/>
  <c r="L154" i="17"/>
  <c r="X154" i="17"/>
  <c r="K154" i="17"/>
  <c r="AA154" i="17"/>
  <c r="X271" i="17"/>
  <c r="W64" i="17"/>
  <c r="R75" i="17"/>
  <c r="K148" i="17"/>
  <c r="V148" i="17"/>
  <c r="K165" i="17"/>
  <c r="W165" i="17"/>
  <c r="AA165" i="17"/>
  <c r="T154" i="17"/>
  <c r="T255" i="17"/>
  <c r="U255" i="17"/>
  <c r="T58" i="17"/>
  <c r="Y169" i="8"/>
  <c r="U169" i="8"/>
  <c r="Y168" i="8"/>
  <c r="U168" i="8"/>
  <c r="Y167" i="8"/>
  <c r="U167" i="8"/>
  <c r="T147" i="8"/>
  <c r="S147" i="8"/>
  <c r="M145" i="8"/>
  <c r="M169" i="8"/>
  <c r="M141" i="8"/>
  <c r="M168" i="8"/>
  <c r="M140" i="8"/>
  <c r="M167" i="8"/>
  <c r="D120" i="8"/>
  <c r="D169" i="8"/>
  <c r="D114" i="8"/>
  <c r="D113" i="8"/>
  <c r="D167" i="8"/>
  <c r="M347" i="17"/>
  <c r="Z271" i="17"/>
  <c r="L271" i="17"/>
  <c r="O166" i="17"/>
  <c r="Q77" i="17"/>
  <c r="Y347" i="17"/>
  <c r="V271" i="17"/>
  <c r="N271" i="17"/>
  <c r="O271" i="17"/>
  <c r="U347" i="17"/>
  <c r="M167" i="17"/>
  <c r="Q347" i="17"/>
  <c r="H271" i="17"/>
  <c r="Y271" i="17"/>
  <c r="W271" i="17"/>
  <c r="I271" i="17"/>
  <c r="K271" i="17"/>
  <c r="AA271" i="17"/>
  <c r="Z74" i="17"/>
  <c r="R74" i="17"/>
  <c r="H148" i="17"/>
  <c r="O347" i="17"/>
  <c r="P271" i="17"/>
  <c r="T271" i="17"/>
  <c r="S271" i="17"/>
  <c r="J77" i="17"/>
  <c r="D140" i="8"/>
  <c r="M129" i="8"/>
  <c r="Z77" i="17"/>
  <c r="L77" i="17"/>
  <c r="Y167" i="17"/>
  <c r="P77" i="17"/>
  <c r="O167" i="17"/>
  <c r="W77" i="17"/>
  <c r="U167" i="17"/>
  <c r="T77" i="17"/>
  <c r="I77" i="17"/>
  <c r="Q167" i="17"/>
  <c r="V77" i="17"/>
  <c r="S77" i="17"/>
  <c r="K77" i="17"/>
  <c r="N77" i="17"/>
  <c r="D76" i="1"/>
  <c r="V29" i="8"/>
  <c r="S29" i="8"/>
  <c r="U15" i="6"/>
  <c r="T15" i="6"/>
  <c r="S47" i="8"/>
  <c r="S111" i="6"/>
  <c r="R111" i="6"/>
  <c r="Q111" i="6"/>
  <c r="P111" i="6"/>
  <c r="O111" i="6"/>
  <c r="N111" i="6"/>
  <c r="G733" i="7"/>
  <c r="G732" i="7"/>
  <c r="G711" i="7"/>
  <c r="G710" i="7"/>
  <c r="G709" i="7"/>
  <c r="G691" i="7"/>
  <c r="G690" i="7"/>
  <c r="G656" i="7"/>
  <c r="G655" i="7"/>
  <c r="G634" i="7"/>
  <c r="G633" i="7"/>
  <c r="G632" i="7"/>
  <c r="G614" i="7"/>
  <c r="G613" i="7"/>
  <c r="G578" i="7"/>
  <c r="G577" i="7"/>
  <c r="G556" i="7"/>
  <c r="G555" i="7"/>
  <c r="G554" i="7"/>
  <c r="G536" i="7"/>
  <c r="G535" i="7"/>
  <c r="G502" i="7"/>
  <c r="G501" i="7"/>
  <c r="G480" i="7"/>
  <c r="G479" i="7"/>
  <c r="G478" i="7"/>
  <c r="G459" i="7"/>
  <c r="BB464" i="7"/>
  <c r="G424" i="7"/>
  <c r="G423" i="7"/>
  <c r="G402" i="7"/>
  <c r="G401" i="7"/>
  <c r="G400" i="7"/>
  <c r="G382" i="7"/>
  <c r="G381" i="7"/>
  <c r="G325" i="7"/>
  <c r="G306" i="7"/>
  <c r="G460" i="7"/>
  <c r="R40" i="6"/>
  <c r="R39" i="6"/>
  <c r="P40" i="6"/>
  <c r="P39" i="6"/>
  <c r="N44" i="6"/>
  <c r="V232" i="8"/>
  <c r="S232" i="8"/>
  <c r="M187" i="8"/>
  <c r="D144" i="8"/>
  <c r="D143" i="8"/>
  <c r="D142" i="8"/>
  <c r="D134" i="8"/>
  <c r="D133" i="8"/>
  <c r="D132" i="8"/>
  <c r="D131" i="8"/>
  <c r="D130" i="8"/>
  <c r="D129" i="8"/>
  <c r="D128" i="8"/>
  <c r="D119" i="8"/>
  <c r="D187" i="8"/>
  <c r="Y139" i="8"/>
  <c r="X139" i="8"/>
  <c r="W139" i="8"/>
  <c r="V139" i="8"/>
  <c r="Y81" i="8"/>
  <c r="X81" i="8"/>
  <c r="W81" i="8"/>
  <c r="V81" i="8"/>
  <c r="Y127" i="8"/>
  <c r="X127" i="8"/>
  <c r="W127" i="8"/>
  <c r="V127" i="8"/>
  <c r="Y134" i="8"/>
  <c r="Y129" i="8"/>
  <c r="X134" i="8"/>
  <c r="X129" i="8"/>
  <c r="W134" i="8"/>
  <c r="W129" i="8"/>
  <c r="C239" i="4"/>
  <c r="S48" i="8"/>
  <c r="Z7" i="8"/>
  <c r="M179" i="8"/>
  <c r="M175" i="8"/>
  <c r="M160" i="8"/>
  <c r="M159" i="8"/>
  <c r="M158" i="8"/>
  <c r="M157" i="8"/>
  <c r="M156" i="8"/>
  <c r="M155" i="8"/>
  <c r="M154" i="8"/>
  <c r="M144" i="8"/>
  <c r="M143" i="8"/>
  <c r="M142" i="8"/>
  <c r="M134" i="8"/>
  <c r="M133" i="8"/>
  <c r="M132" i="8"/>
  <c r="M131" i="8"/>
  <c r="M130" i="8"/>
  <c r="M128" i="8"/>
  <c r="D107" i="8"/>
  <c r="D160" i="8"/>
  <c r="D117" i="8"/>
  <c r="D179" i="8"/>
  <c r="D67" i="6"/>
  <c r="S40" i="6"/>
  <c r="S39" i="6"/>
  <c r="Q40" i="6"/>
  <c r="Q39" i="6"/>
  <c r="O40" i="6"/>
  <c r="O39" i="6"/>
  <c r="N40" i="6"/>
  <c r="N39" i="6"/>
  <c r="O33" i="6"/>
  <c r="O32" i="6"/>
  <c r="O34" i="6"/>
  <c r="P32" i="6"/>
  <c r="Q32" i="6"/>
  <c r="R32" i="6"/>
  <c r="S32" i="6"/>
  <c r="P33" i="6"/>
  <c r="Q33" i="6"/>
  <c r="R33" i="6"/>
  <c r="S33" i="6"/>
  <c r="P34" i="6"/>
  <c r="S34" i="6"/>
  <c r="R34" i="6"/>
  <c r="Q34" i="6"/>
  <c r="V7" i="6"/>
  <c r="W64" i="4"/>
  <c r="S64" i="4"/>
  <c r="R64" i="4"/>
  <c r="P64" i="4"/>
  <c r="M64" i="4"/>
  <c r="I64" i="4"/>
  <c r="D115" i="8"/>
  <c r="D175" i="8"/>
  <c r="D106" i="8"/>
  <c r="D159" i="8"/>
  <c r="D105" i="8"/>
  <c r="D158" i="8"/>
  <c r="D104" i="8"/>
  <c r="D157" i="8"/>
  <c r="D103" i="8"/>
  <c r="D156" i="8"/>
  <c r="D102" i="8"/>
  <c r="D155" i="8"/>
  <c r="D101" i="8"/>
  <c r="D154" i="8"/>
  <c r="Y157" i="8"/>
  <c r="R161" i="8"/>
  <c r="U157" i="8"/>
  <c r="L14" i="1"/>
  <c r="M14" i="1"/>
  <c r="N14" i="1"/>
  <c r="O14" i="1"/>
  <c r="P14" i="1"/>
  <c r="Q14" i="1"/>
  <c r="C794" i="7"/>
  <c r="C780" i="7"/>
  <c r="C766" i="7"/>
  <c r="B686" i="7"/>
  <c r="B609" i="7"/>
  <c r="B531" i="7"/>
  <c r="B455" i="7"/>
  <c r="B377" i="7"/>
  <c r="B301" i="7"/>
  <c r="P17" i="9"/>
  <c r="M17" i="9"/>
  <c r="O17" i="9"/>
  <c r="N17" i="9"/>
  <c r="L17" i="9"/>
  <c r="K17" i="9"/>
  <c r="P18" i="9"/>
  <c r="L18" i="9"/>
  <c r="N18" i="9"/>
  <c r="M18" i="9"/>
  <c r="K18" i="9"/>
  <c r="I29" i="7"/>
  <c r="O18" i="9"/>
  <c r="Y160" i="8"/>
  <c r="Y159" i="8"/>
  <c r="Y158" i="8"/>
  <c r="Y156" i="8"/>
  <c r="Y155" i="8"/>
  <c r="Y154" i="8"/>
  <c r="C346" i="4"/>
  <c r="C345" i="4"/>
  <c r="C342" i="4"/>
  <c r="C341" i="4"/>
  <c r="C340" i="4"/>
  <c r="C314" i="4"/>
  <c r="C315" i="4"/>
  <c r="C316" i="4"/>
  <c r="G176" i="4"/>
  <c r="G175" i="4"/>
  <c r="V184" i="8"/>
  <c r="AA108" i="4"/>
  <c r="Z108" i="4"/>
  <c r="Y108" i="4"/>
  <c r="X108" i="4"/>
  <c r="W108" i="4"/>
  <c r="V108" i="4"/>
  <c r="U108" i="4"/>
  <c r="T108" i="4"/>
  <c r="S108" i="4"/>
  <c r="R108" i="4"/>
  <c r="Q108" i="4"/>
  <c r="P108" i="4"/>
  <c r="O108" i="4"/>
  <c r="N108" i="4"/>
  <c r="M108" i="4"/>
  <c r="L108" i="4"/>
  <c r="K108" i="4"/>
  <c r="J108" i="4"/>
  <c r="I108" i="4"/>
  <c r="BE273" i="7"/>
  <c r="BE282" i="7"/>
  <c r="BD273" i="7"/>
  <c r="BD282" i="7"/>
  <c r="BC273" i="7"/>
  <c r="BC282" i="7"/>
  <c r="BB273" i="7"/>
  <c r="BB282" i="7"/>
  <c r="BA273" i="7"/>
  <c r="BA282" i="7"/>
  <c r="AZ273" i="7"/>
  <c r="AZ282" i="7"/>
  <c r="AY273" i="7"/>
  <c r="AY282" i="7"/>
  <c r="AX273" i="7"/>
  <c r="AX282" i="7"/>
  <c r="AW273" i="7"/>
  <c r="AW282" i="7"/>
  <c r="AV273" i="7"/>
  <c r="AV282" i="7"/>
  <c r="AU273" i="7"/>
  <c r="AU282" i="7"/>
  <c r="AT273" i="7"/>
  <c r="AT282" i="7"/>
  <c r="AS273" i="7"/>
  <c r="AS282" i="7"/>
  <c r="AR273" i="7"/>
  <c r="AR282" i="7"/>
  <c r="AQ273" i="7"/>
  <c r="AQ282" i="7"/>
  <c r="AP273" i="7"/>
  <c r="AP282" i="7"/>
  <c r="AO273" i="7"/>
  <c r="AO282" i="7"/>
  <c r="AN273" i="7"/>
  <c r="AN282" i="7"/>
  <c r="AM273" i="7"/>
  <c r="AM282" i="7"/>
  <c r="AL273" i="7"/>
  <c r="AL282" i="7"/>
  <c r="AK273" i="7"/>
  <c r="AK282" i="7"/>
  <c r="AJ273" i="7"/>
  <c r="AJ282" i="7"/>
  <c r="AI273" i="7"/>
  <c r="AI282" i="7"/>
  <c r="AH273" i="7"/>
  <c r="AH282" i="7"/>
  <c r="AG273" i="7"/>
  <c r="AG282" i="7"/>
  <c r="AF273" i="7"/>
  <c r="AF282" i="7"/>
  <c r="AE273" i="7"/>
  <c r="AE282" i="7"/>
  <c r="AD273" i="7"/>
  <c r="AD282" i="7"/>
  <c r="AC273" i="7"/>
  <c r="AC282" i="7"/>
  <c r="AB273" i="7"/>
  <c r="AA273" i="7"/>
  <c r="AA282" i="7"/>
  <c r="Z273" i="7"/>
  <c r="Z282" i="7"/>
  <c r="Y273" i="7"/>
  <c r="Y282" i="7"/>
  <c r="X273" i="7"/>
  <c r="W273" i="7"/>
  <c r="W282" i="7"/>
  <c r="V273" i="7"/>
  <c r="V282" i="7"/>
  <c r="U273" i="7"/>
  <c r="U282" i="7"/>
  <c r="T273" i="7"/>
  <c r="T282" i="7"/>
  <c r="S273" i="7"/>
  <c r="S282" i="7"/>
  <c r="R273" i="7"/>
  <c r="R282" i="7"/>
  <c r="Q273" i="7"/>
  <c r="Q282" i="7"/>
  <c r="P273" i="7"/>
  <c r="P282" i="7"/>
  <c r="O273" i="7"/>
  <c r="O282" i="7"/>
  <c r="N273" i="7"/>
  <c r="N282" i="7"/>
  <c r="M273" i="7"/>
  <c r="M282" i="7"/>
  <c r="L273" i="7"/>
  <c r="L282" i="7"/>
  <c r="K273" i="7"/>
  <c r="K282" i="7"/>
  <c r="J273" i="7"/>
  <c r="J282" i="7"/>
  <c r="I273" i="7"/>
  <c r="I282" i="7"/>
  <c r="G287" i="7"/>
  <c r="AB282" i="7"/>
  <c r="X282" i="7"/>
  <c r="BE252" i="7"/>
  <c r="BD252" i="7"/>
  <c r="BC252" i="7"/>
  <c r="BC262" i="7"/>
  <c r="BB252" i="7"/>
  <c r="BA252" i="7"/>
  <c r="AZ252" i="7"/>
  <c r="AY252" i="7"/>
  <c r="AY262" i="7"/>
  <c r="AX252" i="7"/>
  <c r="AW252" i="7"/>
  <c r="AV252" i="7"/>
  <c r="AU252" i="7"/>
  <c r="AT252" i="7"/>
  <c r="AS252" i="7"/>
  <c r="AR252" i="7"/>
  <c r="AQ252" i="7"/>
  <c r="AP252" i="7"/>
  <c r="AO252" i="7"/>
  <c r="AN252" i="7"/>
  <c r="AM252" i="7"/>
  <c r="AL252" i="7"/>
  <c r="AK252" i="7"/>
  <c r="AJ252" i="7"/>
  <c r="AI252" i="7"/>
  <c r="AI262" i="7"/>
  <c r="AH252" i="7"/>
  <c r="AG252" i="7"/>
  <c r="AF252" i="7"/>
  <c r="AE252" i="7"/>
  <c r="AD252" i="7"/>
  <c r="AC252" i="7"/>
  <c r="AB252" i="7"/>
  <c r="AA252" i="7"/>
  <c r="Z252" i="7"/>
  <c r="Y252" i="7"/>
  <c r="X252" i="7"/>
  <c r="W252" i="7"/>
  <c r="W262" i="7"/>
  <c r="V252" i="7"/>
  <c r="U252" i="7"/>
  <c r="T252" i="7"/>
  <c r="S252" i="7"/>
  <c r="S262" i="7"/>
  <c r="R252" i="7"/>
  <c r="Q252" i="7"/>
  <c r="P252" i="7"/>
  <c r="O252" i="7"/>
  <c r="N252" i="7"/>
  <c r="M252" i="7"/>
  <c r="L252" i="7"/>
  <c r="K252" i="7"/>
  <c r="K262" i="7"/>
  <c r="J252" i="7"/>
  <c r="I252" i="7"/>
  <c r="H252" i="7"/>
  <c r="B284" i="7"/>
  <c r="B283" i="7"/>
  <c r="B282" i="7"/>
  <c r="B280" i="7"/>
  <c r="G241" i="7"/>
  <c r="BE227" i="7"/>
  <c r="BE236" i="7"/>
  <c r="BD227" i="7"/>
  <c r="BD236" i="7"/>
  <c r="BC227" i="7"/>
  <c r="BB227" i="7"/>
  <c r="BA227" i="7"/>
  <c r="BA236" i="7"/>
  <c r="AZ227" i="7"/>
  <c r="AY227" i="7"/>
  <c r="AX227" i="7"/>
  <c r="AW227" i="7"/>
  <c r="AW236" i="7"/>
  <c r="AV227" i="7"/>
  <c r="AV236" i="7"/>
  <c r="AU227" i="7"/>
  <c r="AT227" i="7"/>
  <c r="AS227" i="7"/>
  <c r="AS236" i="7"/>
  <c r="AR227" i="7"/>
  <c r="AQ227" i="7"/>
  <c r="AP227" i="7"/>
  <c r="AO227" i="7"/>
  <c r="AO236" i="7"/>
  <c r="AN227" i="7"/>
  <c r="AN236" i="7"/>
  <c r="AM227" i="7"/>
  <c r="AL227" i="7"/>
  <c r="AK227" i="7"/>
  <c r="AK236" i="7"/>
  <c r="AJ227" i="7"/>
  <c r="AI227" i="7"/>
  <c r="AH227" i="7"/>
  <c r="AG227" i="7"/>
  <c r="AG236" i="7"/>
  <c r="AF227" i="7"/>
  <c r="AF236" i="7"/>
  <c r="AE227" i="7"/>
  <c r="AD227" i="7"/>
  <c r="AC227" i="7"/>
  <c r="AC236" i="7"/>
  <c r="AB227" i="7"/>
  <c r="AA227" i="7"/>
  <c r="Z227" i="7"/>
  <c r="Y227" i="7"/>
  <c r="Y236" i="7"/>
  <c r="X227" i="7"/>
  <c r="X236" i="7"/>
  <c r="W227" i="7"/>
  <c r="V227" i="7"/>
  <c r="U227" i="7"/>
  <c r="U236" i="7"/>
  <c r="T227" i="7"/>
  <c r="S227" i="7"/>
  <c r="R227" i="7"/>
  <c r="Q227" i="7"/>
  <c r="Q236" i="7"/>
  <c r="P227" i="7"/>
  <c r="O227" i="7"/>
  <c r="N227" i="7"/>
  <c r="M227" i="7"/>
  <c r="M236" i="7"/>
  <c r="L227" i="7"/>
  <c r="K227" i="7"/>
  <c r="J227" i="7"/>
  <c r="I227" i="7"/>
  <c r="I236" i="7"/>
  <c r="BE206" i="7"/>
  <c r="BD206" i="7"/>
  <c r="BC206" i="7"/>
  <c r="BB206" i="7"/>
  <c r="BA206" i="7"/>
  <c r="BA216" i="7"/>
  <c r="AZ206" i="7"/>
  <c r="AY206" i="7"/>
  <c r="AX206" i="7"/>
  <c r="AW206" i="7"/>
  <c r="AV206" i="7"/>
  <c r="AU206" i="7"/>
  <c r="AT206" i="7"/>
  <c r="AS206" i="7"/>
  <c r="AS216" i="7"/>
  <c r="AR206" i="7"/>
  <c r="AR216" i="7"/>
  <c r="AQ206" i="7"/>
  <c r="AP206" i="7"/>
  <c r="AO206" i="7"/>
  <c r="AO216" i="7"/>
  <c r="AN206" i="7"/>
  <c r="AN216" i="7"/>
  <c r="AM206" i="7"/>
  <c r="AL206" i="7"/>
  <c r="AK206" i="7"/>
  <c r="AJ206" i="7"/>
  <c r="AI206" i="7"/>
  <c r="AH206" i="7"/>
  <c r="AG206" i="7"/>
  <c r="AG216" i="7"/>
  <c r="AF206" i="7"/>
  <c r="AE206" i="7"/>
  <c r="AD206" i="7"/>
  <c r="AC206" i="7"/>
  <c r="AC216" i="7"/>
  <c r="AB206" i="7"/>
  <c r="AB216" i="7"/>
  <c r="AA206" i="7"/>
  <c r="Z206" i="7"/>
  <c r="Y206" i="7"/>
  <c r="X206" i="7"/>
  <c r="X216" i="7"/>
  <c r="W206" i="7"/>
  <c r="V206" i="7"/>
  <c r="U206" i="7"/>
  <c r="T206" i="7"/>
  <c r="T216" i="7"/>
  <c r="S206" i="7"/>
  <c r="R206" i="7"/>
  <c r="Q206" i="7"/>
  <c r="P206" i="7"/>
  <c r="P216" i="7"/>
  <c r="O206" i="7"/>
  <c r="N206" i="7"/>
  <c r="M206" i="7"/>
  <c r="L206" i="7"/>
  <c r="K206" i="7"/>
  <c r="J206" i="7"/>
  <c r="I206" i="7"/>
  <c r="I216" i="7"/>
  <c r="H206" i="7"/>
  <c r="H216" i="7"/>
  <c r="B238" i="7"/>
  <c r="B237" i="7"/>
  <c r="B236" i="7"/>
  <c r="B234" i="7"/>
  <c r="G193" i="7"/>
  <c r="BE179" i="7"/>
  <c r="BE188" i="7"/>
  <c r="BD179" i="7"/>
  <c r="BD188" i="7"/>
  <c r="BC179" i="7"/>
  <c r="BC188" i="7"/>
  <c r="BB179" i="7"/>
  <c r="BB188" i="7"/>
  <c r="BA179" i="7"/>
  <c r="BA188" i="7"/>
  <c r="AZ179" i="7"/>
  <c r="AZ188" i="7"/>
  <c r="AY179" i="7"/>
  <c r="AY188" i="7"/>
  <c r="AX179" i="7"/>
  <c r="AX188" i="7"/>
  <c r="AW179" i="7"/>
  <c r="AW188" i="7"/>
  <c r="AV179" i="7"/>
  <c r="AV188" i="7"/>
  <c r="AU179" i="7"/>
  <c r="AU188" i="7"/>
  <c r="AT179" i="7"/>
  <c r="AT188" i="7"/>
  <c r="AS179" i="7"/>
  <c r="AS188" i="7"/>
  <c r="AR179" i="7"/>
  <c r="AR188" i="7"/>
  <c r="AQ179" i="7"/>
  <c r="AQ188" i="7"/>
  <c r="AP179" i="7"/>
  <c r="AP188" i="7"/>
  <c r="AO179" i="7"/>
  <c r="AO188" i="7"/>
  <c r="AN179" i="7"/>
  <c r="AN188" i="7"/>
  <c r="AM179" i="7"/>
  <c r="AM188" i="7"/>
  <c r="AL179" i="7"/>
  <c r="AL188" i="7"/>
  <c r="AK179" i="7"/>
  <c r="AK188" i="7"/>
  <c r="AJ179" i="7"/>
  <c r="AJ188" i="7"/>
  <c r="AI179" i="7"/>
  <c r="AI188" i="7"/>
  <c r="AH179" i="7"/>
  <c r="AH188" i="7"/>
  <c r="AG179" i="7"/>
  <c r="AG188" i="7"/>
  <c r="AF179" i="7"/>
  <c r="AF188" i="7"/>
  <c r="AE179" i="7"/>
  <c r="AE188" i="7"/>
  <c r="AD179" i="7"/>
  <c r="AD188" i="7"/>
  <c r="AC179" i="7"/>
  <c r="AC188" i="7"/>
  <c r="AB179" i="7"/>
  <c r="AB188" i="7"/>
  <c r="AA179" i="7"/>
  <c r="AA188" i="7"/>
  <c r="Z179" i="7"/>
  <c r="Z188" i="7"/>
  <c r="Y179" i="7"/>
  <c r="Y188" i="7"/>
  <c r="X179" i="7"/>
  <c r="X188" i="7"/>
  <c r="W179" i="7"/>
  <c r="W188" i="7"/>
  <c r="V179" i="7"/>
  <c r="V188" i="7"/>
  <c r="U179" i="7"/>
  <c r="U188" i="7"/>
  <c r="T179" i="7"/>
  <c r="T188" i="7"/>
  <c r="S179" i="7"/>
  <c r="S188" i="7"/>
  <c r="R179" i="7"/>
  <c r="R188" i="7"/>
  <c r="Q179" i="7"/>
  <c r="Q188" i="7"/>
  <c r="P179" i="7"/>
  <c r="P188" i="7"/>
  <c r="O179" i="7"/>
  <c r="O188" i="7"/>
  <c r="N179" i="7"/>
  <c r="N188" i="7"/>
  <c r="M179" i="7"/>
  <c r="M188" i="7"/>
  <c r="L179" i="7"/>
  <c r="L188" i="7"/>
  <c r="K179" i="7"/>
  <c r="K188" i="7"/>
  <c r="J179" i="7"/>
  <c r="J188" i="7"/>
  <c r="I179" i="7"/>
  <c r="I188" i="7"/>
  <c r="F803" i="7"/>
  <c r="G803" i="7"/>
  <c r="F802" i="7"/>
  <c r="G802" i="7"/>
  <c r="D796" i="7"/>
  <c r="BB798" i="7"/>
  <c r="F789" i="7"/>
  <c r="G789" i="7"/>
  <c r="F788" i="7"/>
  <c r="G788" i="7"/>
  <c r="G523" i="7"/>
  <c r="G522" i="7"/>
  <c r="G521" i="7"/>
  <c r="AX527" i="7"/>
  <c r="G520" i="7"/>
  <c r="H526" i="7"/>
  <c r="AS484" i="7"/>
  <c r="BB470" i="7"/>
  <c r="G147" i="7"/>
  <c r="BE112" i="7"/>
  <c r="BD112" i="7"/>
  <c r="BC112" i="7"/>
  <c r="BB112" i="7"/>
  <c r="BA112" i="7"/>
  <c r="AZ112" i="7"/>
  <c r="AZ122" i="7"/>
  <c r="AY112" i="7"/>
  <c r="AY122" i="7"/>
  <c r="AX112" i="7"/>
  <c r="AW112" i="7"/>
  <c r="AV112" i="7"/>
  <c r="AU112" i="7"/>
  <c r="AT112" i="7"/>
  <c r="AS112" i="7"/>
  <c r="AR112" i="7"/>
  <c r="AQ112" i="7"/>
  <c r="AP112" i="7"/>
  <c r="AO112" i="7"/>
  <c r="AN112" i="7"/>
  <c r="AM112" i="7"/>
  <c r="AL112" i="7"/>
  <c r="AK112" i="7"/>
  <c r="AJ112" i="7"/>
  <c r="AI112" i="7"/>
  <c r="AI122" i="7"/>
  <c r="AH112" i="7"/>
  <c r="AG112" i="7"/>
  <c r="AF112" i="7"/>
  <c r="AF122" i="7"/>
  <c r="AE112" i="7"/>
  <c r="AD112" i="7"/>
  <c r="AC112" i="7"/>
  <c r="AB112" i="7"/>
  <c r="AA112" i="7"/>
  <c r="Z112" i="7"/>
  <c r="Y112" i="7"/>
  <c r="X112" i="7"/>
  <c r="X122" i="7"/>
  <c r="W112" i="7"/>
  <c r="V112" i="7"/>
  <c r="U112" i="7"/>
  <c r="T112" i="7"/>
  <c r="S112" i="7"/>
  <c r="S122" i="7"/>
  <c r="R112" i="7"/>
  <c r="Q112" i="7"/>
  <c r="P112" i="7"/>
  <c r="P122" i="7"/>
  <c r="O112" i="7"/>
  <c r="N112" i="7"/>
  <c r="M112" i="7"/>
  <c r="L112" i="7"/>
  <c r="K112" i="7"/>
  <c r="K122" i="7"/>
  <c r="J112" i="7"/>
  <c r="I112" i="7"/>
  <c r="H112" i="7"/>
  <c r="H122" i="7"/>
  <c r="BE158" i="7"/>
  <c r="BD158" i="7"/>
  <c r="BC158" i="7"/>
  <c r="BB158" i="7"/>
  <c r="BB168" i="7"/>
  <c r="BA158" i="7"/>
  <c r="AZ158" i="7"/>
  <c r="AY158" i="7"/>
  <c r="AX158" i="7"/>
  <c r="AW158" i="7"/>
  <c r="AV158" i="7"/>
  <c r="AU158" i="7"/>
  <c r="AT158" i="7"/>
  <c r="AS158" i="7"/>
  <c r="AR158" i="7"/>
  <c r="AQ158" i="7"/>
  <c r="AP158" i="7"/>
  <c r="AO158" i="7"/>
  <c r="AN158" i="7"/>
  <c r="AN168" i="7"/>
  <c r="AM158" i="7"/>
  <c r="AL158" i="7"/>
  <c r="AL168" i="7"/>
  <c r="AK158" i="7"/>
  <c r="AJ158" i="7"/>
  <c r="AI158" i="7"/>
  <c r="AH158" i="7"/>
  <c r="AG158" i="7"/>
  <c r="AF158" i="7"/>
  <c r="AE158" i="7"/>
  <c r="AD158" i="7"/>
  <c r="AC158" i="7"/>
  <c r="AB158" i="7"/>
  <c r="AA158" i="7"/>
  <c r="Z158" i="7"/>
  <c r="Z168" i="7"/>
  <c r="Y158" i="7"/>
  <c r="X158" i="7"/>
  <c r="W158" i="7"/>
  <c r="W168" i="7"/>
  <c r="V158" i="7"/>
  <c r="V168" i="7"/>
  <c r="U158" i="7"/>
  <c r="T158" i="7"/>
  <c r="S158" i="7"/>
  <c r="R158" i="7"/>
  <c r="Q158" i="7"/>
  <c r="P158" i="7"/>
  <c r="O158" i="7"/>
  <c r="N158" i="7"/>
  <c r="M158" i="7"/>
  <c r="L158" i="7"/>
  <c r="K158" i="7"/>
  <c r="J158" i="7"/>
  <c r="I158" i="7"/>
  <c r="H158" i="7"/>
  <c r="B190" i="7"/>
  <c r="B189" i="7"/>
  <c r="B188" i="7"/>
  <c r="B186" i="7"/>
  <c r="D782" i="7"/>
  <c r="BE133" i="7"/>
  <c r="BE142" i="7"/>
  <c r="BD133" i="7"/>
  <c r="BD142" i="7"/>
  <c r="BC133" i="7"/>
  <c r="BC142" i="7"/>
  <c r="BB133" i="7"/>
  <c r="BB142" i="7"/>
  <c r="BA133" i="7"/>
  <c r="BA142" i="7"/>
  <c r="AZ133" i="7"/>
  <c r="AZ142" i="7"/>
  <c r="AY133" i="7"/>
  <c r="AY142" i="7"/>
  <c r="AX133" i="7"/>
  <c r="AX142" i="7"/>
  <c r="AW133" i="7"/>
  <c r="AW142" i="7"/>
  <c r="AV133" i="7"/>
  <c r="AV142" i="7"/>
  <c r="AU133" i="7"/>
  <c r="AU142" i="7"/>
  <c r="AT133" i="7"/>
  <c r="AT142" i="7"/>
  <c r="AS133" i="7"/>
  <c r="AS142" i="7"/>
  <c r="AR133" i="7"/>
  <c r="AR142" i="7"/>
  <c r="AQ133" i="7"/>
  <c r="AQ142" i="7"/>
  <c r="AP133" i="7"/>
  <c r="AP142" i="7"/>
  <c r="AO133" i="7"/>
  <c r="AO142" i="7"/>
  <c r="AN133" i="7"/>
  <c r="AN142" i="7"/>
  <c r="AM133" i="7"/>
  <c r="AM142" i="7"/>
  <c r="AL133" i="7"/>
  <c r="AL142" i="7"/>
  <c r="AK133" i="7"/>
  <c r="AK142" i="7"/>
  <c r="AJ133" i="7"/>
  <c r="AJ142" i="7"/>
  <c r="AI133" i="7"/>
  <c r="AI142" i="7"/>
  <c r="AH133" i="7"/>
  <c r="AH142" i="7"/>
  <c r="AG133" i="7"/>
  <c r="AG142" i="7"/>
  <c r="AF133" i="7"/>
  <c r="AF142" i="7"/>
  <c r="AE133" i="7"/>
  <c r="AE142" i="7"/>
  <c r="AD133" i="7"/>
  <c r="AD142" i="7"/>
  <c r="AC133" i="7"/>
  <c r="AC142" i="7"/>
  <c r="AB133" i="7"/>
  <c r="AB142" i="7"/>
  <c r="AA133" i="7"/>
  <c r="AA142" i="7"/>
  <c r="Z133" i="7"/>
  <c r="Z142" i="7"/>
  <c r="Y133" i="7"/>
  <c r="Y142" i="7"/>
  <c r="X133" i="7"/>
  <c r="X142" i="7"/>
  <c r="W133" i="7"/>
  <c r="W142" i="7"/>
  <c r="V133" i="7"/>
  <c r="V142" i="7"/>
  <c r="U133" i="7"/>
  <c r="U142" i="7"/>
  <c r="T133" i="7"/>
  <c r="T142" i="7"/>
  <c r="S133" i="7"/>
  <c r="S142" i="7"/>
  <c r="R133" i="7"/>
  <c r="R142" i="7"/>
  <c r="Q133" i="7"/>
  <c r="Q142" i="7"/>
  <c r="P133" i="7"/>
  <c r="P142" i="7"/>
  <c r="O133" i="7"/>
  <c r="O142" i="7"/>
  <c r="N133" i="7"/>
  <c r="N142" i="7"/>
  <c r="M133" i="7"/>
  <c r="M142" i="7"/>
  <c r="L133" i="7"/>
  <c r="L142" i="7"/>
  <c r="K133" i="7"/>
  <c r="K142" i="7"/>
  <c r="J133" i="7"/>
  <c r="J142" i="7"/>
  <c r="I133" i="7"/>
  <c r="I142" i="7"/>
  <c r="B144" i="7"/>
  <c r="B143" i="7"/>
  <c r="B142" i="7"/>
  <c r="B140" i="7"/>
  <c r="G99" i="7"/>
  <c r="BE85" i="7"/>
  <c r="BE94" i="7"/>
  <c r="BD85" i="7"/>
  <c r="BD94" i="7"/>
  <c r="BC85" i="7"/>
  <c r="BC94" i="7"/>
  <c r="BB85" i="7"/>
  <c r="BB94" i="7"/>
  <c r="BA85" i="7"/>
  <c r="BA94" i="7"/>
  <c r="AZ85" i="7"/>
  <c r="AZ94" i="7"/>
  <c r="AY85" i="7"/>
  <c r="AY94" i="7"/>
  <c r="AX85" i="7"/>
  <c r="AX94" i="7"/>
  <c r="AW85" i="7"/>
  <c r="AW94" i="7"/>
  <c r="AV85" i="7"/>
  <c r="AV94" i="7"/>
  <c r="AU85" i="7"/>
  <c r="AU94" i="7"/>
  <c r="AT85" i="7"/>
  <c r="AT94" i="7"/>
  <c r="AS85" i="7"/>
  <c r="AS94" i="7"/>
  <c r="AR85" i="7"/>
  <c r="AR94" i="7"/>
  <c r="AQ85" i="7"/>
  <c r="AQ94" i="7"/>
  <c r="AP85" i="7"/>
  <c r="AP94" i="7"/>
  <c r="AO85" i="7"/>
  <c r="AO94" i="7"/>
  <c r="AN85" i="7"/>
  <c r="AN94" i="7"/>
  <c r="AM85" i="7"/>
  <c r="AM94" i="7"/>
  <c r="AL85" i="7"/>
  <c r="AL94" i="7"/>
  <c r="AK85" i="7"/>
  <c r="AK94" i="7"/>
  <c r="AJ85" i="7"/>
  <c r="AJ94" i="7"/>
  <c r="AI85" i="7"/>
  <c r="AI94" i="7"/>
  <c r="AH85" i="7"/>
  <c r="AH94" i="7"/>
  <c r="AG85" i="7"/>
  <c r="AG94" i="7"/>
  <c r="AF85" i="7"/>
  <c r="AF94" i="7"/>
  <c r="AE85" i="7"/>
  <c r="AE94" i="7"/>
  <c r="AD85" i="7"/>
  <c r="AD94" i="7"/>
  <c r="AC85" i="7"/>
  <c r="AC94" i="7"/>
  <c r="AB85" i="7"/>
  <c r="AB94" i="7"/>
  <c r="AA85" i="7"/>
  <c r="AA94" i="7"/>
  <c r="Z85" i="7"/>
  <c r="Z94" i="7"/>
  <c r="Y85" i="7"/>
  <c r="Y94" i="7"/>
  <c r="X85" i="7"/>
  <c r="X94" i="7"/>
  <c r="W85" i="7"/>
  <c r="W94" i="7"/>
  <c r="V85" i="7"/>
  <c r="V94" i="7"/>
  <c r="U85" i="7"/>
  <c r="U94" i="7"/>
  <c r="T85" i="7"/>
  <c r="T94" i="7"/>
  <c r="S85" i="7"/>
  <c r="S94" i="7"/>
  <c r="R85" i="7"/>
  <c r="R94" i="7"/>
  <c r="Q85" i="7"/>
  <c r="Q94" i="7"/>
  <c r="P85" i="7"/>
  <c r="P94" i="7"/>
  <c r="O85" i="7"/>
  <c r="O94" i="7"/>
  <c r="N85" i="7"/>
  <c r="N94" i="7"/>
  <c r="M85" i="7"/>
  <c r="M94" i="7"/>
  <c r="L85" i="7"/>
  <c r="L94" i="7"/>
  <c r="K85" i="7"/>
  <c r="K94" i="7"/>
  <c r="J85" i="7"/>
  <c r="J94" i="7"/>
  <c r="I85" i="7"/>
  <c r="I94" i="7"/>
  <c r="BE64" i="7"/>
  <c r="BD64" i="7"/>
  <c r="BD74" i="7"/>
  <c r="BC64" i="7"/>
  <c r="BC74" i="7"/>
  <c r="BB64" i="7"/>
  <c r="BA64" i="7"/>
  <c r="AZ64" i="7"/>
  <c r="AY64" i="7"/>
  <c r="AX64" i="7"/>
  <c r="AW64" i="7"/>
  <c r="AV64" i="7"/>
  <c r="AU64" i="7"/>
  <c r="AU74" i="7"/>
  <c r="AT64" i="7"/>
  <c r="AS64" i="7"/>
  <c r="AR64" i="7"/>
  <c r="AR74" i="7"/>
  <c r="AQ64" i="7"/>
  <c r="AQ74" i="7"/>
  <c r="AP64" i="7"/>
  <c r="AO64" i="7"/>
  <c r="AN64" i="7"/>
  <c r="AM64" i="7"/>
  <c r="AL64" i="7"/>
  <c r="AK64" i="7"/>
  <c r="AK74" i="7"/>
  <c r="AJ64" i="7"/>
  <c r="AJ74" i="7"/>
  <c r="AI64" i="7"/>
  <c r="AI74" i="7"/>
  <c r="AH64" i="7"/>
  <c r="AG64" i="7"/>
  <c r="AF64" i="7"/>
  <c r="AE64" i="7"/>
  <c r="AD64" i="7"/>
  <c r="AC64" i="7"/>
  <c r="AC74" i="7"/>
  <c r="AB64" i="7"/>
  <c r="AA64" i="7"/>
  <c r="Z64" i="7"/>
  <c r="Y64" i="7"/>
  <c r="X64" i="7"/>
  <c r="X74" i="7"/>
  <c r="W64" i="7"/>
  <c r="W74" i="7"/>
  <c r="V64" i="7"/>
  <c r="U64" i="7"/>
  <c r="U74" i="7"/>
  <c r="T64" i="7"/>
  <c r="S64" i="7"/>
  <c r="S74" i="7"/>
  <c r="R64" i="7"/>
  <c r="Q64" i="7"/>
  <c r="P64" i="7"/>
  <c r="O64" i="7"/>
  <c r="O74" i="7"/>
  <c r="N64" i="7"/>
  <c r="M64" i="7"/>
  <c r="L64" i="7"/>
  <c r="K64" i="7"/>
  <c r="K74" i="7"/>
  <c r="J64" i="7"/>
  <c r="I64" i="7"/>
  <c r="H64" i="7"/>
  <c r="H73" i="7"/>
  <c r="H72" i="7"/>
  <c r="B96" i="7"/>
  <c r="B95" i="7"/>
  <c r="B94" i="7"/>
  <c r="B92" i="7"/>
  <c r="B50" i="7"/>
  <c r="B49" i="7"/>
  <c r="B48" i="7"/>
  <c r="B46" i="7"/>
  <c r="G754" i="7"/>
  <c r="G753" i="7"/>
  <c r="G752" i="7"/>
  <c r="BD758" i="7"/>
  <c r="G751" i="7"/>
  <c r="H757" i="7"/>
  <c r="H758" i="7"/>
  <c r="H759" i="7"/>
  <c r="BD737" i="7"/>
  <c r="BD743" i="7"/>
  <c r="AT716" i="7"/>
  <c r="AT722" i="7"/>
  <c r="AC695" i="7"/>
  <c r="AC701" i="7"/>
  <c r="C758" i="7"/>
  <c r="C757" i="7"/>
  <c r="C754" i="7"/>
  <c r="C753" i="7"/>
  <c r="C752" i="7"/>
  <c r="BE736" i="7"/>
  <c r="BE272" i="7"/>
  <c r="C728" i="7"/>
  <c r="C727" i="7"/>
  <c r="C712" i="7"/>
  <c r="C711" i="7"/>
  <c r="C705" i="7"/>
  <c r="G677" i="7"/>
  <c r="G676" i="7"/>
  <c r="G675" i="7"/>
  <c r="G674" i="7"/>
  <c r="H680" i="7"/>
  <c r="AA638" i="7"/>
  <c r="AA225" i="7"/>
  <c r="AU618" i="7"/>
  <c r="AU624" i="7"/>
  <c r="C681" i="7"/>
  <c r="C680" i="7"/>
  <c r="C677" i="7"/>
  <c r="C676" i="7"/>
  <c r="C675" i="7"/>
  <c r="BC659" i="7"/>
  <c r="BC226" i="7"/>
  <c r="C651" i="7"/>
  <c r="C650" i="7"/>
  <c r="C635" i="7"/>
  <c r="C634" i="7"/>
  <c r="C628" i="7"/>
  <c r="G599" i="7"/>
  <c r="G598" i="7"/>
  <c r="G597" i="7"/>
  <c r="G596" i="7"/>
  <c r="H602" i="7"/>
  <c r="BC582" i="7"/>
  <c r="BC588" i="7"/>
  <c r="AS540" i="7"/>
  <c r="AS546" i="7"/>
  <c r="C603" i="7"/>
  <c r="C602" i="7"/>
  <c r="C599" i="7"/>
  <c r="C598" i="7"/>
  <c r="C597" i="7"/>
  <c r="AR582" i="7"/>
  <c r="AR588" i="7"/>
  <c r="C573" i="7"/>
  <c r="C572" i="7"/>
  <c r="C557" i="7"/>
  <c r="C556" i="7"/>
  <c r="C550" i="7"/>
  <c r="G445" i="7"/>
  <c r="G444" i="7"/>
  <c r="G443" i="7"/>
  <c r="AK449" i="7"/>
  <c r="AK450" i="7"/>
  <c r="AK87" i="7"/>
  <c r="AK96" i="7"/>
  <c r="G442" i="7"/>
  <c r="AR358" i="7"/>
  <c r="BD407" i="7"/>
  <c r="BD413" i="7"/>
  <c r="AW386" i="7"/>
  <c r="AW392" i="7"/>
  <c r="C527" i="7"/>
  <c r="C526" i="7"/>
  <c r="C523" i="7"/>
  <c r="C522" i="7"/>
  <c r="C521" i="7"/>
  <c r="C497" i="7"/>
  <c r="C496" i="7"/>
  <c r="C481" i="7"/>
  <c r="C480" i="7"/>
  <c r="C474" i="7"/>
  <c r="C449" i="7"/>
  <c r="C448" i="7"/>
  <c r="C445" i="7"/>
  <c r="C444" i="7"/>
  <c r="C443" i="7"/>
  <c r="C373" i="7"/>
  <c r="C372" i="7"/>
  <c r="C369" i="7"/>
  <c r="C368" i="7"/>
  <c r="C367" i="7"/>
  <c r="C419" i="7"/>
  <c r="C418" i="7"/>
  <c r="C403" i="7"/>
  <c r="C402" i="7"/>
  <c r="C396" i="7"/>
  <c r="C343" i="7"/>
  <c r="C342" i="7"/>
  <c r="C327" i="7"/>
  <c r="C326" i="7"/>
  <c r="C320" i="7"/>
  <c r="AA18" i="4"/>
  <c r="Z18" i="4"/>
  <c r="Y18" i="4"/>
  <c r="X18" i="4"/>
  <c r="W18" i="4"/>
  <c r="V18" i="4"/>
  <c r="U18" i="4"/>
  <c r="T18" i="4"/>
  <c r="S18" i="4"/>
  <c r="R18" i="4"/>
  <c r="Q18" i="4"/>
  <c r="P18" i="4"/>
  <c r="O18" i="4"/>
  <c r="N18" i="4"/>
  <c r="M18" i="4"/>
  <c r="L18" i="4"/>
  <c r="K18" i="4"/>
  <c r="J18" i="4"/>
  <c r="I18" i="4"/>
  <c r="V58" i="4"/>
  <c r="B167" i="4"/>
  <c r="B166" i="4"/>
  <c r="B165" i="4"/>
  <c r="B164" i="4"/>
  <c r="B163" i="4"/>
  <c r="B162" i="4"/>
  <c r="AA146" i="4"/>
  <c r="Z146" i="4"/>
  <c r="Y146" i="4"/>
  <c r="X146" i="4"/>
  <c r="W146" i="4"/>
  <c r="V146" i="4"/>
  <c r="U146" i="4"/>
  <c r="T146" i="4"/>
  <c r="S146" i="4"/>
  <c r="R146" i="4"/>
  <c r="Q146" i="4"/>
  <c r="P146" i="4"/>
  <c r="O146" i="4"/>
  <c r="N146" i="4"/>
  <c r="M146" i="4"/>
  <c r="L146" i="4"/>
  <c r="K146" i="4"/>
  <c r="J146" i="4"/>
  <c r="I146" i="4"/>
  <c r="H146" i="4"/>
  <c r="G146" i="4"/>
  <c r="B131" i="4"/>
  <c r="B130" i="4"/>
  <c r="B129" i="4"/>
  <c r="B128" i="4"/>
  <c r="G86" i="4"/>
  <c r="G85" i="4"/>
  <c r="B77" i="4"/>
  <c r="B76" i="4"/>
  <c r="B75" i="4"/>
  <c r="B74" i="4"/>
  <c r="B73" i="4"/>
  <c r="B72" i="4"/>
  <c r="AA56" i="4"/>
  <c r="Z56" i="4"/>
  <c r="Y56" i="4"/>
  <c r="X56" i="4"/>
  <c r="W56" i="4"/>
  <c r="V56" i="4"/>
  <c r="U56" i="4"/>
  <c r="T56" i="4"/>
  <c r="S56" i="4"/>
  <c r="R56" i="4"/>
  <c r="Q56" i="4"/>
  <c r="P56" i="4"/>
  <c r="O56" i="4"/>
  <c r="N56" i="4"/>
  <c r="M56" i="4"/>
  <c r="L56" i="4"/>
  <c r="K56" i="4"/>
  <c r="J56" i="4"/>
  <c r="I56" i="4"/>
  <c r="H56" i="4"/>
  <c r="G56" i="4"/>
  <c r="B41" i="4"/>
  <c r="B40" i="4"/>
  <c r="B39" i="4"/>
  <c r="B38" i="4"/>
  <c r="C217" i="4"/>
  <c r="C240" i="4"/>
  <c r="U160" i="8"/>
  <c r="U159" i="8"/>
  <c r="U158" i="8"/>
  <c r="U156" i="8"/>
  <c r="U155" i="8"/>
  <c r="U154" i="8"/>
  <c r="F342" i="4"/>
  <c r="F341" i="4"/>
  <c r="C270" i="4"/>
  <c r="C269" i="4"/>
  <c r="AX316" i="7"/>
  <c r="F266" i="4"/>
  <c r="F265" i="4"/>
  <c r="C266" i="4"/>
  <c r="C265" i="4"/>
  <c r="C264" i="4"/>
  <c r="S75" i="4"/>
  <c r="O75" i="4"/>
  <c r="I27" i="7"/>
  <c r="I28" i="7"/>
  <c r="M28" i="7"/>
  <c r="Q28" i="7"/>
  <c r="U28" i="7"/>
  <c r="Y28" i="7"/>
  <c r="AC28" i="7"/>
  <c r="AG28" i="7"/>
  <c r="AK28" i="7"/>
  <c r="AO28" i="7"/>
  <c r="AS28" i="7"/>
  <c r="AW28" i="7"/>
  <c r="BA28" i="7"/>
  <c r="BE28" i="7"/>
  <c r="I70" i="7"/>
  <c r="I92" i="7"/>
  <c r="I76" i="7"/>
  <c r="I74" i="7"/>
  <c r="I73" i="7"/>
  <c r="I72" i="7"/>
  <c r="I78" i="7"/>
  <c r="I75" i="7"/>
  <c r="M74" i="7"/>
  <c r="Q74" i="7"/>
  <c r="Y74" i="7"/>
  <c r="AG70" i="7"/>
  <c r="AG92" i="7"/>
  <c r="AG74" i="7"/>
  <c r="AO74" i="7"/>
  <c r="AS74" i="7"/>
  <c r="AW74" i="7"/>
  <c r="BA74" i="7"/>
  <c r="BE74" i="7"/>
  <c r="O122" i="7"/>
  <c r="AE122" i="7"/>
  <c r="AU122" i="7"/>
  <c r="H262" i="7"/>
  <c r="H264" i="7"/>
  <c r="H263" i="7"/>
  <c r="H261" i="7"/>
  <c r="H260" i="7"/>
  <c r="L262" i="7"/>
  <c r="P262" i="7"/>
  <c r="T262" i="7"/>
  <c r="X262" i="7"/>
  <c r="AB262" i="7"/>
  <c r="AF262" i="7"/>
  <c r="AJ262" i="7"/>
  <c r="AN262" i="7"/>
  <c r="AR262" i="7"/>
  <c r="AV262" i="7"/>
  <c r="AZ262" i="7"/>
  <c r="BD262" i="7"/>
  <c r="J28" i="7"/>
  <c r="N28" i="7"/>
  <c r="R28" i="7"/>
  <c r="V28" i="7"/>
  <c r="Z28" i="7"/>
  <c r="AD28" i="7"/>
  <c r="AH28" i="7"/>
  <c r="AL28" i="7"/>
  <c r="AP28" i="7"/>
  <c r="AT28" i="7"/>
  <c r="AX28" i="7"/>
  <c r="BB28" i="7"/>
  <c r="J70" i="7"/>
  <c r="J92" i="7"/>
  <c r="J74" i="7"/>
  <c r="N74" i="7"/>
  <c r="R70" i="7"/>
  <c r="R92" i="7"/>
  <c r="R74" i="7"/>
  <c r="V74" i="7"/>
  <c r="Z74" i="7"/>
  <c r="AD74" i="7"/>
  <c r="AH70" i="7"/>
  <c r="AH92" i="7"/>
  <c r="AH74" i="7"/>
  <c r="AL70" i="7"/>
  <c r="AL92" i="7"/>
  <c r="AL74" i="7"/>
  <c r="AP70" i="7"/>
  <c r="AP92" i="7"/>
  <c r="AP74" i="7"/>
  <c r="AT74" i="7"/>
  <c r="AX70" i="7"/>
  <c r="AX92" i="7"/>
  <c r="AX74" i="7"/>
  <c r="BB70" i="7"/>
  <c r="BB92" i="7"/>
  <c r="BB74" i="7"/>
  <c r="R168" i="7"/>
  <c r="AD168" i="7"/>
  <c r="AH168" i="7"/>
  <c r="AT168" i="7"/>
  <c r="AX168" i="7"/>
  <c r="H123" i="7"/>
  <c r="H124" i="7"/>
  <c r="L122" i="7"/>
  <c r="T122" i="7"/>
  <c r="AB122" i="7"/>
  <c r="AF118" i="7"/>
  <c r="AF140" i="7"/>
  <c r="AN122" i="7"/>
  <c r="AV118" i="7"/>
  <c r="AV122" i="7"/>
  <c r="BD122" i="7"/>
  <c r="I261" i="7"/>
  <c r="I260" i="7"/>
  <c r="I263" i="7"/>
  <c r="I262" i="7"/>
  <c r="I264" i="7"/>
  <c r="M262" i="7"/>
  <c r="Q262" i="7"/>
  <c r="U262" i="7"/>
  <c r="Y262" i="7"/>
  <c r="AC262" i="7"/>
  <c r="AG262" i="7"/>
  <c r="AK262" i="7"/>
  <c r="AO262" i="7"/>
  <c r="AS262" i="7"/>
  <c r="AW262" i="7"/>
  <c r="BA262" i="7"/>
  <c r="BE262" i="7"/>
  <c r="K28" i="7"/>
  <c r="O28" i="7"/>
  <c r="S28" i="7"/>
  <c r="W28" i="7"/>
  <c r="AA28" i="7"/>
  <c r="AE28" i="7"/>
  <c r="AI28" i="7"/>
  <c r="AM28" i="7"/>
  <c r="AQ28" i="7"/>
  <c r="AU28" i="7"/>
  <c r="AY28" i="7"/>
  <c r="BC28" i="7"/>
  <c r="K168" i="7"/>
  <c r="O168" i="7"/>
  <c r="S168" i="7"/>
  <c r="AA168" i="7"/>
  <c r="AE168" i="7"/>
  <c r="AI168" i="7"/>
  <c r="AM168" i="7"/>
  <c r="AQ168" i="7"/>
  <c r="AU168" i="7"/>
  <c r="AY168" i="7"/>
  <c r="BC168" i="7"/>
  <c r="I123" i="7"/>
  <c r="I124" i="7"/>
  <c r="I122" i="7"/>
  <c r="I121" i="7"/>
  <c r="I120" i="7"/>
  <c r="M122" i="7"/>
  <c r="Q122" i="7"/>
  <c r="U122" i="7"/>
  <c r="Y122" i="7"/>
  <c r="AC122" i="7"/>
  <c r="AG122" i="7"/>
  <c r="AK122" i="7"/>
  <c r="AO122" i="7"/>
  <c r="AS122" i="7"/>
  <c r="AW122" i="7"/>
  <c r="BA122" i="7"/>
  <c r="BE122" i="7"/>
  <c r="Z262" i="7"/>
  <c r="AP262" i="7"/>
  <c r="H27" i="7"/>
  <c r="H29" i="7"/>
  <c r="H28" i="7"/>
  <c r="L28" i="7"/>
  <c r="P28" i="7"/>
  <c r="T28" i="7"/>
  <c r="X28" i="7"/>
  <c r="AB28" i="7"/>
  <c r="AF28" i="7"/>
  <c r="AJ28" i="7"/>
  <c r="AN28" i="7"/>
  <c r="AR28" i="7"/>
  <c r="AV28" i="7"/>
  <c r="AZ28" i="7"/>
  <c r="BD28" i="7"/>
  <c r="H75" i="7"/>
  <c r="H76" i="7"/>
  <c r="L74" i="7"/>
  <c r="P70" i="7"/>
  <c r="P92" i="7"/>
  <c r="P74" i="7"/>
  <c r="AB70" i="7"/>
  <c r="AB92" i="7"/>
  <c r="AB74" i="7"/>
  <c r="AN70" i="7"/>
  <c r="AN92" i="7"/>
  <c r="AN74" i="7"/>
  <c r="AR70" i="7"/>
  <c r="AR92" i="7"/>
  <c r="AV70" i="7"/>
  <c r="AV92" i="7"/>
  <c r="AZ70" i="7"/>
  <c r="AZ92" i="7"/>
  <c r="AZ74" i="7"/>
  <c r="H169" i="7"/>
  <c r="H168" i="7"/>
  <c r="H167" i="7"/>
  <c r="H166" i="7"/>
  <c r="H170" i="7"/>
  <c r="L168" i="7"/>
  <c r="P168" i="7"/>
  <c r="X168" i="7"/>
  <c r="AB168" i="7"/>
  <c r="AF168" i="7"/>
  <c r="AJ168" i="7"/>
  <c r="AR168" i="7"/>
  <c r="AV168" i="7"/>
  <c r="AZ168" i="7"/>
  <c r="BD168" i="7"/>
  <c r="J118" i="7"/>
  <c r="J140" i="7"/>
  <c r="N122" i="7"/>
  <c r="R118" i="7"/>
  <c r="R140" i="7"/>
  <c r="R122" i="7"/>
  <c r="V118" i="7"/>
  <c r="V140" i="7"/>
  <c r="V122" i="7"/>
  <c r="Z118" i="7"/>
  <c r="Z140" i="7"/>
  <c r="Z122" i="7"/>
  <c r="AD122" i="7"/>
  <c r="AH122" i="7"/>
  <c r="AL118" i="7"/>
  <c r="AL122" i="7"/>
  <c r="AP118" i="7"/>
  <c r="AP140" i="7"/>
  <c r="AP122" i="7"/>
  <c r="AT122" i="7"/>
  <c r="AX122" i="7"/>
  <c r="BB118" i="7"/>
  <c r="BB140" i="7"/>
  <c r="BB122" i="7"/>
  <c r="O262" i="7"/>
  <c r="AA262" i="7"/>
  <c r="AE262" i="7"/>
  <c r="AQ262" i="7"/>
  <c r="AU262" i="7"/>
  <c r="O216" i="7"/>
  <c r="W216" i="7"/>
  <c r="AE216" i="7"/>
  <c r="AM216" i="7"/>
  <c r="AU216" i="7"/>
  <c r="BC216" i="7"/>
  <c r="AJ216" i="7"/>
  <c r="AV216" i="7"/>
  <c r="I217" i="7"/>
  <c r="I215" i="7"/>
  <c r="I214" i="7"/>
  <c r="I220" i="7"/>
  <c r="Q216" i="7"/>
  <c r="Y216" i="7"/>
  <c r="AK216" i="7"/>
  <c r="AW216" i="7"/>
  <c r="BE216" i="7"/>
  <c r="Z258" i="7"/>
  <c r="Z280" i="7"/>
  <c r="AD258" i="7"/>
  <c r="AD280" i="7"/>
  <c r="AH258" i="7"/>
  <c r="AH280" i="7"/>
  <c r="AL258" i="7"/>
  <c r="AL280" i="7"/>
  <c r="K216" i="7"/>
  <c r="S216" i="7"/>
  <c r="AA216" i="7"/>
  <c r="AI216" i="7"/>
  <c r="AQ216" i="7"/>
  <c r="AY216" i="7"/>
  <c r="H218" i="7"/>
  <c r="AF216" i="7"/>
  <c r="AZ216" i="7"/>
  <c r="J216" i="7"/>
  <c r="N212" i="7"/>
  <c r="N234" i="7"/>
  <c r="N216" i="7"/>
  <c r="R216" i="7"/>
  <c r="V212" i="7"/>
  <c r="V234" i="7"/>
  <c r="V216" i="7"/>
  <c r="Z216" i="7"/>
  <c r="AD216" i="7"/>
  <c r="AH216" i="7"/>
  <c r="AL212" i="7"/>
  <c r="AL234" i="7"/>
  <c r="AL216" i="7"/>
  <c r="AP216" i="7"/>
  <c r="AT212" i="7"/>
  <c r="AT234" i="7"/>
  <c r="AT216" i="7"/>
  <c r="AX216" i="7"/>
  <c r="BB216" i="7"/>
  <c r="O258" i="7"/>
  <c r="O280" i="7"/>
  <c r="AM258" i="7"/>
  <c r="AM280" i="7"/>
  <c r="AU258" i="7"/>
  <c r="AU280" i="7"/>
  <c r="AE258" i="7"/>
  <c r="AE280" i="7"/>
  <c r="W258" i="7"/>
  <c r="W280" i="7"/>
  <c r="BC258" i="7"/>
  <c r="BC280" i="7"/>
  <c r="H258" i="7"/>
  <c r="H280" i="7"/>
  <c r="P258" i="7"/>
  <c r="P280" i="7"/>
  <c r="X258" i="7"/>
  <c r="X280" i="7"/>
  <c r="AF258" i="7"/>
  <c r="AF280" i="7"/>
  <c r="AN258" i="7"/>
  <c r="AN280" i="7"/>
  <c r="AV258" i="7"/>
  <c r="AV280" i="7"/>
  <c r="BD258" i="7"/>
  <c r="BD280" i="7"/>
  <c r="K258" i="7"/>
  <c r="K280" i="7"/>
  <c r="S258" i="7"/>
  <c r="S280" i="7"/>
  <c r="AA258" i="7"/>
  <c r="AA280" i="7"/>
  <c r="AI258" i="7"/>
  <c r="AI280" i="7"/>
  <c r="AQ258" i="7"/>
  <c r="AQ280" i="7"/>
  <c r="AY258" i="7"/>
  <c r="AY280" i="7"/>
  <c r="L258" i="7"/>
  <c r="L280" i="7"/>
  <c r="T258" i="7"/>
  <c r="T280" i="7"/>
  <c r="AB258" i="7"/>
  <c r="AB280" i="7"/>
  <c r="AJ258" i="7"/>
  <c r="AJ280" i="7"/>
  <c r="AR258" i="7"/>
  <c r="AR280" i="7"/>
  <c r="AZ258" i="7"/>
  <c r="AZ280" i="7"/>
  <c r="I258" i="7"/>
  <c r="I280" i="7"/>
  <c r="M258" i="7"/>
  <c r="M280" i="7"/>
  <c r="Q258" i="7"/>
  <c r="Q280" i="7"/>
  <c r="U258" i="7"/>
  <c r="U280" i="7"/>
  <c r="Y258" i="7"/>
  <c r="Y280" i="7"/>
  <c r="AC258" i="7"/>
  <c r="AC280" i="7"/>
  <c r="AG258" i="7"/>
  <c r="AG280" i="7"/>
  <c r="AK258" i="7"/>
  <c r="AK280" i="7"/>
  <c r="AO258" i="7"/>
  <c r="AO280" i="7"/>
  <c r="AS258" i="7"/>
  <c r="AS280" i="7"/>
  <c r="AW258" i="7"/>
  <c r="AW280" i="7"/>
  <c r="BA258" i="7"/>
  <c r="BA280" i="7"/>
  <c r="BE258" i="7"/>
  <c r="BE280" i="7"/>
  <c r="J258" i="7"/>
  <c r="J280" i="7"/>
  <c r="N258" i="7"/>
  <c r="R258" i="7"/>
  <c r="V258" i="7"/>
  <c r="V280" i="7"/>
  <c r="AP258" i="7"/>
  <c r="AP280" i="7"/>
  <c r="AT258" i="7"/>
  <c r="AX258" i="7"/>
  <c r="BB258" i="7"/>
  <c r="BB280" i="7"/>
  <c r="AA212" i="7"/>
  <c r="AA234" i="7"/>
  <c r="AY212" i="7"/>
  <c r="AY234" i="7"/>
  <c r="S212" i="7"/>
  <c r="S234" i="7"/>
  <c r="AI212" i="7"/>
  <c r="AI234" i="7"/>
  <c r="K212" i="7"/>
  <c r="K234" i="7"/>
  <c r="AQ212" i="7"/>
  <c r="AQ234" i="7"/>
  <c r="O212" i="7"/>
  <c r="O234" i="7"/>
  <c r="AE212" i="7"/>
  <c r="AE234" i="7"/>
  <c r="AU212" i="7"/>
  <c r="AU234" i="7"/>
  <c r="W212" i="7"/>
  <c r="W234" i="7"/>
  <c r="AM212" i="7"/>
  <c r="AM234" i="7"/>
  <c r="BC212" i="7"/>
  <c r="BC234" i="7"/>
  <c r="I212" i="7"/>
  <c r="I234" i="7"/>
  <c r="M212" i="7"/>
  <c r="M234" i="7"/>
  <c r="Q212" i="7"/>
  <c r="Q234" i="7"/>
  <c r="U212" i="7"/>
  <c r="U234" i="7"/>
  <c r="Y212" i="7"/>
  <c r="Y234" i="7"/>
  <c r="AC212" i="7"/>
  <c r="AC234" i="7"/>
  <c r="AG212" i="7"/>
  <c r="AG234" i="7"/>
  <c r="AK212" i="7"/>
  <c r="AK234" i="7"/>
  <c r="AO212" i="7"/>
  <c r="AO234" i="7"/>
  <c r="AS212" i="7"/>
  <c r="AS234" i="7"/>
  <c r="AW212" i="7"/>
  <c r="AW234" i="7"/>
  <c r="BA212" i="7"/>
  <c r="BA234" i="7"/>
  <c r="BE212" i="7"/>
  <c r="BE234" i="7"/>
  <c r="J212" i="7"/>
  <c r="J234" i="7"/>
  <c r="R212" i="7"/>
  <c r="R234" i="7"/>
  <c r="Z212" i="7"/>
  <c r="Z234" i="7"/>
  <c r="AH212" i="7"/>
  <c r="AH234" i="7"/>
  <c r="AP212" i="7"/>
  <c r="AP234" i="7"/>
  <c r="AX212" i="7"/>
  <c r="AX234" i="7"/>
  <c r="AD212" i="7"/>
  <c r="AD234" i="7"/>
  <c r="BB212" i="7"/>
  <c r="BB234" i="7"/>
  <c r="H212" i="7"/>
  <c r="H234" i="7"/>
  <c r="L212" i="7"/>
  <c r="L234" i="7"/>
  <c r="P212" i="7"/>
  <c r="P234" i="7"/>
  <c r="T212" i="7"/>
  <c r="T234" i="7"/>
  <c r="X212" i="7"/>
  <c r="X234" i="7"/>
  <c r="AB212" i="7"/>
  <c r="AB234" i="7"/>
  <c r="AF212" i="7"/>
  <c r="AF234" i="7"/>
  <c r="AJ212" i="7"/>
  <c r="AJ234" i="7"/>
  <c r="AN212" i="7"/>
  <c r="AN234" i="7"/>
  <c r="AR212" i="7"/>
  <c r="AR234" i="7"/>
  <c r="AV212" i="7"/>
  <c r="AV234" i="7"/>
  <c r="AZ212" i="7"/>
  <c r="AZ234" i="7"/>
  <c r="BD212" i="7"/>
  <c r="BD234" i="7"/>
  <c r="P236" i="7"/>
  <c r="J236" i="7"/>
  <c r="N236" i="7"/>
  <c r="R236" i="7"/>
  <c r="V236" i="7"/>
  <c r="Z236" i="7"/>
  <c r="AD236" i="7"/>
  <c r="AH236" i="7"/>
  <c r="AL236" i="7"/>
  <c r="AP236" i="7"/>
  <c r="AT236" i="7"/>
  <c r="AX236" i="7"/>
  <c r="BB236" i="7"/>
  <c r="K236" i="7"/>
  <c r="O236" i="7"/>
  <c r="S236" i="7"/>
  <c r="W236" i="7"/>
  <c r="AA236" i="7"/>
  <c r="AE236" i="7"/>
  <c r="AI236" i="7"/>
  <c r="AM236" i="7"/>
  <c r="AQ236" i="7"/>
  <c r="AU236" i="7"/>
  <c r="AY236" i="7"/>
  <c r="BC236" i="7"/>
  <c r="L236" i="7"/>
  <c r="T236" i="7"/>
  <c r="AB236" i="7"/>
  <c r="AJ236" i="7"/>
  <c r="AR236" i="7"/>
  <c r="AZ236" i="7"/>
  <c r="L164" i="7"/>
  <c r="L186" i="7"/>
  <c r="AB164" i="7"/>
  <c r="AB186" i="7"/>
  <c r="AE164" i="7"/>
  <c r="AE186" i="7"/>
  <c r="AU164" i="7"/>
  <c r="AU186" i="7"/>
  <c r="BC164" i="7"/>
  <c r="BC186" i="7"/>
  <c r="O164" i="7"/>
  <c r="O186" i="7"/>
  <c r="AM164" i="7"/>
  <c r="AM186" i="7"/>
  <c r="AH118" i="7"/>
  <c r="AH140" i="7"/>
  <c r="W164" i="7"/>
  <c r="W186" i="7"/>
  <c r="AR164" i="7"/>
  <c r="AR186" i="7"/>
  <c r="H164" i="7"/>
  <c r="H186" i="7"/>
  <c r="P164" i="7"/>
  <c r="P186" i="7"/>
  <c r="X164" i="7"/>
  <c r="X186" i="7"/>
  <c r="AF164" i="7"/>
  <c r="AF186" i="7"/>
  <c r="AN164" i="7"/>
  <c r="AN186" i="7"/>
  <c r="AV164" i="7"/>
  <c r="AV186" i="7"/>
  <c r="BD164" i="7"/>
  <c r="BD186" i="7"/>
  <c r="T164" i="7"/>
  <c r="T186" i="7"/>
  <c r="AJ164" i="7"/>
  <c r="AJ186" i="7"/>
  <c r="AZ164" i="7"/>
  <c r="AZ186" i="7"/>
  <c r="AX118" i="7"/>
  <c r="AX140" i="7"/>
  <c r="K164" i="7"/>
  <c r="K186" i="7"/>
  <c r="S164" i="7"/>
  <c r="S186" i="7"/>
  <c r="AA164" i="7"/>
  <c r="AA186" i="7"/>
  <c r="AI164" i="7"/>
  <c r="AI186" i="7"/>
  <c r="AQ164" i="7"/>
  <c r="AQ186" i="7"/>
  <c r="AY164" i="7"/>
  <c r="AY186" i="7"/>
  <c r="N164" i="7"/>
  <c r="N186" i="7"/>
  <c r="AD164" i="7"/>
  <c r="AD186" i="7"/>
  <c r="R164" i="7"/>
  <c r="AH164" i="7"/>
  <c r="AH186" i="7"/>
  <c r="I118" i="7"/>
  <c r="I140" i="7"/>
  <c r="Q118" i="7"/>
  <c r="Q140" i="7"/>
  <c r="U118" i="7"/>
  <c r="U140" i="7"/>
  <c r="Y118" i="7"/>
  <c r="Y140" i="7"/>
  <c r="AC118" i="7"/>
  <c r="AC140" i="7"/>
  <c r="AG118" i="7"/>
  <c r="AG140" i="7"/>
  <c r="AK118" i="7"/>
  <c r="AO118" i="7"/>
  <c r="AO140" i="7"/>
  <c r="AS118" i="7"/>
  <c r="AS140" i="7"/>
  <c r="AW118" i="7"/>
  <c r="AW140" i="7"/>
  <c r="BA118" i="7"/>
  <c r="BA140" i="7"/>
  <c r="BE118" i="7"/>
  <c r="BE140" i="7"/>
  <c r="J164" i="7"/>
  <c r="J186" i="7"/>
  <c r="V164" i="7"/>
  <c r="V186" i="7"/>
  <c r="Z164" i="7"/>
  <c r="Z186" i="7"/>
  <c r="AL164" i="7"/>
  <c r="AP164" i="7"/>
  <c r="AP186" i="7"/>
  <c r="AT164" i="7"/>
  <c r="AT186" i="7"/>
  <c r="AX164" i="7"/>
  <c r="AX186" i="7"/>
  <c r="BB164" i="7"/>
  <c r="BB186" i="7"/>
  <c r="I164" i="7"/>
  <c r="I186" i="7"/>
  <c r="M164" i="7"/>
  <c r="M186" i="7"/>
  <c r="Q164" i="7"/>
  <c r="Q186" i="7"/>
  <c r="U164" i="7"/>
  <c r="U186" i="7"/>
  <c r="Y164" i="7"/>
  <c r="Y186" i="7"/>
  <c r="AC164" i="7"/>
  <c r="AG164" i="7"/>
  <c r="AG186" i="7"/>
  <c r="AK164" i="7"/>
  <c r="AK186" i="7"/>
  <c r="AO164" i="7"/>
  <c r="AO186" i="7"/>
  <c r="AS164" i="7"/>
  <c r="AS186" i="7"/>
  <c r="AW164" i="7"/>
  <c r="AW186" i="7"/>
  <c r="BA164" i="7"/>
  <c r="BA186" i="7"/>
  <c r="BE164" i="7"/>
  <c r="BE186" i="7"/>
  <c r="AR118" i="7"/>
  <c r="AR140" i="7"/>
  <c r="AB118" i="7"/>
  <c r="AB140" i="7"/>
  <c r="AT118" i="7"/>
  <c r="AT140" i="7"/>
  <c r="AD118" i="7"/>
  <c r="O118" i="7"/>
  <c r="O140" i="7"/>
  <c r="L118" i="7"/>
  <c r="P118" i="7"/>
  <c r="P140" i="7"/>
  <c r="X118" i="7"/>
  <c r="X140" i="7"/>
  <c r="AI118" i="7"/>
  <c r="AI140" i="7"/>
  <c r="AN118" i="7"/>
  <c r="AN140" i="7"/>
  <c r="AY118" i="7"/>
  <c r="AY140" i="7"/>
  <c r="BD118" i="7"/>
  <c r="BD140" i="7"/>
  <c r="M118" i="7"/>
  <c r="AE118" i="7"/>
  <c r="AE140" i="7"/>
  <c r="AJ118" i="7"/>
  <c r="AJ140" i="7"/>
  <c r="AU118" i="7"/>
  <c r="AZ118" i="7"/>
  <c r="AZ140" i="7"/>
  <c r="K118" i="7"/>
  <c r="K140" i="7"/>
  <c r="S118" i="7"/>
  <c r="S140" i="7"/>
  <c r="W118" i="7"/>
  <c r="W140" i="7"/>
  <c r="AM118" i="7"/>
  <c r="BC118" i="7"/>
  <c r="BC140" i="7"/>
  <c r="H118" i="7"/>
  <c r="H140" i="7"/>
  <c r="T118" i="7"/>
  <c r="T140" i="7"/>
  <c r="N118" i="7"/>
  <c r="N140" i="7"/>
  <c r="AA118" i="7"/>
  <c r="AA140" i="7"/>
  <c r="AQ118" i="7"/>
  <c r="AQ140" i="7"/>
  <c r="BB660" i="7"/>
  <c r="AG659" i="7"/>
  <c r="BD70" i="7"/>
  <c r="BD92" i="7"/>
  <c r="T70" i="7"/>
  <c r="T92" i="7"/>
  <c r="AJ70" i="7"/>
  <c r="AJ92" i="7"/>
  <c r="L70" i="7"/>
  <c r="L92" i="7"/>
  <c r="Z70" i="7"/>
  <c r="Z92" i="7"/>
  <c r="N70" i="7"/>
  <c r="N92" i="7"/>
  <c r="V70" i="7"/>
  <c r="V92" i="7"/>
  <c r="X70" i="7"/>
  <c r="X92" i="7"/>
  <c r="H70" i="7"/>
  <c r="H92" i="7"/>
  <c r="K70" i="7"/>
  <c r="K92" i="7"/>
  <c r="O70" i="7"/>
  <c r="O92" i="7"/>
  <c r="S70" i="7"/>
  <c r="S92" i="7"/>
  <c r="AU70" i="7"/>
  <c r="M70" i="7"/>
  <c r="U70" i="7"/>
  <c r="U92" i="7"/>
  <c r="Y70" i="7"/>
  <c r="Y92" i="7"/>
  <c r="AC70" i="7"/>
  <c r="AC92" i="7"/>
  <c r="AK70" i="7"/>
  <c r="AO70" i="7"/>
  <c r="AO92" i="7"/>
  <c r="AS70" i="7"/>
  <c r="AS92" i="7"/>
  <c r="BA70" i="7"/>
  <c r="BA92" i="7"/>
  <c r="BE70" i="7"/>
  <c r="BE92" i="7"/>
  <c r="AM70" i="7"/>
  <c r="AM92" i="7"/>
  <c r="Q70" i="7"/>
  <c r="Q92" i="7"/>
  <c r="BC70" i="7"/>
  <c r="BC92" i="7"/>
  <c r="AA70" i="7"/>
  <c r="AA92" i="7"/>
  <c r="AE70" i="7"/>
  <c r="AI70" i="7"/>
  <c r="AI92" i="7"/>
  <c r="AQ70" i="7"/>
  <c r="AY70" i="7"/>
  <c r="AY92" i="7"/>
  <c r="W70" i="7"/>
  <c r="W92" i="7"/>
  <c r="AW70" i="7"/>
  <c r="AY485" i="7"/>
  <c r="AF70" i="7"/>
  <c r="AF92" i="7"/>
  <c r="AD70" i="7"/>
  <c r="AD92" i="7"/>
  <c r="AT70" i="7"/>
  <c r="AT92" i="7"/>
  <c r="AE659" i="7"/>
  <c r="AE226" i="7"/>
  <c r="AV316" i="7"/>
  <c r="AA316" i="7"/>
  <c r="BB358" i="7"/>
  <c r="AX358" i="7"/>
  <c r="AP358" i="7"/>
  <c r="AL358" i="7"/>
  <c r="AH358" i="7"/>
  <c r="AD358" i="7"/>
  <c r="V358" i="7"/>
  <c r="BE358" i="7"/>
  <c r="AW358" i="7"/>
  <c r="AS358" i="7"/>
  <c r="AO358" i="7"/>
  <c r="AG358" i="7"/>
  <c r="Y358" i="7"/>
  <c r="BD358" i="7"/>
  <c r="AV358" i="7"/>
  <c r="X358" i="7"/>
  <c r="AQ358" i="7"/>
  <c r="AI358" i="7"/>
  <c r="AE358" i="7"/>
  <c r="BB540" i="7"/>
  <c r="AB358" i="7"/>
  <c r="BA316" i="7"/>
  <c r="AS316" i="7"/>
  <c r="AO316" i="7"/>
  <c r="AK316" i="7"/>
  <c r="Y316" i="7"/>
  <c r="U316" i="7"/>
  <c r="AZ316" i="7"/>
  <c r="AU316" i="7"/>
  <c r="AE316" i="7"/>
  <c r="Z316" i="7"/>
  <c r="AT316" i="7"/>
  <c r="AF316" i="7"/>
  <c r="X316" i="7"/>
  <c r="AQ316" i="7"/>
  <c r="W316" i="7"/>
  <c r="AR659" i="7"/>
  <c r="BC316" i="7"/>
  <c r="AW581" i="7"/>
  <c r="AW178" i="7"/>
  <c r="BD527" i="7"/>
  <c r="AM539" i="7"/>
  <c r="AO581" i="7"/>
  <c r="AO178" i="7"/>
  <c r="AH618" i="7"/>
  <c r="AY638" i="7"/>
  <c r="AY225" i="7"/>
  <c r="W659" i="7"/>
  <c r="AU659" i="7"/>
  <c r="AU226" i="7"/>
  <c r="AH527" i="7"/>
  <c r="BB736" i="7"/>
  <c r="BB272" i="7"/>
  <c r="AR737" i="7"/>
  <c r="AR743" i="7"/>
  <c r="AH540" i="7"/>
  <c r="AH546" i="7"/>
  <c r="AG581" i="7"/>
  <c r="AJ659" i="7"/>
  <c r="AJ660" i="7"/>
  <c r="AJ661" i="7"/>
  <c r="AJ226" i="7"/>
  <c r="AN660" i="7"/>
  <c r="AT695" i="7"/>
  <c r="AT701" i="7"/>
  <c r="BD695" i="7"/>
  <c r="BA694" i="7"/>
  <c r="BA270" i="7"/>
  <c r="BE695" i="7"/>
  <c r="BE701" i="7"/>
  <c r="AI694" i="7"/>
  <c r="AI270" i="7"/>
  <c r="AL695" i="7"/>
  <c r="AL694" i="7"/>
  <c r="AL696" i="7"/>
  <c r="AR694" i="7"/>
  <c r="AR695" i="7"/>
  <c r="AR696" i="7"/>
  <c r="AR270" i="7"/>
  <c r="X694" i="7"/>
  <c r="X270" i="7"/>
  <c r="AB694" i="7"/>
  <c r="AB270" i="7"/>
  <c r="AK694" i="7"/>
  <c r="AS694" i="7"/>
  <c r="AS270" i="7"/>
  <c r="BD694" i="7"/>
  <c r="BD270" i="7"/>
  <c r="AD695" i="7"/>
  <c r="AD701" i="7"/>
  <c r="AM695" i="7"/>
  <c r="AX695" i="7"/>
  <c r="AX701" i="7"/>
  <c r="AG540" i="7"/>
  <c r="AG546" i="7"/>
  <c r="BE581" i="7"/>
  <c r="AC694" i="7"/>
  <c r="AM694" i="7"/>
  <c r="AM270" i="7"/>
  <c r="AW694" i="7"/>
  <c r="AW270" i="7"/>
  <c r="W695" i="7"/>
  <c r="AG695" i="7"/>
  <c r="AG701" i="7"/>
  <c r="AQ695" i="7"/>
  <c r="AY695" i="7"/>
  <c r="AY701" i="7"/>
  <c r="Y736" i="7"/>
  <c r="W737" i="7"/>
  <c r="W743" i="7"/>
  <c r="AB681" i="7"/>
  <c r="AB682" i="7"/>
  <c r="W694" i="7"/>
  <c r="W270" i="7"/>
  <c r="AF694" i="7"/>
  <c r="AF270" i="7"/>
  <c r="AQ694" i="7"/>
  <c r="AQ270" i="7"/>
  <c r="AY694" i="7"/>
  <c r="Y695" i="7"/>
  <c r="Y701" i="7"/>
  <c r="AI695" i="7"/>
  <c r="AS695" i="7"/>
  <c r="BB695" i="7"/>
  <c r="AO736" i="7"/>
  <c r="AO272" i="7"/>
  <c r="AN737" i="7"/>
  <c r="AN743" i="7"/>
  <c r="AR758" i="7"/>
  <c r="AR759" i="7"/>
  <c r="V582" i="7"/>
  <c r="V588" i="7"/>
  <c r="AR581" i="7"/>
  <c r="AR178" i="7"/>
  <c r="AU582" i="7"/>
  <c r="L758" i="7"/>
  <c r="AS527" i="7"/>
  <c r="AS135" i="7"/>
  <c r="AW539" i="7"/>
  <c r="AW176" i="7"/>
  <c r="BC540" i="7"/>
  <c r="BC546" i="7"/>
  <c r="U581" i="7"/>
  <c r="AK581" i="7"/>
  <c r="AK178" i="7"/>
  <c r="AS581" i="7"/>
  <c r="AS178" i="7"/>
  <c r="BA581" i="7"/>
  <c r="BA178" i="7"/>
  <c r="AJ582" i="7"/>
  <c r="AZ582" i="7"/>
  <c r="AZ588" i="7"/>
  <c r="J527" i="7"/>
  <c r="Y659" i="7"/>
  <c r="AO659" i="7"/>
  <c r="AO226" i="7"/>
  <c r="AD660" i="7"/>
  <c r="AD666" i="7"/>
  <c r="AA694" i="7"/>
  <c r="AA270" i="7"/>
  <c r="AG694" i="7"/>
  <c r="AG270" i="7"/>
  <c r="AN694" i="7"/>
  <c r="AV694" i="7"/>
  <c r="AV270" i="7"/>
  <c r="BC694" i="7"/>
  <c r="AA695" i="7"/>
  <c r="AA701" i="7"/>
  <c r="AH695" i="7"/>
  <c r="AH701" i="7"/>
  <c r="AO695" i="7"/>
  <c r="AO701" i="7"/>
  <c r="AW695" i="7"/>
  <c r="BC695" i="7"/>
  <c r="BC701" i="7"/>
  <c r="AL736" i="7"/>
  <c r="AL737" i="7"/>
  <c r="AL738" i="7"/>
  <c r="AL272" i="7"/>
  <c r="AB758" i="7"/>
  <c r="AB275" i="7"/>
  <c r="AB284" i="7"/>
  <c r="AN527" i="7"/>
  <c r="AJ581" i="7"/>
  <c r="AJ178" i="7"/>
  <c r="AZ581" i="7"/>
  <c r="AZ178" i="7"/>
  <c r="AE582" i="7"/>
  <c r="AE588" i="7"/>
  <c r="AI639" i="7"/>
  <c r="AI645" i="7"/>
  <c r="AN484" i="7"/>
  <c r="AN131" i="7"/>
  <c r="AC527" i="7"/>
  <c r="AC581" i="7"/>
  <c r="AC178" i="7"/>
  <c r="AN581" i="7"/>
  <c r="AN178" i="7"/>
  <c r="AV581" i="7"/>
  <c r="BD581" i="7"/>
  <c r="BD178" i="7"/>
  <c r="AM582" i="7"/>
  <c r="AM588" i="7"/>
  <c r="AQ617" i="7"/>
  <c r="AQ224" i="7"/>
  <c r="AP715" i="7"/>
  <c r="AK464" i="7"/>
  <c r="AK470" i="7"/>
  <c r="AR463" i="7"/>
  <c r="AR130" i="7"/>
  <c r="AD449" i="7"/>
  <c r="AD450" i="7"/>
  <c r="AD87" i="7"/>
  <c r="AD96" i="7"/>
  <c r="W617" i="7"/>
  <c r="W224" i="7"/>
  <c r="AW617" i="7"/>
  <c r="AO618" i="7"/>
  <c r="AO624" i="7"/>
  <c r="AB617" i="7"/>
  <c r="AB224" i="7"/>
  <c r="BD617" i="7"/>
  <c r="BD224" i="7"/>
  <c r="AS449" i="7"/>
  <c r="BA449" i="7"/>
  <c r="BA87" i="7"/>
  <c r="BA96" i="7"/>
  <c r="AT449" i="7"/>
  <c r="AT87" i="7"/>
  <c r="AT96" i="7"/>
  <c r="AW618" i="7"/>
  <c r="AW624" i="7"/>
  <c r="BD618" i="7"/>
  <c r="BD624" i="7"/>
  <c r="AT618" i="7"/>
  <c r="AT624" i="7"/>
  <c r="AM618" i="7"/>
  <c r="AM624" i="7"/>
  <c r="AE618" i="7"/>
  <c r="AE624" i="7"/>
  <c r="Y618" i="7"/>
  <c r="Y624" i="7"/>
  <c r="BC617" i="7"/>
  <c r="BC224" i="7"/>
  <c r="AV617" i="7"/>
  <c r="AN617" i="7"/>
  <c r="AN224" i="7"/>
  <c r="AG617" i="7"/>
  <c r="AA617" i="7"/>
  <c r="AC617" i="7"/>
  <c r="AC224" i="7"/>
  <c r="AZ618" i="7"/>
  <c r="AZ617" i="7"/>
  <c r="AZ619" i="7"/>
  <c r="AZ624" i="7"/>
  <c r="AS618" i="7"/>
  <c r="AS624" i="7"/>
  <c r="AK618" i="7"/>
  <c r="AK624" i="7"/>
  <c r="AD618" i="7"/>
  <c r="AD624" i="7"/>
  <c r="W618" i="7"/>
  <c r="W619" i="7"/>
  <c r="W624" i="7"/>
  <c r="BA617" i="7"/>
  <c r="BA224" i="7"/>
  <c r="AS617" i="7"/>
  <c r="AM617" i="7"/>
  <c r="AM224" i="7"/>
  <c r="AF617" i="7"/>
  <c r="AF224" i="7"/>
  <c r="X617" i="7"/>
  <c r="X224" i="7"/>
  <c r="AX618" i="7"/>
  <c r="AX624" i="7"/>
  <c r="AP618" i="7"/>
  <c r="AP624" i="7"/>
  <c r="AI618" i="7"/>
  <c r="AI624" i="7"/>
  <c r="AC618" i="7"/>
  <c r="AY617" i="7"/>
  <c r="AR617" i="7"/>
  <c r="AR224" i="7"/>
  <c r="AK617" i="7"/>
  <c r="AI617" i="7"/>
  <c r="Z618" i="7"/>
  <c r="Z624" i="7"/>
  <c r="BA639" i="7"/>
  <c r="BA645" i="7"/>
  <c r="AY639" i="7"/>
  <c r="AY645" i="7"/>
  <c r="AE639" i="7"/>
  <c r="AQ638" i="7"/>
  <c r="AQ225" i="7"/>
  <c r="W638" i="7"/>
  <c r="W225" i="7"/>
  <c r="AU639" i="7"/>
  <c r="AA639" i="7"/>
  <c r="AA645" i="7"/>
  <c r="AM638" i="7"/>
  <c r="AM225" i="7"/>
  <c r="AQ639" i="7"/>
  <c r="AQ645" i="7"/>
  <c r="BC638" i="7"/>
  <c r="BC225" i="7"/>
  <c r="AI638" i="7"/>
  <c r="AI716" i="7"/>
  <c r="AI722" i="7"/>
  <c r="AF715" i="7"/>
  <c r="AF271" i="7"/>
  <c r="X716" i="7"/>
  <c r="X715" i="7"/>
  <c r="X271" i="7"/>
  <c r="BD716" i="7"/>
  <c r="BD722" i="7"/>
  <c r="BA715" i="7"/>
  <c r="BA271" i="7"/>
  <c r="M758" i="7"/>
  <c r="AC758" i="7"/>
  <c r="AC759" i="7"/>
  <c r="AS758" i="7"/>
  <c r="AS275" i="7"/>
  <c r="AS284" i="7"/>
  <c r="AN539" i="7"/>
  <c r="AN176" i="7"/>
  <c r="AQ540" i="7"/>
  <c r="AB659" i="7"/>
  <c r="AM659" i="7"/>
  <c r="AM226" i="7"/>
  <c r="AW659" i="7"/>
  <c r="AW226" i="7"/>
  <c r="AZ660" i="7"/>
  <c r="Y694" i="7"/>
  <c r="Y270" i="7"/>
  <c r="AE694" i="7"/>
  <c r="AJ694" i="7"/>
  <c r="AJ270" i="7"/>
  <c r="AO694" i="7"/>
  <c r="AU694" i="7"/>
  <c r="AU695" i="7"/>
  <c r="AU696" i="7"/>
  <c r="AU270" i="7"/>
  <c r="AZ694" i="7"/>
  <c r="AZ270" i="7"/>
  <c r="BE694" i="7"/>
  <c r="BE270" i="7"/>
  <c r="Z695" i="7"/>
  <c r="Z701" i="7"/>
  <c r="AE695" i="7"/>
  <c r="AE701" i="7"/>
  <c r="AK695" i="7"/>
  <c r="AP695" i="7"/>
  <c r="AP701" i="7"/>
  <c r="AU701" i="7"/>
  <c r="BA695" i="7"/>
  <c r="BA701" i="7"/>
  <c r="AD736" i="7"/>
  <c r="AD272" i="7"/>
  <c r="AT736" i="7"/>
  <c r="AT272" i="7"/>
  <c r="AC737" i="7"/>
  <c r="AC743" i="7"/>
  <c r="AY737" i="7"/>
  <c r="AY743" i="7"/>
  <c r="T758" i="7"/>
  <c r="AJ758" i="7"/>
  <c r="AZ758" i="7"/>
  <c r="AZ275" i="7"/>
  <c r="J681" i="7"/>
  <c r="J682" i="7"/>
  <c r="AG736" i="7"/>
  <c r="AG272" i="7"/>
  <c r="AW736" i="7"/>
  <c r="AW272" i="7"/>
  <c r="AG737" i="7"/>
  <c r="BC737" i="7"/>
  <c r="BC743" i="7"/>
  <c r="U758" i="7"/>
  <c r="AK758" i="7"/>
  <c r="AK275" i="7"/>
  <c r="AK284" i="7"/>
  <c r="BA758" i="7"/>
  <c r="BE464" i="7"/>
  <c r="BE470" i="7"/>
  <c r="BA464" i="7"/>
  <c r="BA470" i="7"/>
  <c r="AQ464" i="7"/>
  <c r="AQ470" i="7"/>
  <c r="AG464" i="7"/>
  <c r="AG470" i="7"/>
  <c r="AZ463" i="7"/>
  <c r="AZ130" i="7"/>
  <c r="AQ463" i="7"/>
  <c r="AQ130" i="7"/>
  <c r="AU464" i="7"/>
  <c r="AU470" i="7"/>
  <c r="BE463" i="7"/>
  <c r="AK463" i="7"/>
  <c r="AK130" i="7"/>
  <c r="AX464" i="7"/>
  <c r="AX470" i="7"/>
  <c r="AM464" i="7"/>
  <c r="AM470" i="7"/>
  <c r="AW463" i="7"/>
  <c r="AM463" i="7"/>
  <c r="AM130" i="7"/>
  <c r="AL464" i="7"/>
  <c r="AU463" i="7"/>
  <c r="AU465" i="7"/>
  <c r="AU130" i="7"/>
  <c r="BA463" i="7"/>
  <c r="AJ463" i="7"/>
  <c r="AJ130" i="7"/>
  <c r="AS464" i="7"/>
  <c r="BE716" i="7"/>
  <c r="BE722" i="7"/>
  <c r="BA716" i="7"/>
  <c r="BA722" i="7"/>
  <c r="AW716" i="7"/>
  <c r="AW722" i="7"/>
  <c r="AS716" i="7"/>
  <c r="AS722" i="7"/>
  <c r="AO716" i="7"/>
  <c r="AO722" i="7"/>
  <c r="AK716" i="7"/>
  <c r="AK722" i="7"/>
  <c r="AG716" i="7"/>
  <c r="AG722" i="7"/>
  <c r="AC716" i="7"/>
  <c r="AC722" i="7"/>
  <c r="Y716" i="7"/>
  <c r="Y722" i="7"/>
  <c r="BC715" i="7"/>
  <c r="AY715" i="7"/>
  <c r="AY271" i="7"/>
  <c r="AU715" i="7"/>
  <c r="AU271" i="7"/>
  <c r="AQ715" i="7"/>
  <c r="AQ271" i="7"/>
  <c r="AM715" i="7"/>
  <c r="AM271" i="7"/>
  <c r="AI715" i="7"/>
  <c r="AI271" i="7"/>
  <c r="AE715" i="7"/>
  <c r="AE271" i="7"/>
  <c r="AA715" i="7"/>
  <c r="AA271" i="7"/>
  <c r="W715" i="7"/>
  <c r="W271" i="7"/>
  <c r="BB716" i="7"/>
  <c r="BB722" i="7"/>
  <c r="AV716" i="7"/>
  <c r="AV722" i="7"/>
  <c r="AQ716" i="7"/>
  <c r="AQ722" i="7"/>
  <c r="AL716" i="7"/>
  <c r="AL722" i="7"/>
  <c r="AF716" i="7"/>
  <c r="AF722" i="7"/>
  <c r="AA716" i="7"/>
  <c r="AA722" i="7"/>
  <c r="BD715" i="7"/>
  <c r="BD271" i="7"/>
  <c r="AX715" i="7"/>
  <c r="AS715" i="7"/>
  <c r="AS271" i="7"/>
  <c r="AN715" i="7"/>
  <c r="AH715" i="7"/>
  <c r="AH271" i="7"/>
  <c r="AC715" i="7"/>
  <c r="AC271" i="7"/>
  <c r="AZ716" i="7"/>
  <c r="AZ722" i="7"/>
  <c r="AU716" i="7"/>
  <c r="AU722" i="7"/>
  <c r="AP716" i="7"/>
  <c r="AP722" i="7"/>
  <c r="AJ716" i="7"/>
  <c r="AJ722" i="7"/>
  <c r="AE716" i="7"/>
  <c r="AE722" i="7"/>
  <c r="Z716" i="7"/>
  <c r="Z722" i="7"/>
  <c r="BB715" i="7"/>
  <c r="AW715" i="7"/>
  <c r="AW271" i="7"/>
  <c r="AR715" i="7"/>
  <c r="AR271" i="7"/>
  <c r="AL715" i="7"/>
  <c r="AG715" i="7"/>
  <c r="AG271" i="7"/>
  <c r="AB715" i="7"/>
  <c r="AB271" i="7"/>
  <c r="Y715" i="7"/>
  <c r="AT715" i="7"/>
  <c r="AT271" i="7"/>
  <c r="AM716" i="7"/>
  <c r="AM722" i="7"/>
  <c r="AL449" i="7"/>
  <c r="AL87" i="7"/>
  <c r="AL96" i="7"/>
  <c r="BB449" i="7"/>
  <c r="BB87" i="7"/>
  <c r="BB96" i="7"/>
  <c r="BD540" i="7"/>
  <c r="BD546" i="7"/>
  <c r="AY539" i="7"/>
  <c r="AY540" i="7"/>
  <c r="AY541" i="7"/>
  <c r="AY176" i="7"/>
  <c r="Y617" i="7"/>
  <c r="Y224" i="7"/>
  <c r="AE617" i="7"/>
  <c r="AE224" i="7"/>
  <c r="AJ617" i="7"/>
  <c r="AJ224" i="7"/>
  <c r="AO617" i="7"/>
  <c r="AU617" i="7"/>
  <c r="AU224" i="7"/>
  <c r="AZ224" i="7"/>
  <c r="BE617" i="7"/>
  <c r="BE224" i="7"/>
  <c r="AA618" i="7"/>
  <c r="AA624" i="7"/>
  <c r="AG618" i="7"/>
  <c r="AG624" i="7"/>
  <c r="AL618" i="7"/>
  <c r="AL624" i="7"/>
  <c r="AQ618" i="7"/>
  <c r="AQ619" i="7"/>
  <c r="AE638" i="7"/>
  <c r="AE225" i="7"/>
  <c r="AU638" i="7"/>
  <c r="AU225" i="7"/>
  <c r="W639" i="7"/>
  <c r="W645" i="7"/>
  <c r="AM639" i="7"/>
  <c r="AM645" i="7"/>
  <c r="BC639" i="7"/>
  <c r="BC645" i="7"/>
  <c r="Z715" i="7"/>
  <c r="Z271" i="7"/>
  <c r="AK715" i="7"/>
  <c r="AK271" i="7"/>
  <c r="AV715" i="7"/>
  <c r="AV271" i="7"/>
  <c r="AD716" i="7"/>
  <c r="AD722" i="7"/>
  <c r="AN716" i="7"/>
  <c r="AN722" i="7"/>
  <c r="AY716" i="7"/>
  <c r="AY722" i="7"/>
  <c r="AJ715" i="7"/>
  <c r="AJ271" i="7"/>
  <c r="BE715" i="7"/>
  <c r="BE271" i="7"/>
  <c r="AB716" i="7"/>
  <c r="AB722" i="7"/>
  <c r="AX716" i="7"/>
  <c r="AX722" i="7"/>
  <c r="AC449" i="7"/>
  <c r="AC87" i="7"/>
  <c r="AC96" i="7"/>
  <c r="AD715" i="7"/>
  <c r="AD271" i="7"/>
  <c r="AO715" i="7"/>
  <c r="AO271" i="7"/>
  <c r="AZ715" i="7"/>
  <c r="AZ271" i="7"/>
  <c r="W716" i="7"/>
  <c r="W722" i="7"/>
  <c r="AH716" i="7"/>
  <c r="AH722" i="7"/>
  <c r="AR716" i="7"/>
  <c r="AR722" i="7"/>
  <c r="BC716" i="7"/>
  <c r="BC722" i="7"/>
  <c r="Z694" i="7"/>
  <c r="AD694" i="7"/>
  <c r="AD270" i="7"/>
  <c r="AH694" i="7"/>
  <c r="AL270" i="7"/>
  <c r="AP694" i="7"/>
  <c r="AP270" i="7"/>
  <c r="AT694" i="7"/>
  <c r="AT270" i="7"/>
  <c r="AX694" i="7"/>
  <c r="AX270" i="7"/>
  <c r="BB694" i="7"/>
  <c r="BB270" i="7"/>
  <c r="X695" i="7"/>
  <c r="X701" i="7"/>
  <c r="AB695" i="7"/>
  <c r="AB701" i="7"/>
  <c r="AF695" i="7"/>
  <c r="AF701" i="7"/>
  <c r="AJ695" i="7"/>
  <c r="AN695" i="7"/>
  <c r="AN701" i="7"/>
  <c r="AV695" i="7"/>
  <c r="AV701" i="7"/>
  <c r="AZ695" i="7"/>
  <c r="AZ701" i="7"/>
  <c r="Z736" i="7"/>
  <c r="Z272" i="7"/>
  <c r="AH736" i="7"/>
  <c r="AH272" i="7"/>
  <c r="AP736" i="7"/>
  <c r="AP272" i="7"/>
  <c r="AX736" i="7"/>
  <c r="AX272" i="7"/>
  <c r="X737" i="7"/>
  <c r="X743" i="7"/>
  <c r="AI737" i="7"/>
  <c r="AI743" i="7"/>
  <c r="AS737" i="7"/>
  <c r="AS743" i="7"/>
  <c r="BB737" i="7"/>
  <c r="BB743" i="7"/>
  <c r="AX737" i="7"/>
  <c r="AX743" i="7"/>
  <c r="AT737" i="7"/>
  <c r="AT743" i="7"/>
  <c r="AP737" i="7"/>
  <c r="AP743" i="7"/>
  <c r="AL743" i="7"/>
  <c r="AH737" i="7"/>
  <c r="AH743" i="7"/>
  <c r="AD737" i="7"/>
  <c r="AD743" i="7"/>
  <c r="Z737" i="7"/>
  <c r="Z743" i="7"/>
  <c r="BA737" i="7"/>
  <c r="BA743" i="7"/>
  <c r="AV737" i="7"/>
  <c r="AV743" i="7"/>
  <c r="AQ737" i="7"/>
  <c r="AQ743" i="7"/>
  <c r="AK737" i="7"/>
  <c r="AK743" i="7"/>
  <c r="AF737" i="7"/>
  <c r="AF743" i="7"/>
  <c r="AA737" i="7"/>
  <c r="BD736" i="7"/>
  <c r="BD272" i="7"/>
  <c r="AZ736" i="7"/>
  <c r="AZ272" i="7"/>
  <c r="AV736" i="7"/>
  <c r="AV272" i="7"/>
  <c r="AR736" i="7"/>
  <c r="AR272" i="7"/>
  <c r="AN736" i="7"/>
  <c r="AN272" i="7"/>
  <c r="AJ736" i="7"/>
  <c r="AJ737" i="7"/>
  <c r="AJ738" i="7"/>
  <c r="AJ272" i="7"/>
  <c r="AF736" i="7"/>
  <c r="AB736" i="7"/>
  <c r="AB272" i="7"/>
  <c r="X736" i="7"/>
  <c r="BE737" i="7"/>
  <c r="BE743" i="7"/>
  <c r="AZ737" i="7"/>
  <c r="AZ743" i="7"/>
  <c r="AU737" i="7"/>
  <c r="AU743" i="7"/>
  <c r="AO737" i="7"/>
  <c r="AO743" i="7"/>
  <c r="AJ743" i="7"/>
  <c r="AE737" i="7"/>
  <c r="AE743" i="7"/>
  <c r="Y737" i="7"/>
  <c r="Y743" i="7"/>
  <c r="BC736" i="7"/>
  <c r="AY736" i="7"/>
  <c r="AY272" i="7"/>
  <c r="AU736" i="7"/>
  <c r="AU272" i="7"/>
  <c r="AQ736" i="7"/>
  <c r="AM736" i="7"/>
  <c r="AI736" i="7"/>
  <c r="AI272" i="7"/>
  <c r="AE736" i="7"/>
  <c r="AA736" i="7"/>
  <c r="AA272" i="7"/>
  <c r="W736" i="7"/>
  <c r="W738" i="7"/>
  <c r="W272" i="7"/>
  <c r="AC736" i="7"/>
  <c r="AC272" i="7"/>
  <c r="AK736" i="7"/>
  <c r="AK272" i="7"/>
  <c r="AS736" i="7"/>
  <c r="AS272" i="7"/>
  <c r="BA736" i="7"/>
  <c r="AB737" i="7"/>
  <c r="AB743" i="7"/>
  <c r="AM737" i="7"/>
  <c r="AM743" i="7"/>
  <c r="AW737" i="7"/>
  <c r="AW743" i="7"/>
  <c r="P758" i="7"/>
  <c r="X758" i="7"/>
  <c r="AF758" i="7"/>
  <c r="AF275" i="7"/>
  <c r="AF284" i="7"/>
  <c r="AN758" i="7"/>
  <c r="AV758" i="7"/>
  <c r="BC758" i="7"/>
  <c r="BC759" i="7"/>
  <c r="AY758" i="7"/>
  <c r="AU758" i="7"/>
  <c r="AU275" i="7"/>
  <c r="AU284" i="7"/>
  <c r="AQ758" i="7"/>
  <c r="AM758" i="7"/>
  <c r="AI758" i="7"/>
  <c r="AI759" i="7"/>
  <c r="AE758" i="7"/>
  <c r="AA758" i="7"/>
  <c r="AA759" i="7"/>
  <c r="W758" i="7"/>
  <c r="S758" i="7"/>
  <c r="S275" i="7"/>
  <c r="O758" i="7"/>
  <c r="O759" i="7"/>
  <c r="K758" i="7"/>
  <c r="BB758" i="7"/>
  <c r="BB275" i="7"/>
  <c r="BB284" i="7"/>
  <c r="AX758" i="7"/>
  <c r="AT758" i="7"/>
  <c r="AP758" i="7"/>
  <c r="AP275" i="7"/>
  <c r="AP284" i="7"/>
  <c r="AL758" i="7"/>
  <c r="AL275" i="7"/>
  <c r="AL284" i="7"/>
  <c r="AH758" i="7"/>
  <c r="AH275" i="7"/>
  <c r="AH284" i="7"/>
  <c r="AD758" i="7"/>
  <c r="AD275" i="7"/>
  <c r="AD284" i="7"/>
  <c r="Z758" i="7"/>
  <c r="V758" i="7"/>
  <c r="V759" i="7"/>
  <c r="R758" i="7"/>
  <c r="N758" i="7"/>
  <c r="J758" i="7"/>
  <c r="J759" i="7"/>
  <c r="I758" i="7"/>
  <c r="I275" i="7"/>
  <c r="Q758" i="7"/>
  <c r="Y758" i="7"/>
  <c r="Y275" i="7"/>
  <c r="Y284" i="7"/>
  <c r="AG758" i="7"/>
  <c r="AO758" i="7"/>
  <c r="AW758" i="7"/>
  <c r="AW275" i="7"/>
  <c r="AW284" i="7"/>
  <c r="BE758" i="7"/>
  <c r="BE759" i="7"/>
  <c r="N681" i="7"/>
  <c r="N229" i="7"/>
  <c r="N238" i="7"/>
  <c r="AZ659" i="7"/>
  <c r="BE659" i="7"/>
  <c r="X660" i="7"/>
  <c r="X666" i="7"/>
  <c r="AJ666" i="7"/>
  <c r="AT660" i="7"/>
  <c r="BD660" i="7"/>
  <c r="BD666" i="7"/>
  <c r="AA659" i="7"/>
  <c r="AF659" i="7"/>
  <c r="AF660" i="7"/>
  <c r="AF661" i="7"/>
  <c r="AK659" i="7"/>
  <c r="AK226" i="7"/>
  <c r="AQ659" i="7"/>
  <c r="AQ226" i="7"/>
  <c r="AV659" i="7"/>
  <c r="BA659" i="7"/>
  <c r="BA226" i="7"/>
  <c r="AB660" i="7"/>
  <c r="AB666" i="7"/>
  <c r="AL660" i="7"/>
  <c r="AL666" i="7"/>
  <c r="AV660" i="7"/>
  <c r="X659" i="7"/>
  <c r="X226" i="7"/>
  <c r="AC659" i="7"/>
  <c r="AI659" i="7"/>
  <c r="AI226" i="7"/>
  <c r="AN659" i="7"/>
  <c r="AN226" i="7"/>
  <c r="AS659" i="7"/>
  <c r="AY659" i="7"/>
  <c r="AY226" i="7"/>
  <c r="BD659" i="7"/>
  <c r="AR660" i="7"/>
  <c r="AR666" i="7"/>
  <c r="Y638" i="7"/>
  <c r="Y225" i="7"/>
  <c r="AG638" i="7"/>
  <c r="AG225" i="7"/>
  <c r="AO638" i="7"/>
  <c r="AO225" i="7"/>
  <c r="AW638" i="7"/>
  <c r="AW225" i="7"/>
  <c r="BE638" i="7"/>
  <c r="BE225" i="7"/>
  <c r="Y639" i="7"/>
  <c r="Y640" i="7"/>
  <c r="AG639" i="7"/>
  <c r="AG645" i="7"/>
  <c r="AO639" i="7"/>
  <c r="AO640" i="7"/>
  <c r="AW639" i="7"/>
  <c r="BE639" i="7"/>
  <c r="BE645" i="7"/>
  <c r="BD639" i="7"/>
  <c r="BD645" i="7"/>
  <c r="AC638" i="7"/>
  <c r="AC225" i="7"/>
  <c r="AK638" i="7"/>
  <c r="AK225" i="7"/>
  <c r="AS638" i="7"/>
  <c r="AS225" i="7"/>
  <c r="BA638" i="7"/>
  <c r="BA225" i="7"/>
  <c r="AC639" i="7"/>
  <c r="AK639" i="7"/>
  <c r="AK645" i="7"/>
  <c r="AS639" i="7"/>
  <c r="BA540" i="7"/>
  <c r="BA539" i="7"/>
  <c r="BA541" i="7"/>
  <c r="BA560" i="7"/>
  <c r="BA561" i="7"/>
  <c r="BA562" i="7"/>
  <c r="BA582" i="7"/>
  <c r="BA583" i="7"/>
  <c r="BA191" i="7"/>
  <c r="AU540" i="7"/>
  <c r="AU546" i="7"/>
  <c r="AP540" i="7"/>
  <c r="AP546" i="7"/>
  <c r="AK540" i="7"/>
  <c r="BA176" i="7"/>
  <c r="AV539" i="7"/>
  <c r="AV176" i="7"/>
  <c r="AQ539" i="7"/>
  <c r="AQ176" i="7"/>
  <c r="AK539" i="7"/>
  <c r="AK176" i="7"/>
  <c r="BE540" i="7"/>
  <c r="BE546" i="7"/>
  <c r="AY546" i="7"/>
  <c r="AT540" i="7"/>
  <c r="AT546" i="7"/>
  <c r="AO540" i="7"/>
  <c r="AI540" i="7"/>
  <c r="AI546" i="7"/>
  <c r="BE539" i="7"/>
  <c r="AZ539" i="7"/>
  <c r="AZ176" i="7"/>
  <c r="AU539" i="7"/>
  <c r="AU541" i="7"/>
  <c r="AO539" i="7"/>
  <c r="AO176" i="7"/>
  <c r="AJ539" i="7"/>
  <c r="AJ176" i="7"/>
  <c r="Z540" i="7"/>
  <c r="Z546" i="7"/>
  <c r="AG539" i="7"/>
  <c r="AG176" i="7"/>
  <c r="AR539" i="7"/>
  <c r="AR176" i="7"/>
  <c r="BC539" i="7"/>
  <c r="AL540" i="7"/>
  <c r="AW540" i="7"/>
  <c r="AW546" i="7"/>
  <c r="R527" i="7"/>
  <c r="X527" i="7"/>
  <c r="X528" i="7"/>
  <c r="AN561" i="7"/>
  <c r="BB485" i="7"/>
  <c r="BB491" i="7"/>
  <c r="AW485" i="7"/>
  <c r="AW491" i="7"/>
  <c r="AI485" i="7"/>
  <c r="AI491" i="7"/>
  <c r="AI539" i="7"/>
  <c r="AS539" i="7"/>
  <c r="BD539" i="7"/>
  <c r="BD176" i="7"/>
  <c r="AM540" i="7"/>
  <c r="AM546" i="7"/>
  <c r="AX540" i="7"/>
  <c r="AX546" i="7"/>
  <c r="AG463" i="7"/>
  <c r="AO463" i="7"/>
  <c r="AO464" i="7"/>
  <c r="AO465" i="7"/>
  <c r="AO130" i="7"/>
  <c r="AV463" i="7"/>
  <c r="BC463" i="7"/>
  <c r="BC130" i="7"/>
  <c r="AH464" i="7"/>
  <c r="AH470" i="7"/>
  <c r="AP464" i="7"/>
  <c r="AP470" i="7"/>
  <c r="AW464" i="7"/>
  <c r="AW470" i="7"/>
  <c r="BC464" i="7"/>
  <c r="BC470" i="7"/>
  <c r="L603" i="7"/>
  <c r="L604" i="7"/>
  <c r="BC618" i="7"/>
  <c r="AY618" i="7"/>
  <c r="AY624" i="7"/>
  <c r="BE618" i="7"/>
  <c r="BE624" i="7"/>
  <c r="BA618" i="7"/>
  <c r="Z617" i="7"/>
  <c r="Z224" i="7"/>
  <c r="AD617" i="7"/>
  <c r="AH617" i="7"/>
  <c r="AH224" i="7"/>
  <c r="AL617" i="7"/>
  <c r="AL224" i="7"/>
  <c r="AP617" i="7"/>
  <c r="AT617" i="7"/>
  <c r="AT224" i="7"/>
  <c r="AX617" i="7"/>
  <c r="BB617" i="7"/>
  <c r="X618" i="7"/>
  <c r="X624" i="7"/>
  <c r="AB618" i="7"/>
  <c r="AB624" i="7"/>
  <c r="AF618" i="7"/>
  <c r="AF624" i="7"/>
  <c r="AJ618" i="7"/>
  <c r="AJ624" i="7"/>
  <c r="AN618" i="7"/>
  <c r="AR618" i="7"/>
  <c r="AR624" i="7"/>
  <c r="AV618" i="7"/>
  <c r="BB618" i="7"/>
  <c r="BB624" i="7"/>
  <c r="V681" i="7"/>
  <c r="X638" i="7"/>
  <c r="AB638" i="7"/>
  <c r="AB225" i="7"/>
  <c r="AF638" i="7"/>
  <c r="AF225" i="7"/>
  <c r="AJ638" i="7"/>
  <c r="AJ225" i="7"/>
  <c r="AN638" i="7"/>
  <c r="AR638" i="7"/>
  <c r="AR225" i="7"/>
  <c r="AV638" i="7"/>
  <c r="AV225" i="7"/>
  <c r="AZ638" i="7"/>
  <c r="AZ225" i="7"/>
  <c r="BD638" i="7"/>
  <c r="Z639" i="7"/>
  <c r="Z645" i="7"/>
  <c r="AD639" i="7"/>
  <c r="AD645" i="7"/>
  <c r="AH639" i="7"/>
  <c r="AH645" i="7"/>
  <c r="AL639" i="7"/>
  <c r="AL645" i="7"/>
  <c r="AP639" i="7"/>
  <c r="AP645" i="7"/>
  <c r="AT639" i="7"/>
  <c r="AT645" i="7"/>
  <c r="AX639" i="7"/>
  <c r="AX645" i="7"/>
  <c r="BB639" i="7"/>
  <c r="BB645" i="7"/>
  <c r="Z638" i="7"/>
  <c r="Z225" i="7"/>
  <c r="AD638" i="7"/>
  <c r="AD225" i="7"/>
  <c r="AH638" i="7"/>
  <c r="AH225" i="7"/>
  <c r="AL638" i="7"/>
  <c r="AP638" i="7"/>
  <c r="AP225" i="7"/>
  <c r="AT638" i="7"/>
  <c r="AX638" i="7"/>
  <c r="AX225" i="7"/>
  <c r="BB638" i="7"/>
  <c r="X639" i="7"/>
  <c r="X645" i="7"/>
  <c r="AB639" i="7"/>
  <c r="AF639" i="7"/>
  <c r="AF645" i="7"/>
  <c r="AJ639" i="7"/>
  <c r="AN639" i="7"/>
  <c r="AN645" i="7"/>
  <c r="AR639" i="7"/>
  <c r="AR645" i="7"/>
  <c r="AV639" i="7"/>
  <c r="AV645" i="7"/>
  <c r="AZ639" i="7"/>
  <c r="BC660" i="7"/>
  <c r="AY660" i="7"/>
  <c r="AY666" i="7"/>
  <c r="AU660" i="7"/>
  <c r="AQ660" i="7"/>
  <c r="AQ666" i="7"/>
  <c r="AM660" i="7"/>
  <c r="AI660" i="7"/>
  <c r="AE660" i="7"/>
  <c r="AA660" i="7"/>
  <c r="AA666" i="7"/>
  <c r="W660" i="7"/>
  <c r="BE660" i="7"/>
  <c r="BE666" i="7"/>
  <c r="BA660" i="7"/>
  <c r="BA666" i="7"/>
  <c r="AW660" i="7"/>
  <c r="AS660" i="7"/>
  <c r="AO660" i="7"/>
  <c r="AK660" i="7"/>
  <c r="AG660" i="7"/>
  <c r="AG666" i="7"/>
  <c r="AC660" i="7"/>
  <c r="AC666" i="7"/>
  <c r="Y660" i="7"/>
  <c r="Y666" i="7"/>
  <c r="Z659" i="7"/>
  <c r="Z226" i="7"/>
  <c r="AD659" i="7"/>
  <c r="AH659" i="7"/>
  <c r="AH226" i="7"/>
  <c r="AL659" i="7"/>
  <c r="AP659" i="7"/>
  <c r="AT659" i="7"/>
  <c r="AX659" i="7"/>
  <c r="AX226" i="7"/>
  <c r="BB659" i="7"/>
  <c r="BB661" i="7"/>
  <c r="BB226" i="7"/>
  <c r="Z660" i="7"/>
  <c r="AH660" i="7"/>
  <c r="AP660" i="7"/>
  <c r="AP666" i="7"/>
  <c r="AX660" i="7"/>
  <c r="BC681" i="7"/>
  <c r="BC682" i="7"/>
  <c r="AA681" i="7"/>
  <c r="K681" i="7"/>
  <c r="AO681" i="7"/>
  <c r="AO229" i="7"/>
  <c r="AO238" i="7"/>
  <c r="AF681" i="7"/>
  <c r="AF682" i="7"/>
  <c r="AR603" i="7"/>
  <c r="AR181" i="7"/>
  <c r="M527" i="7"/>
  <c r="M528" i="7"/>
  <c r="U527" i="7"/>
  <c r="P527" i="7"/>
  <c r="P135" i="7"/>
  <c r="H527" i="7"/>
  <c r="H135" i="7"/>
  <c r="BD485" i="7"/>
  <c r="BD491" i="7"/>
  <c r="AY484" i="7"/>
  <c r="AY131" i="7"/>
  <c r="AL485" i="7"/>
  <c r="BE485" i="7"/>
  <c r="BE491" i="7"/>
  <c r="U540" i="7"/>
  <c r="U546" i="7"/>
  <c r="X561" i="7"/>
  <c r="X567" i="7"/>
  <c r="AK484" i="7"/>
  <c r="AK131" i="7"/>
  <c r="BD484" i="7"/>
  <c r="BD131" i="7"/>
  <c r="AO485" i="7"/>
  <c r="AO491" i="7"/>
  <c r="W539" i="7"/>
  <c r="Z560" i="7"/>
  <c r="Z177" i="7"/>
  <c r="AD540" i="7"/>
  <c r="Y540" i="7"/>
  <c r="Y546" i="7"/>
  <c r="AF539" i="7"/>
  <c r="AA539" i="7"/>
  <c r="U539" i="7"/>
  <c r="U176" i="7"/>
  <c r="AC540" i="7"/>
  <c r="AC546" i="7"/>
  <c r="W540" i="7"/>
  <c r="W546" i="7"/>
  <c r="AE539" i="7"/>
  <c r="AE176" i="7"/>
  <c r="Y539" i="7"/>
  <c r="AA540" i="7"/>
  <c r="AA546" i="7"/>
  <c r="V540" i="7"/>
  <c r="AC539" i="7"/>
  <c r="AC176" i="7"/>
  <c r="X539" i="7"/>
  <c r="X176" i="7"/>
  <c r="AB539" i="7"/>
  <c r="AB176" i="7"/>
  <c r="AE540" i="7"/>
  <c r="AE546" i="7"/>
  <c r="BC561" i="7"/>
  <c r="BC567" i="7"/>
  <c r="AY561" i="7"/>
  <c r="AY567" i="7"/>
  <c r="AU561" i="7"/>
  <c r="AU567" i="7"/>
  <c r="AQ561" i="7"/>
  <c r="AQ567" i="7"/>
  <c r="AM561" i="7"/>
  <c r="AM567" i="7"/>
  <c r="AI561" i="7"/>
  <c r="AI567" i="7"/>
  <c r="AE561" i="7"/>
  <c r="AE567" i="7"/>
  <c r="AA561" i="7"/>
  <c r="AA567" i="7"/>
  <c r="W561" i="7"/>
  <c r="W567" i="7"/>
  <c r="BE560" i="7"/>
  <c r="BA177" i="7"/>
  <c r="AW560" i="7"/>
  <c r="AS560" i="7"/>
  <c r="AO560" i="7"/>
  <c r="AK560" i="7"/>
  <c r="AK177" i="7"/>
  <c r="AG560" i="7"/>
  <c r="AC560" i="7"/>
  <c r="Y560" i="7"/>
  <c r="Y177" i="7"/>
  <c r="U560" i="7"/>
  <c r="U177" i="7"/>
  <c r="BB561" i="7"/>
  <c r="BB567" i="7"/>
  <c r="AX561" i="7"/>
  <c r="AX567" i="7"/>
  <c r="AT561" i="7"/>
  <c r="AT567" i="7"/>
  <c r="AP561" i="7"/>
  <c r="AP567" i="7"/>
  <c r="AL561" i="7"/>
  <c r="AL567" i="7"/>
  <c r="AH561" i="7"/>
  <c r="AH567" i="7"/>
  <c r="AD561" i="7"/>
  <c r="AD567" i="7"/>
  <c r="Z561" i="7"/>
  <c r="Z567" i="7"/>
  <c r="V561" i="7"/>
  <c r="BD560" i="7"/>
  <c r="BD177" i="7"/>
  <c r="AZ560" i="7"/>
  <c r="AV560" i="7"/>
  <c r="AV177" i="7"/>
  <c r="AR560" i="7"/>
  <c r="AN560" i="7"/>
  <c r="AN177" i="7"/>
  <c r="AJ560" i="7"/>
  <c r="AF560" i="7"/>
  <c r="AB560" i="7"/>
  <c r="X560" i="7"/>
  <c r="X177" i="7"/>
  <c r="BE561" i="7"/>
  <c r="BE567" i="7"/>
  <c r="BA567" i="7"/>
  <c r="AW561" i="7"/>
  <c r="AW567" i="7"/>
  <c r="AS561" i="7"/>
  <c r="AS567" i="7"/>
  <c r="AO561" i="7"/>
  <c r="AO567" i="7"/>
  <c r="AK561" i="7"/>
  <c r="AK567" i="7"/>
  <c r="AG561" i="7"/>
  <c r="AG567" i="7"/>
  <c r="AC561" i="7"/>
  <c r="AC567" i="7"/>
  <c r="Y561" i="7"/>
  <c r="U561" i="7"/>
  <c r="U567" i="7"/>
  <c r="BC560" i="7"/>
  <c r="BC177" i="7"/>
  <c r="AY560" i="7"/>
  <c r="AY177" i="7"/>
  <c r="AU560" i="7"/>
  <c r="AQ560" i="7"/>
  <c r="AQ177" i="7"/>
  <c r="AM560" i="7"/>
  <c r="AI560" i="7"/>
  <c r="AI177" i="7"/>
  <c r="AE560" i="7"/>
  <c r="AE177" i="7"/>
  <c r="AA560" i="7"/>
  <c r="W560" i="7"/>
  <c r="AZ561" i="7"/>
  <c r="AZ567" i="7"/>
  <c r="AJ561" i="7"/>
  <c r="AJ567" i="7"/>
  <c r="BB560" i="7"/>
  <c r="BB177" i="7"/>
  <c r="AL560" i="7"/>
  <c r="V560" i="7"/>
  <c r="V177" i="7"/>
  <c r="AV561" i="7"/>
  <c r="AV567" i="7"/>
  <c r="AF561" i="7"/>
  <c r="AF567" i="7"/>
  <c r="AX560" i="7"/>
  <c r="AX177" i="7"/>
  <c r="AH560" i="7"/>
  <c r="AH177" i="7"/>
  <c r="AR561" i="7"/>
  <c r="AR567" i="7"/>
  <c r="AB561" i="7"/>
  <c r="AB567" i="7"/>
  <c r="AT560" i="7"/>
  <c r="AT177" i="7"/>
  <c r="AD560" i="7"/>
  <c r="AD177" i="7"/>
  <c r="AP560" i="7"/>
  <c r="AP177" i="7"/>
  <c r="BD561" i="7"/>
  <c r="Y449" i="7"/>
  <c r="Y450" i="7"/>
  <c r="Y87" i="7"/>
  <c r="Y96" i="7"/>
  <c r="H449" i="7"/>
  <c r="BC527" i="7"/>
  <c r="BC528" i="7"/>
  <c r="AY527" i="7"/>
  <c r="AU527" i="7"/>
  <c r="AQ527" i="7"/>
  <c r="AM527" i="7"/>
  <c r="AI527" i="7"/>
  <c r="AI528" i="7"/>
  <c r="AE527" i="7"/>
  <c r="AA527" i="7"/>
  <c r="W527" i="7"/>
  <c r="W135" i="7"/>
  <c r="W144" i="7"/>
  <c r="S527" i="7"/>
  <c r="O527" i="7"/>
  <c r="K527" i="7"/>
  <c r="K135" i="7"/>
  <c r="K144" i="7"/>
  <c r="I527" i="7"/>
  <c r="N527" i="7"/>
  <c r="N528" i="7"/>
  <c r="T527" i="7"/>
  <c r="T528" i="7"/>
  <c r="Y527" i="7"/>
  <c r="Y135" i="7"/>
  <c r="Y144" i="7"/>
  <c r="AD527" i="7"/>
  <c r="AJ527" i="7"/>
  <c r="AJ528" i="7"/>
  <c r="AO527" i="7"/>
  <c r="AT527" i="7"/>
  <c r="AZ527" i="7"/>
  <c r="AZ135" i="7"/>
  <c r="AZ144" i="7"/>
  <c r="BE527" i="7"/>
  <c r="BE528" i="7"/>
  <c r="Z527" i="7"/>
  <c r="Z528" i="7"/>
  <c r="AF527" i="7"/>
  <c r="AF528" i="7"/>
  <c r="AK527" i="7"/>
  <c r="AK528" i="7"/>
  <c r="AP527" i="7"/>
  <c r="AP135" i="7"/>
  <c r="AP144" i="7"/>
  <c r="AV527" i="7"/>
  <c r="BA527" i="7"/>
  <c r="L527" i="7"/>
  <c r="L528" i="7"/>
  <c r="Q527" i="7"/>
  <c r="Q135" i="7"/>
  <c r="Q144" i="7"/>
  <c r="V527" i="7"/>
  <c r="V528" i="7"/>
  <c r="AB527" i="7"/>
  <c r="AG527" i="7"/>
  <c r="AL527" i="7"/>
  <c r="AL528" i="7"/>
  <c r="AR527" i="7"/>
  <c r="AW527" i="7"/>
  <c r="BB527" i="7"/>
  <c r="BB528" i="7"/>
  <c r="V539" i="7"/>
  <c r="V176" i="7"/>
  <c r="Z539" i="7"/>
  <c r="AD539" i="7"/>
  <c r="AD176" i="7"/>
  <c r="AH539" i="7"/>
  <c r="AL539" i="7"/>
  <c r="AL176" i="7"/>
  <c r="AP539" i="7"/>
  <c r="AP176" i="7"/>
  <c r="AT539" i="7"/>
  <c r="AX539" i="7"/>
  <c r="AX176" i="7"/>
  <c r="BB539" i="7"/>
  <c r="BB176" i="7"/>
  <c r="X540" i="7"/>
  <c r="X546" i="7"/>
  <c r="AB540" i="7"/>
  <c r="AB546" i="7"/>
  <c r="AF540" i="7"/>
  <c r="AF546" i="7"/>
  <c r="AJ540" i="7"/>
  <c r="AJ546" i="7"/>
  <c r="AN540" i="7"/>
  <c r="AR540" i="7"/>
  <c r="AR546" i="7"/>
  <c r="AV540" i="7"/>
  <c r="AZ540" i="7"/>
  <c r="AZ546" i="7"/>
  <c r="X581" i="7"/>
  <c r="AF581" i="7"/>
  <c r="AF178" i="7"/>
  <c r="Y581" i="7"/>
  <c r="W582" i="7"/>
  <c r="W588" i="7"/>
  <c r="AB581" i="7"/>
  <c r="AB582" i="7"/>
  <c r="AB588" i="7"/>
  <c r="BC603" i="7"/>
  <c r="BC181" i="7"/>
  <c r="BC190" i="7"/>
  <c r="AY603" i="7"/>
  <c r="AU603" i="7"/>
  <c r="AQ603" i="7"/>
  <c r="AQ604" i="7"/>
  <c r="AM603" i="7"/>
  <c r="AI603" i="7"/>
  <c r="AE603" i="7"/>
  <c r="AA603" i="7"/>
  <c r="AA181" i="7"/>
  <c r="W603" i="7"/>
  <c r="S603" i="7"/>
  <c r="O603" i="7"/>
  <c r="K603" i="7"/>
  <c r="K181" i="7"/>
  <c r="K190" i="7"/>
  <c r="BB603" i="7"/>
  <c r="AX603" i="7"/>
  <c r="AX181" i="7"/>
  <c r="AT603" i="7"/>
  <c r="AP603" i="7"/>
  <c r="AP604" i="7"/>
  <c r="AL603" i="7"/>
  <c r="AH603" i="7"/>
  <c r="AD603" i="7"/>
  <c r="AD181" i="7"/>
  <c r="Z603" i="7"/>
  <c r="V603" i="7"/>
  <c r="V604" i="7"/>
  <c r="R603" i="7"/>
  <c r="R604" i="7"/>
  <c r="N603" i="7"/>
  <c r="J603" i="7"/>
  <c r="BE603" i="7"/>
  <c r="BA603" i="7"/>
  <c r="AW603" i="7"/>
  <c r="AW181" i="7"/>
  <c r="AW190" i="7"/>
  <c r="AS603" i="7"/>
  <c r="AO603" i="7"/>
  <c r="AK603" i="7"/>
  <c r="AK181" i="7"/>
  <c r="AK190" i="7"/>
  <c r="AG603" i="7"/>
  <c r="AC603" i="7"/>
  <c r="AC604" i="7"/>
  <c r="Y603" i="7"/>
  <c r="Y181" i="7"/>
  <c r="U603" i="7"/>
  <c r="Q603" i="7"/>
  <c r="M603" i="7"/>
  <c r="M604" i="7"/>
  <c r="I603" i="7"/>
  <c r="BD603" i="7"/>
  <c r="AN603" i="7"/>
  <c r="AN181" i="7"/>
  <c r="AN190" i="7"/>
  <c r="X603" i="7"/>
  <c r="H603" i="7"/>
  <c r="AZ603" i="7"/>
  <c r="AZ604" i="7"/>
  <c r="AJ603" i="7"/>
  <c r="T603" i="7"/>
  <c r="AV603" i="7"/>
  <c r="AF603" i="7"/>
  <c r="AF604" i="7"/>
  <c r="P603" i="7"/>
  <c r="P604" i="7"/>
  <c r="AB603" i="7"/>
  <c r="AB604" i="7"/>
  <c r="BB582" i="7"/>
  <c r="BB588" i="7"/>
  <c r="AX582" i="7"/>
  <c r="AX588" i="7"/>
  <c r="AT582" i="7"/>
  <c r="AT588" i="7"/>
  <c r="AP582" i="7"/>
  <c r="AP588" i="7"/>
  <c r="AL582" i="7"/>
  <c r="AH582" i="7"/>
  <c r="AH588" i="7"/>
  <c r="AD582" i="7"/>
  <c r="AD588" i="7"/>
  <c r="Z582" i="7"/>
  <c r="Z588" i="7"/>
  <c r="BE582" i="7"/>
  <c r="BE588" i="7"/>
  <c r="BA588" i="7"/>
  <c r="AW582" i="7"/>
  <c r="AW588" i="7"/>
  <c r="AS582" i="7"/>
  <c r="AO582" i="7"/>
  <c r="AO583" i="7"/>
  <c r="AO588" i="7"/>
  <c r="AK582" i="7"/>
  <c r="AK588" i="7"/>
  <c r="AG582" i="7"/>
  <c r="AG588" i="7"/>
  <c r="AC582" i="7"/>
  <c r="AC588" i="7"/>
  <c r="Y582" i="7"/>
  <c r="Y588" i="7"/>
  <c r="V581" i="7"/>
  <c r="V178" i="7"/>
  <c r="Z581" i="7"/>
  <c r="Z178" i="7"/>
  <c r="AD581" i="7"/>
  <c r="AH581" i="7"/>
  <c r="AL581" i="7"/>
  <c r="AP581" i="7"/>
  <c r="AT581" i="7"/>
  <c r="AX581" i="7"/>
  <c r="AX583" i="7"/>
  <c r="AX178" i="7"/>
  <c r="BB581" i="7"/>
  <c r="X582" i="7"/>
  <c r="AF582" i="7"/>
  <c r="AF583" i="7"/>
  <c r="AF588" i="7"/>
  <c r="AN582" i="7"/>
  <c r="AV582" i="7"/>
  <c r="AV588" i="7"/>
  <c r="BD582" i="7"/>
  <c r="W581" i="7"/>
  <c r="AA581" i="7"/>
  <c r="AE581" i="7"/>
  <c r="AE583" i="7"/>
  <c r="AI581" i="7"/>
  <c r="AM581" i="7"/>
  <c r="AM178" i="7"/>
  <c r="AQ581" i="7"/>
  <c r="AQ178" i="7"/>
  <c r="AU581" i="7"/>
  <c r="AU178" i="7"/>
  <c r="AY581" i="7"/>
  <c r="AY178" i="7"/>
  <c r="BC581" i="7"/>
  <c r="U582" i="7"/>
  <c r="U588" i="7"/>
  <c r="AA582" i="7"/>
  <c r="AA588" i="7"/>
  <c r="AI582" i="7"/>
  <c r="AI588" i="7"/>
  <c r="AQ582" i="7"/>
  <c r="AQ588" i="7"/>
  <c r="AY582" i="7"/>
  <c r="AY588" i="7"/>
  <c r="M449" i="7"/>
  <c r="M87" i="7"/>
  <c r="M96" i="7"/>
  <c r="AG449" i="7"/>
  <c r="AO449" i="7"/>
  <c r="AO87" i="7"/>
  <c r="AO96" i="7"/>
  <c r="AW449" i="7"/>
  <c r="BE449" i="7"/>
  <c r="BD449" i="7"/>
  <c r="U449" i="7"/>
  <c r="AH449" i="7"/>
  <c r="AH87" i="7"/>
  <c r="AH96" i="7"/>
  <c r="AP449" i="7"/>
  <c r="AP450" i="7"/>
  <c r="AP87" i="7"/>
  <c r="AP96" i="7"/>
  <c r="AX449" i="7"/>
  <c r="Q449" i="7"/>
  <c r="Q87" i="7"/>
  <c r="Q96" i="7"/>
  <c r="V449" i="7"/>
  <c r="I449" i="7"/>
  <c r="I450" i="7"/>
  <c r="I87" i="7"/>
  <c r="I96" i="7"/>
  <c r="J449" i="7"/>
  <c r="R449" i="7"/>
  <c r="Z449" i="7"/>
  <c r="Z87" i="7"/>
  <c r="Z96" i="7"/>
  <c r="K449" i="7"/>
  <c r="O449" i="7"/>
  <c r="O87" i="7"/>
  <c r="O96" i="7"/>
  <c r="S449" i="7"/>
  <c r="S87" i="7"/>
  <c r="S96" i="7"/>
  <c r="W449" i="7"/>
  <c r="AA449" i="7"/>
  <c r="AA87" i="7"/>
  <c r="AA96" i="7"/>
  <c r="AE449" i="7"/>
  <c r="AI449" i="7"/>
  <c r="AI87" i="7"/>
  <c r="AI96" i="7"/>
  <c r="AM449" i="7"/>
  <c r="AQ449" i="7"/>
  <c r="AQ450" i="7"/>
  <c r="AQ87" i="7"/>
  <c r="AQ96" i="7"/>
  <c r="AU449" i="7"/>
  <c r="AY449" i="7"/>
  <c r="AY450" i="7"/>
  <c r="AY87" i="7"/>
  <c r="AY96" i="7"/>
  <c r="BC449" i="7"/>
  <c r="N449" i="7"/>
  <c r="N87" i="7"/>
  <c r="N96" i="7"/>
  <c r="L449" i="7"/>
  <c r="P449" i="7"/>
  <c r="P87" i="7"/>
  <c r="P96" i="7"/>
  <c r="T449" i="7"/>
  <c r="X449" i="7"/>
  <c r="X87" i="7"/>
  <c r="X96" i="7"/>
  <c r="AB449" i="7"/>
  <c r="AF449" i="7"/>
  <c r="AF450" i="7"/>
  <c r="AF87" i="7"/>
  <c r="AF96" i="7"/>
  <c r="AJ449" i="7"/>
  <c r="AN449" i="7"/>
  <c r="AN87" i="7"/>
  <c r="AN96" i="7"/>
  <c r="AR449" i="7"/>
  <c r="AR87" i="7"/>
  <c r="AR96" i="7"/>
  <c r="AV449" i="7"/>
  <c r="AZ449" i="7"/>
  <c r="AZ87" i="7"/>
  <c r="AZ96" i="7"/>
  <c r="AI484" i="7"/>
  <c r="AI131" i="7"/>
  <c r="AV484" i="7"/>
  <c r="AV131" i="7"/>
  <c r="AT485" i="7"/>
  <c r="AT491" i="7"/>
  <c r="AQ484" i="7"/>
  <c r="BA484" i="7"/>
  <c r="BA131" i="7"/>
  <c r="AG485" i="7"/>
  <c r="AG491" i="7"/>
  <c r="AQ485" i="7"/>
  <c r="AQ491" i="7"/>
  <c r="BC485" i="7"/>
  <c r="AX485" i="7"/>
  <c r="AX491" i="7"/>
  <c r="AS485" i="7"/>
  <c r="AS491" i="7"/>
  <c r="AM485" i="7"/>
  <c r="AM484" i="7"/>
  <c r="AM486" i="7"/>
  <c r="AM491" i="7"/>
  <c r="AH485" i="7"/>
  <c r="AH491" i="7"/>
  <c r="BC484" i="7"/>
  <c r="BC131" i="7"/>
  <c r="AW484" i="7"/>
  <c r="AW131" i="7"/>
  <c r="AR484" i="7"/>
  <c r="AR131" i="7"/>
  <c r="AG484" i="7"/>
  <c r="BA485" i="7"/>
  <c r="BA491" i="7"/>
  <c r="AU485" i="7"/>
  <c r="AP485" i="7"/>
  <c r="AP491" i="7"/>
  <c r="AK485" i="7"/>
  <c r="AK491" i="7"/>
  <c r="BE484" i="7"/>
  <c r="AZ484" i="7"/>
  <c r="AU484" i="7"/>
  <c r="AU131" i="7"/>
  <c r="AO484" i="7"/>
  <c r="AO486" i="7"/>
  <c r="AJ484" i="7"/>
  <c r="AJ131" i="7"/>
  <c r="BD464" i="7"/>
  <c r="AI463" i="7"/>
  <c r="AI130" i="7"/>
  <c r="AN463" i="7"/>
  <c r="AS463" i="7"/>
  <c r="AS130" i="7"/>
  <c r="AY463" i="7"/>
  <c r="BD463" i="7"/>
  <c r="BD130" i="7"/>
  <c r="AI464" i="7"/>
  <c r="AO470" i="7"/>
  <c r="AT464" i="7"/>
  <c r="AY464" i="7"/>
  <c r="AY470" i="7"/>
  <c r="BB506" i="7"/>
  <c r="AX506" i="7"/>
  <c r="AX512" i="7"/>
  <c r="AT506" i="7"/>
  <c r="AT512" i="7"/>
  <c r="AP506" i="7"/>
  <c r="AP512" i="7"/>
  <c r="AL506" i="7"/>
  <c r="AL512" i="7"/>
  <c r="AH506" i="7"/>
  <c r="AH512" i="7"/>
  <c r="BE506" i="7"/>
  <c r="AZ506" i="7"/>
  <c r="AZ512" i="7"/>
  <c r="AU506" i="7"/>
  <c r="AU512" i="7"/>
  <c r="AO506" i="7"/>
  <c r="AO512" i="7"/>
  <c r="AJ506" i="7"/>
  <c r="AJ512" i="7"/>
  <c r="BC505" i="7"/>
  <c r="AY505" i="7"/>
  <c r="AY132" i="7"/>
  <c r="AU505" i="7"/>
  <c r="AQ505" i="7"/>
  <c r="AM505" i="7"/>
  <c r="AI505" i="7"/>
  <c r="BC506" i="7"/>
  <c r="BC507" i="7"/>
  <c r="BC512" i="7"/>
  <c r="AW506" i="7"/>
  <c r="AW512" i="7"/>
  <c r="AR506" i="7"/>
  <c r="AM506" i="7"/>
  <c r="AM512" i="7"/>
  <c r="AG506" i="7"/>
  <c r="AG512" i="7"/>
  <c r="BE505" i="7"/>
  <c r="BA505" i="7"/>
  <c r="BA132" i="7"/>
  <c r="AW505" i="7"/>
  <c r="AS505" i="7"/>
  <c r="AS132" i="7"/>
  <c r="AO505" i="7"/>
  <c r="AO132" i="7"/>
  <c r="AK505" i="7"/>
  <c r="AG505" i="7"/>
  <c r="BA506" i="7"/>
  <c r="AQ506" i="7"/>
  <c r="AQ512" i="7"/>
  <c r="BD505" i="7"/>
  <c r="BD506" i="7"/>
  <c r="BD507" i="7"/>
  <c r="BD465" i="7"/>
  <c r="BD486" i="7"/>
  <c r="BD145" i="7"/>
  <c r="AV505" i="7"/>
  <c r="AV132" i="7"/>
  <c r="AN505" i="7"/>
  <c r="AV506" i="7"/>
  <c r="AV512" i="7"/>
  <c r="AI506" i="7"/>
  <c r="AI512" i="7"/>
  <c r="AX505" i="7"/>
  <c r="AX132" i="7"/>
  <c r="AL505" i="7"/>
  <c r="BD512" i="7"/>
  <c r="AN506" i="7"/>
  <c r="AN512" i="7"/>
  <c r="BB505" i="7"/>
  <c r="BB132" i="7"/>
  <c r="AR505" i="7"/>
  <c r="AR132" i="7"/>
  <c r="AH505" i="7"/>
  <c r="AP505" i="7"/>
  <c r="AK506" i="7"/>
  <c r="AK512" i="7"/>
  <c r="AT505" i="7"/>
  <c r="AT132" i="7"/>
  <c r="AS506" i="7"/>
  <c r="AS512" i="7"/>
  <c r="AH463" i="7"/>
  <c r="AL463" i="7"/>
  <c r="AL130" i="7"/>
  <c r="AP463" i="7"/>
  <c r="AP130" i="7"/>
  <c r="AP465" i="7"/>
  <c r="AT463" i="7"/>
  <c r="AT130" i="7"/>
  <c r="AX463" i="7"/>
  <c r="BB463" i="7"/>
  <c r="AJ464" i="7"/>
  <c r="AJ465" i="7"/>
  <c r="AN464" i="7"/>
  <c r="AN470" i="7"/>
  <c r="AR464" i="7"/>
  <c r="AR465" i="7"/>
  <c r="AV464" i="7"/>
  <c r="AV470" i="7"/>
  <c r="AZ464" i="7"/>
  <c r="AZ505" i="7"/>
  <c r="AY506" i="7"/>
  <c r="AY512" i="7"/>
  <c r="AJ505" i="7"/>
  <c r="AJ132" i="7"/>
  <c r="AH484" i="7"/>
  <c r="AL484" i="7"/>
  <c r="AL131" i="7"/>
  <c r="AP484" i="7"/>
  <c r="AT484" i="7"/>
  <c r="AT131" i="7"/>
  <c r="AX484" i="7"/>
  <c r="BB484" i="7"/>
  <c r="BB131" i="7"/>
  <c r="AJ485" i="7"/>
  <c r="AN485" i="7"/>
  <c r="AN491" i="7"/>
  <c r="AR485" i="7"/>
  <c r="AR491" i="7"/>
  <c r="AV485" i="7"/>
  <c r="AV491" i="7"/>
  <c r="AZ485" i="7"/>
  <c r="H784" i="7"/>
  <c r="H448" i="7"/>
  <c r="AW784" i="7"/>
  <c r="AK784" i="7"/>
  <c r="AK788" i="7"/>
  <c r="I784" i="7"/>
  <c r="BC784" i="7"/>
  <c r="AH784" i="7"/>
  <c r="L784" i="7"/>
  <c r="L788" i="7"/>
  <c r="AU784" i="7"/>
  <c r="AP784" i="7"/>
  <c r="N784" i="7"/>
  <c r="X784" i="7"/>
  <c r="BD784" i="7"/>
  <c r="AF784" i="7"/>
  <c r="AQ784" i="7"/>
  <c r="AC385" i="7"/>
  <c r="AC82" i="7"/>
  <c r="BC386" i="7"/>
  <c r="BC392" i="7"/>
  <c r="AD406" i="7"/>
  <c r="AN406" i="7"/>
  <c r="AY406" i="7"/>
  <c r="AY83" i="7"/>
  <c r="AH407" i="7"/>
  <c r="AH413" i="7"/>
  <c r="AX407" i="7"/>
  <c r="AX406" i="7"/>
  <c r="AY385" i="7"/>
  <c r="AY82" i="7"/>
  <c r="AE406" i="7"/>
  <c r="AE83" i="7"/>
  <c r="AP406" i="7"/>
  <c r="AP83" i="7"/>
  <c r="AZ406" i="7"/>
  <c r="AZ83" i="7"/>
  <c r="AO407" i="7"/>
  <c r="AO413" i="7"/>
  <c r="BE407" i="7"/>
  <c r="BE413" i="7"/>
  <c r="BE385" i="7"/>
  <c r="BE82" i="7"/>
  <c r="AI406" i="7"/>
  <c r="AT406" i="7"/>
  <c r="BD406" i="7"/>
  <c r="BD83" i="7"/>
  <c r="AP407" i="7"/>
  <c r="AU386" i="7"/>
  <c r="AJ406" i="7"/>
  <c r="AU406" i="7"/>
  <c r="AU83" i="7"/>
  <c r="AG407" i="7"/>
  <c r="AG413" i="7"/>
  <c r="AW407" i="7"/>
  <c r="AW413" i="7"/>
  <c r="AJ385" i="7"/>
  <c r="AG386" i="7"/>
  <c r="AG392" i="7"/>
  <c r="AF406" i="7"/>
  <c r="AF83" i="7"/>
  <c r="AL406" i="7"/>
  <c r="AL83" i="7"/>
  <c r="AQ406" i="7"/>
  <c r="AV406" i="7"/>
  <c r="AV83" i="7"/>
  <c r="BB406" i="7"/>
  <c r="AC407" i="7"/>
  <c r="AC413" i="7"/>
  <c r="AK407" i="7"/>
  <c r="AK413" i="7"/>
  <c r="AS407" i="7"/>
  <c r="AS413" i="7"/>
  <c r="BA407" i="7"/>
  <c r="AQ385" i="7"/>
  <c r="AQ82" i="7"/>
  <c r="AM386" i="7"/>
  <c r="AM392" i="7"/>
  <c r="AB406" i="7"/>
  <c r="AB83" i="7"/>
  <c r="AH406" i="7"/>
  <c r="AM406" i="7"/>
  <c r="AR406" i="7"/>
  <c r="AR407" i="7"/>
  <c r="AR408" i="7"/>
  <c r="AR83" i="7"/>
  <c r="BC406" i="7"/>
  <c r="AD407" i="7"/>
  <c r="AD413" i="7"/>
  <c r="AL407" i="7"/>
  <c r="AT407" i="7"/>
  <c r="AT413" i="7"/>
  <c r="BB407" i="7"/>
  <c r="BB413" i="7"/>
  <c r="AR427" i="7"/>
  <c r="AE385" i="7"/>
  <c r="AK385" i="7"/>
  <c r="AK82" i="7"/>
  <c r="AS385" i="7"/>
  <c r="AZ385" i="7"/>
  <c r="AH386" i="7"/>
  <c r="AP386" i="7"/>
  <c r="BD386" i="7"/>
  <c r="BD385" i="7"/>
  <c r="BD387" i="7"/>
  <c r="BD392" i="7"/>
  <c r="AZ386" i="7"/>
  <c r="AZ392" i="7"/>
  <c r="AV386" i="7"/>
  <c r="AR386" i="7"/>
  <c r="AR392" i="7"/>
  <c r="AN386" i="7"/>
  <c r="AN392" i="7"/>
  <c r="AJ386" i="7"/>
  <c r="AJ392" i="7"/>
  <c r="AF386" i="7"/>
  <c r="AF392" i="7"/>
  <c r="AB386" i="7"/>
  <c r="AB392" i="7"/>
  <c r="BB385" i="7"/>
  <c r="BB82" i="7"/>
  <c r="AX385" i="7"/>
  <c r="AT385" i="7"/>
  <c r="AP385" i="7"/>
  <c r="AP82" i="7"/>
  <c r="AL385" i="7"/>
  <c r="AL82" i="7"/>
  <c r="AH385" i="7"/>
  <c r="AH82" i="7"/>
  <c r="AD385" i="7"/>
  <c r="AD82" i="7"/>
  <c r="BB386" i="7"/>
  <c r="BB392" i="7"/>
  <c r="BE386" i="7"/>
  <c r="BE392" i="7"/>
  <c r="AY386" i="7"/>
  <c r="AT386" i="7"/>
  <c r="AT392" i="7"/>
  <c r="AO386" i="7"/>
  <c r="AI386" i="7"/>
  <c r="AI392" i="7"/>
  <c r="AI385" i="7"/>
  <c r="AI387" i="7"/>
  <c r="AD386" i="7"/>
  <c r="AD392" i="7"/>
  <c r="BC385" i="7"/>
  <c r="AW385" i="7"/>
  <c r="AW387" i="7"/>
  <c r="AR385" i="7"/>
  <c r="AM385" i="7"/>
  <c r="AG385" i="7"/>
  <c r="AB385" i="7"/>
  <c r="AF385" i="7"/>
  <c r="AN385" i="7"/>
  <c r="AU385" i="7"/>
  <c r="BA385" i="7"/>
  <c r="BA386" i="7"/>
  <c r="BA387" i="7"/>
  <c r="AC386" i="7"/>
  <c r="AC387" i="7"/>
  <c r="AC392" i="7"/>
  <c r="AK386" i="7"/>
  <c r="AQ386" i="7"/>
  <c r="AX386" i="7"/>
  <c r="AX392" i="7"/>
  <c r="BB428" i="7"/>
  <c r="AX428" i="7"/>
  <c r="AX427" i="7"/>
  <c r="AT428" i="7"/>
  <c r="AP428" i="7"/>
  <c r="AL428" i="7"/>
  <c r="AL434" i="7"/>
  <c r="AH428" i="7"/>
  <c r="AH427" i="7"/>
  <c r="AH429" i="7"/>
  <c r="AD428" i="7"/>
  <c r="BC427" i="7"/>
  <c r="BC84" i="7"/>
  <c r="AY427" i="7"/>
  <c r="AY84" i="7"/>
  <c r="AU427" i="7"/>
  <c r="AU428" i="7"/>
  <c r="AU429" i="7"/>
  <c r="AU84" i="7"/>
  <c r="AQ427" i="7"/>
  <c r="AQ84" i="7"/>
  <c r="AM427" i="7"/>
  <c r="AM84" i="7"/>
  <c r="AI427" i="7"/>
  <c r="AE427" i="7"/>
  <c r="BE428" i="7"/>
  <c r="BE434" i="7"/>
  <c r="BA428" i="7"/>
  <c r="AW428" i="7"/>
  <c r="AS428" i="7"/>
  <c r="AO428" i="7"/>
  <c r="AK428" i="7"/>
  <c r="AK434" i="7"/>
  <c r="AG428" i="7"/>
  <c r="AG434" i="7"/>
  <c r="AC428" i="7"/>
  <c r="AC434" i="7"/>
  <c r="BB427" i="7"/>
  <c r="BB84" i="7"/>
  <c r="AT427" i="7"/>
  <c r="AT84" i="7"/>
  <c r="AP427" i="7"/>
  <c r="AP84" i="7"/>
  <c r="AL427" i="7"/>
  <c r="AL84" i="7"/>
  <c r="AD427" i="7"/>
  <c r="AD84" i="7"/>
  <c r="BD428" i="7"/>
  <c r="AZ428" i="7"/>
  <c r="AV428" i="7"/>
  <c r="AR428" i="7"/>
  <c r="AR434" i="7"/>
  <c r="AN428" i="7"/>
  <c r="AJ428" i="7"/>
  <c r="AJ427" i="7"/>
  <c r="AJ429" i="7"/>
  <c r="AF428" i="7"/>
  <c r="AF434" i="7"/>
  <c r="AB428" i="7"/>
  <c r="BE427" i="7"/>
  <c r="BA427" i="7"/>
  <c r="BA84" i="7"/>
  <c r="AW427" i="7"/>
  <c r="AW84" i="7"/>
  <c r="AS427" i="7"/>
  <c r="AS429" i="7"/>
  <c r="AO427" i="7"/>
  <c r="AK427" i="7"/>
  <c r="AK84" i="7"/>
  <c r="AG427" i="7"/>
  <c r="AG84" i="7"/>
  <c r="AC427" i="7"/>
  <c r="AC84" i="7"/>
  <c r="BC428" i="7"/>
  <c r="BC434" i="7"/>
  <c r="AM428" i="7"/>
  <c r="AM434" i="7"/>
  <c r="BD427" i="7"/>
  <c r="BD84" i="7"/>
  <c r="AN427" i="7"/>
  <c r="AN84" i="7"/>
  <c r="AY428" i="7"/>
  <c r="AY429" i="7"/>
  <c r="AI428" i="7"/>
  <c r="AZ427" i="7"/>
  <c r="AZ84" i="7"/>
  <c r="AJ84" i="7"/>
  <c r="AE428" i="7"/>
  <c r="AV427" i="7"/>
  <c r="AV84" i="7"/>
  <c r="AF427" i="7"/>
  <c r="AI82" i="7"/>
  <c r="AO385" i="7"/>
  <c r="AV385" i="7"/>
  <c r="BD82" i="7"/>
  <c r="AE386" i="7"/>
  <c r="AL386" i="7"/>
  <c r="AS386" i="7"/>
  <c r="AS392" i="7"/>
  <c r="BA392" i="7"/>
  <c r="AB427" i="7"/>
  <c r="AB84" i="7"/>
  <c r="AQ428" i="7"/>
  <c r="AQ434" i="7"/>
  <c r="AE407" i="7"/>
  <c r="AI407" i="7"/>
  <c r="AI413" i="7"/>
  <c r="AM407" i="7"/>
  <c r="AM413" i="7"/>
  <c r="AQ407" i="7"/>
  <c r="AQ413" i="7"/>
  <c r="AU407" i="7"/>
  <c r="AU413" i="7"/>
  <c r="AY407" i="7"/>
  <c r="AY413" i="7"/>
  <c r="BC407" i="7"/>
  <c r="BC413" i="7"/>
  <c r="AC406" i="7"/>
  <c r="AC83" i="7"/>
  <c r="AG406" i="7"/>
  <c r="AK406" i="7"/>
  <c r="AK83" i="7"/>
  <c r="AO406" i="7"/>
  <c r="AS406" i="7"/>
  <c r="AS83" i="7"/>
  <c r="AW406" i="7"/>
  <c r="AW83" i="7"/>
  <c r="BA406" i="7"/>
  <c r="BA83" i="7"/>
  <c r="BE406" i="7"/>
  <c r="AB407" i="7"/>
  <c r="AB413" i="7"/>
  <c r="AF407" i="7"/>
  <c r="AJ407" i="7"/>
  <c r="AJ413" i="7"/>
  <c r="AN407" i="7"/>
  <c r="AR413" i="7"/>
  <c r="AV407" i="7"/>
  <c r="AV408" i="7"/>
  <c r="AZ407" i="7"/>
  <c r="AZ413" i="7"/>
  <c r="W75" i="4"/>
  <c r="K75" i="4"/>
  <c r="AA75" i="4"/>
  <c r="L75" i="4"/>
  <c r="P75" i="4"/>
  <c r="T75" i="4"/>
  <c r="X75" i="4"/>
  <c r="I75" i="4"/>
  <c r="M75" i="4"/>
  <c r="Q75" i="4"/>
  <c r="U75" i="4"/>
  <c r="Y75" i="4"/>
  <c r="J75" i="4"/>
  <c r="N75" i="4"/>
  <c r="R75" i="4"/>
  <c r="V75" i="4"/>
  <c r="Z75" i="4"/>
  <c r="BD738" i="7"/>
  <c r="AU619" i="7"/>
  <c r="AT717" i="7"/>
  <c r="O88" i="1"/>
  <c r="AC717" i="7"/>
  <c r="H275" i="7"/>
  <c r="H284" i="7"/>
  <c r="I759" i="7"/>
  <c r="I284" i="7"/>
  <c r="AL759" i="7"/>
  <c r="W759" i="7"/>
  <c r="W275" i="7"/>
  <c r="W284" i="7"/>
  <c r="AB759" i="7"/>
  <c r="J275" i="7"/>
  <c r="J284" i="7"/>
  <c r="AS759" i="7"/>
  <c r="BE275" i="7"/>
  <c r="BE284" i="7"/>
  <c r="AD759" i="7"/>
  <c r="AT759" i="7"/>
  <c r="AT275" i="7"/>
  <c r="AT284" i="7"/>
  <c r="O275" i="7"/>
  <c r="O284" i="7"/>
  <c r="AU759" i="7"/>
  <c r="AN759" i="7"/>
  <c r="AN275" i="7"/>
  <c r="AN284" i="7"/>
  <c r="AZ759" i="7"/>
  <c r="AZ284" i="7"/>
  <c r="AC275" i="7"/>
  <c r="AC284" i="7"/>
  <c r="AR275" i="7"/>
  <c r="AR284" i="7"/>
  <c r="AX280" i="7"/>
  <c r="R280" i="7"/>
  <c r="AO759" i="7"/>
  <c r="AO275" i="7"/>
  <c r="AO284" i="7"/>
  <c r="V275" i="7"/>
  <c r="V284" i="7"/>
  <c r="BB759" i="7"/>
  <c r="AM759" i="7"/>
  <c r="AM275" i="7"/>
  <c r="AM284" i="7"/>
  <c r="X759" i="7"/>
  <c r="X275" i="7"/>
  <c r="X284" i="7"/>
  <c r="AK759" i="7"/>
  <c r="AP759" i="7"/>
  <c r="AA275" i="7"/>
  <c r="AA284" i="7"/>
  <c r="AW759" i="7"/>
  <c r="Q759" i="7"/>
  <c r="Q275" i="7"/>
  <c r="Q284" i="7"/>
  <c r="R759" i="7"/>
  <c r="R275" i="7"/>
  <c r="R284" i="7"/>
  <c r="AH759" i="7"/>
  <c r="AX759" i="7"/>
  <c r="AX275" i="7"/>
  <c r="AX284" i="7"/>
  <c r="S759" i="7"/>
  <c r="S284" i="7"/>
  <c r="AI275" i="7"/>
  <c r="AI284" i="7"/>
  <c r="AY759" i="7"/>
  <c r="AY275" i="7"/>
  <c r="AY284" i="7"/>
  <c r="AF759" i="7"/>
  <c r="BA759" i="7"/>
  <c r="BA275" i="7"/>
  <c r="BA284" i="7"/>
  <c r="AT280" i="7"/>
  <c r="N280" i="7"/>
  <c r="AW666" i="7"/>
  <c r="AF666" i="7"/>
  <c r="AV666" i="7"/>
  <c r="Z666" i="7"/>
  <c r="AE666" i="7"/>
  <c r="AU666" i="7"/>
  <c r="BB666" i="7"/>
  <c r="AT666" i="7"/>
  <c r="AZ666" i="7"/>
  <c r="AK666" i="7"/>
  <c r="AS666" i="7"/>
  <c r="W666" i="7"/>
  <c r="BC666" i="7"/>
  <c r="AF229" i="7"/>
  <c r="AF238" i="7"/>
  <c r="AO682" i="7"/>
  <c r="BC229" i="7"/>
  <c r="BC238" i="7"/>
  <c r="N682" i="7"/>
  <c r="J229" i="7"/>
  <c r="J238" i="7"/>
  <c r="AB229" i="7"/>
  <c r="AB238" i="7"/>
  <c r="AZ181" i="7"/>
  <c r="BA604" i="7"/>
  <c r="BA181" i="7"/>
  <c r="BA190" i="7"/>
  <c r="R181" i="7"/>
  <c r="R190" i="7"/>
  <c r="AX604" i="7"/>
  <c r="AX190" i="7"/>
  <c r="S604" i="7"/>
  <c r="S181" i="7"/>
  <c r="S190" i="7"/>
  <c r="AI604" i="7"/>
  <c r="AI181" i="7"/>
  <c r="AI190" i="7"/>
  <c r="AU176" i="7"/>
  <c r="AL178" i="7"/>
  <c r="Y190" i="7"/>
  <c r="BC604" i="7"/>
  <c r="AR604" i="7"/>
  <c r="AR190" i="7"/>
  <c r="L181" i="7"/>
  <c r="L190" i="7"/>
  <c r="AF181" i="7"/>
  <c r="AF190" i="7"/>
  <c r="AK604" i="7"/>
  <c r="AE178" i="7"/>
  <c r="AB181" i="7"/>
  <c r="AB190" i="7"/>
  <c r="M181" i="7"/>
  <c r="M190" i="7"/>
  <c r="AC181" i="7"/>
  <c r="AC190" i="7"/>
  <c r="J604" i="7"/>
  <c r="J181" i="7"/>
  <c r="J190" i="7"/>
  <c r="AP181" i="7"/>
  <c r="AP190" i="7"/>
  <c r="K604" i="7"/>
  <c r="AA604" i="7"/>
  <c r="AQ181" i="7"/>
  <c r="AQ190" i="7"/>
  <c r="AR583" i="7"/>
  <c r="W583" i="7"/>
  <c r="W178" i="7"/>
  <c r="AH604" i="7"/>
  <c r="AH181" i="7"/>
  <c r="AH190" i="7"/>
  <c r="AN604" i="7"/>
  <c r="AW604" i="7"/>
  <c r="AS541" i="7"/>
  <c r="AS176" i="7"/>
  <c r="AU140" i="7"/>
  <c r="Q528" i="7"/>
  <c r="BE132" i="7"/>
  <c r="L135" i="7"/>
  <c r="L144" i="7"/>
  <c r="AK135" i="7"/>
  <c r="AK144" i="7"/>
  <c r="W528" i="7"/>
  <c r="AM528" i="7"/>
  <c r="AM135" i="7"/>
  <c r="AM144" i="7"/>
  <c r="BC135" i="7"/>
  <c r="BC144" i="7"/>
  <c r="AL186" i="7"/>
  <c r="AF135" i="7"/>
  <c r="AF144" i="7"/>
  <c r="H144" i="7"/>
  <c r="J528" i="7"/>
  <c r="J135" i="7"/>
  <c r="J144" i="7"/>
  <c r="AV140" i="7"/>
  <c r="L140" i="7"/>
  <c r="AL135" i="7"/>
  <c r="AL144" i="7"/>
  <c r="N135" i="7"/>
  <c r="N144" i="7"/>
  <c r="R528" i="7"/>
  <c r="R135" i="7"/>
  <c r="R144" i="7"/>
  <c r="AC528" i="7"/>
  <c r="AC135" i="7"/>
  <c r="AC144" i="7"/>
  <c r="AC186" i="7"/>
  <c r="BB465" i="7"/>
  <c r="BB130" i="7"/>
  <c r="BB135" i="7"/>
  <c r="BB144" i="7"/>
  <c r="AZ528" i="7"/>
  <c r="I528" i="7"/>
  <c r="I135" i="7"/>
  <c r="I144" i="7"/>
  <c r="M135" i="7"/>
  <c r="M144" i="7"/>
  <c r="AD140" i="7"/>
  <c r="AP507" i="7"/>
  <c r="AP132" i="7"/>
  <c r="AM132" i="7"/>
  <c r="BC132" i="7"/>
  <c r="AI486" i="7"/>
  <c r="AR528" i="7"/>
  <c r="AR135" i="7"/>
  <c r="AR144" i="7"/>
  <c r="V135" i="7"/>
  <c r="V144" i="7"/>
  <c r="AV528" i="7"/>
  <c r="AV135" i="7"/>
  <c r="AV144" i="7"/>
  <c r="Z135" i="7"/>
  <c r="Z144" i="7"/>
  <c r="T135" i="7"/>
  <c r="T144" i="7"/>
  <c r="O528" i="7"/>
  <c r="O135" i="7"/>
  <c r="O144" i="7"/>
  <c r="AE528" i="7"/>
  <c r="AE135" i="7"/>
  <c r="AE144" i="7"/>
  <c r="AU528" i="7"/>
  <c r="AU135" i="7"/>
  <c r="AU144" i="7"/>
  <c r="P528" i="7"/>
  <c r="P144" i="7"/>
  <c r="X135" i="7"/>
  <c r="X144" i="7"/>
  <c r="AS528" i="7"/>
  <c r="AS144" i="7"/>
  <c r="R186" i="7"/>
  <c r="AK140" i="7"/>
  <c r="M140" i="7"/>
  <c r="AL140" i="7"/>
  <c r="AH434" i="7"/>
  <c r="AU434" i="7"/>
  <c r="AV434" i="7"/>
  <c r="AS434" i="7"/>
  <c r="AI434" i="7"/>
  <c r="AJ434" i="7"/>
  <c r="AE434" i="7"/>
  <c r="AO434" i="7"/>
  <c r="AX434" i="7"/>
  <c r="BA434" i="7"/>
  <c r="AD434" i="7"/>
  <c r="AT434" i="7"/>
  <c r="AO82" i="7"/>
  <c r="M92" i="7"/>
  <c r="AV82" i="7"/>
  <c r="AX83" i="7"/>
  <c r="AK92" i="7"/>
  <c r="AF429" i="7"/>
  <c r="AF84" i="7"/>
  <c r="AQ92" i="7"/>
  <c r="AE92" i="7"/>
  <c r="AU82" i="7"/>
  <c r="BD408" i="7"/>
  <c r="AW92" i="7"/>
  <c r="AU92" i="7"/>
  <c r="AG541" i="7"/>
  <c r="BB486" i="7"/>
  <c r="AC738" i="7"/>
  <c r="AL619" i="7"/>
  <c r="AX696" i="7"/>
  <c r="AT619" i="7"/>
  <c r="AP696" i="7"/>
  <c r="AQ661" i="7"/>
  <c r="BA640" i="7"/>
  <c r="AC640" i="7"/>
  <c r="AS738" i="7"/>
  <c r="AS717" i="7"/>
  <c r="AT696" i="7"/>
  <c r="AG696" i="7"/>
  <c r="V583" i="7"/>
  <c r="AD738" i="7"/>
  <c r="AI738" i="7"/>
  <c r="AN738" i="7"/>
  <c r="AJ717" i="7"/>
  <c r="AQ717" i="7"/>
  <c r="BE696" i="7"/>
  <c r="AQ583" i="7"/>
  <c r="AG640" i="7"/>
  <c r="AD696" i="7"/>
  <c r="AQ465" i="7"/>
  <c r="Y696" i="7"/>
  <c r="AD717" i="7"/>
  <c r="AF717" i="7"/>
  <c r="AM583" i="7"/>
  <c r="AA696" i="7"/>
  <c r="AP541" i="7"/>
  <c r="AX541" i="7"/>
  <c r="AK738" i="7"/>
  <c r="BD717" i="7"/>
  <c r="AI717" i="7"/>
  <c r="AY717" i="7"/>
  <c r="W640" i="7"/>
  <c r="BA696" i="7"/>
  <c r="X562" i="7"/>
  <c r="AX640" i="7"/>
  <c r="AH640" i="7"/>
  <c r="AM619" i="7"/>
  <c r="AM640" i="7"/>
  <c r="AY738" i="7"/>
  <c r="AZ738" i="7"/>
  <c r="AO717" i="7"/>
  <c r="BE717" i="7"/>
  <c r="AW738" i="7"/>
  <c r="BD619" i="7"/>
  <c r="AB717" i="7"/>
  <c r="AA717" i="7"/>
  <c r="AK701" i="7"/>
  <c r="AE562" i="7"/>
  <c r="Y619" i="7"/>
  <c r="AB738" i="7"/>
  <c r="AC645" i="7"/>
  <c r="AH717" i="7"/>
  <c r="BE738" i="7"/>
  <c r="U541" i="7"/>
  <c r="AW541" i="7"/>
  <c r="AV696" i="7"/>
  <c r="AF696" i="7"/>
  <c r="AT738" i="7"/>
  <c r="AO738" i="7"/>
  <c r="AG717" i="7"/>
  <c r="W717" i="7"/>
  <c r="AM717" i="7"/>
  <c r="BB738" i="7"/>
  <c r="AM465" i="7"/>
  <c r="AR701" i="7"/>
  <c r="BC661" i="7"/>
  <c r="BD541" i="7"/>
  <c r="AU738" i="7"/>
  <c r="AP738" i="7"/>
  <c r="AZ717" i="7"/>
  <c r="AR717" i="7"/>
  <c r="BC640" i="7"/>
  <c r="AW661" i="7"/>
  <c r="X661" i="7"/>
  <c r="AD640" i="7"/>
  <c r="BE640" i="7"/>
  <c r="AF619" i="7"/>
  <c r="AJ619" i="7"/>
  <c r="AT486" i="7"/>
  <c r="AP640" i="7"/>
  <c r="Z640" i="7"/>
  <c r="AU661" i="7"/>
  <c r="AK661" i="7"/>
  <c r="AR619" i="7"/>
  <c r="AN624" i="7"/>
  <c r="X619" i="7"/>
  <c r="BC465" i="7"/>
  <c r="Z661" i="7"/>
  <c r="AV640" i="7"/>
  <c r="AF640" i="7"/>
  <c r="AB619" i="7"/>
  <c r="AH562" i="7"/>
  <c r="AT562" i="7"/>
  <c r="AE541" i="7"/>
  <c r="AC583" i="7"/>
  <c r="AK408" i="7"/>
  <c r="AK583" i="7"/>
  <c r="BB562" i="7"/>
  <c r="AB541" i="7"/>
  <c r="X541" i="7"/>
  <c r="AK562" i="7"/>
  <c r="Z583" i="7"/>
  <c r="AW583" i="7"/>
  <c r="AN546" i="7"/>
  <c r="AN541" i="7"/>
  <c r="AV562" i="7"/>
  <c r="AC541" i="7"/>
  <c r="AZ541" i="7"/>
  <c r="AR541" i="7"/>
  <c r="AI562" i="7"/>
  <c r="AY562" i="7"/>
  <c r="BA486" i="7"/>
  <c r="AO507" i="7"/>
  <c r="AT507" i="7"/>
  <c r="AZ491" i="7"/>
  <c r="AZ408" i="7"/>
  <c r="AC429" i="7"/>
  <c r="AG429" i="7"/>
  <c r="AD429" i="7"/>
  <c r="AT429" i="7"/>
  <c r="AS408" i="7"/>
  <c r="AS387" i="7"/>
  <c r="AS97" i="7"/>
  <c r="AV429" i="7"/>
  <c r="AK429" i="7"/>
  <c r="BA429" i="7"/>
  <c r="AU408" i="7"/>
  <c r="AE413" i="7"/>
  <c r="BE387" i="7"/>
  <c r="AN413" i="7"/>
  <c r="AY408" i="7"/>
  <c r="AV413" i="7"/>
  <c r="AB408" i="7"/>
  <c r="AE392" i="7"/>
  <c r="AD387" i="7"/>
  <c r="AD190" i="7"/>
  <c r="AA190" i="7"/>
  <c r="AZ190" i="7"/>
  <c r="G369" i="7"/>
  <c r="S50" i="6"/>
  <c r="R50" i="6"/>
  <c r="Q50" i="6"/>
  <c r="P50" i="6"/>
  <c r="O50" i="6"/>
  <c r="S49" i="6"/>
  <c r="R49" i="6"/>
  <c r="Q49" i="6"/>
  <c r="P49" i="6"/>
  <c r="O49" i="6"/>
  <c r="N50" i="6"/>
  <c r="N49" i="6"/>
  <c r="S45" i="6"/>
  <c r="R45" i="6"/>
  <c r="Q45" i="6"/>
  <c r="P45" i="6"/>
  <c r="O45" i="6"/>
  <c r="S44" i="6"/>
  <c r="R44" i="6"/>
  <c r="Q44" i="6"/>
  <c r="P44" i="6"/>
  <c r="O44" i="6"/>
  <c r="N45" i="6"/>
  <c r="G708" i="7"/>
  <c r="H726" i="7"/>
  <c r="G631" i="7"/>
  <c r="H649" i="7"/>
  <c r="G553" i="7"/>
  <c r="H572" i="7"/>
  <c r="G477" i="7"/>
  <c r="G399" i="7"/>
  <c r="H418" i="7"/>
  <c r="O76" i="6"/>
  <c r="G403" i="7"/>
  <c r="H419" i="7"/>
  <c r="H86" i="7"/>
  <c r="H95" i="7"/>
  <c r="G422" i="7"/>
  <c r="G380" i="7"/>
  <c r="G689" i="7"/>
  <c r="G731" i="7"/>
  <c r="H747" i="7"/>
  <c r="G500" i="7"/>
  <c r="G458" i="7"/>
  <c r="H474" i="7"/>
  <c r="H406" i="7"/>
  <c r="J407" i="7"/>
  <c r="J413" i="7"/>
  <c r="K407" i="7"/>
  <c r="K413" i="7"/>
  <c r="Z406" i="7"/>
  <c r="V407" i="7"/>
  <c r="V413" i="7"/>
  <c r="N406" i="7"/>
  <c r="N83" i="7"/>
  <c r="W406" i="7"/>
  <c r="W83" i="7"/>
  <c r="R407" i="7"/>
  <c r="R413" i="7"/>
  <c r="AA407" i="7"/>
  <c r="AA413" i="7"/>
  <c r="I406" i="7"/>
  <c r="Y406" i="7"/>
  <c r="Y83" i="7"/>
  <c r="X407" i="7"/>
  <c r="X413" i="7"/>
  <c r="Z407" i="7"/>
  <c r="Z413" i="7"/>
  <c r="W407" i="7"/>
  <c r="W413" i="7"/>
  <c r="Q407" i="7"/>
  <c r="Q413" i="7"/>
  <c r="J406" i="7"/>
  <c r="H407" i="7"/>
  <c r="H413" i="7"/>
  <c r="L406" i="7"/>
  <c r="L83" i="7"/>
  <c r="M406" i="7"/>
  <c r="M83" i="7"/>
  <c r="P407" i="7"/>
  <c r="P413" i="7"/>
  <c r="S407" i="7"/>
  <c r="S406" i="7"/>
  <c r="I407" i="7"/>
  <c r="N407" i="7"/>
  <c r="N413" i="7"/>
  <c r="U407" i="7"/>
  <c r="U413" i="7"/>
  <c r="AA406" i="7"/>
  <c r="AA83" i="7"/>
  <c r="Q406" i="7"/>
  <c r="T407" i="7"/>
  <c r="V406" i="7"/>
  <c r="V83" i="7"/>
  <c r="O406" i="7"/>
  <c r="R406" i="7"/>
  <c r="L407" i="7"/>
  <c r="L413" i="7"/>
  <c r="P406" i="7"/>
  <c r="O407" i="7"/>
  <c r="O413" i="7"/>
  <c r="T406" i="7"/>
  <c r="X406" i="7"/>
  <c r="M407" i="7"/>
  <c r="U406" i="7"/>
  <c r="U83" i="7"/>
  <c r="K406" i="7"/>
  <c r="K408" i="7"/>
  <c r="Y407" i="7"/>
  <c r="Y413" i="7"/>
  <c r="H496" i="7"/>
  <c r="AE485" i="7"/>
  <c r="H484" i="7"/>
  <c r="H131" i="7"/>
  <c r="U484" i="7"/>
  <c r="U131" i="7"/>
  <c r="K485" i="7"/>
  <c r="K491" i="7"/>
  <c r="AC484" i="7"/>
  <c r="AC485" i="7"/>
  <c r="AC486" i="7"/>
  <c r="K484" i="7"/>
  <c r="AB484" i="7"/>
  <c r="AC491" i="7"/>
  <c r="AA484" i="7"/>
  <c r="Q485" i="7"/>
  <c r="G490" i="7"/>
  <c r="G492" i="7"/>
  <c r="H489" i="7"/>
  <c r="Z485" i="7"/>
  <c r="Z491" i="7"/>
  <c r="S484" i="7"/>
  <c r="S131" i="7"/>
  <c r="AF484" i="7"/>
  <c r="AF131" i="7"/>
  <c r="AE484" i="7"/>
  <c r="AE131" i="7"/>
  <c r="I484" i="7"/>
  <c r="M485" i="7"/>
  <c r="M491" i="7"/>
  <c r="W484" i="7"/>
  <c r="J484" i="7"/>
  <c r="Z484" i="7"/>
  <c r="H485" i="7"/>
  <c r="H491" i="7"/>
  <c r="H492" i="7"/>
  <c r="I489" i="7"/>
  <c r="I485" i="7"/>
  <c r="I491" i="7"/>
  <c r="I492" i="7"/>
  <c r="X485" i="7"/>
  <c r="Y485" i="7"/>
  <c r="Y491" i="7"/>
  <c r="V485" i="7"/>
  <c r="S485" i="7"/>
  <c r="R485" i="7"/>
  <c r="R491" i="7"/>
  <c r="M484" i="7"/>
  <c r="T484" i="7"/>
  <c r="L484" i="7"/>
  <c r="L485" i="7"/>
  <c r="L486" i="7"/>
  <c r="L131" i="7"/>
  <c r="O485" i="7"/>
  <c r="O491" i="7"/>
  <c r="R484" i="7"/>
  <c r="R131" i="7"/>
  <c r="P485" i="7"/>
  <c r="P484" i="7"/>
  <c r="P486" i="7"/>
  <c r="P491" i="7"/>
  <c r="N485" i="7"/>
  <c r="N491" i="7"/>
  <c r="X484" i="7"/>
  <c r="X131" i="7"/>
  <c r="Y484" i="7"/>
  <c r="U485" i="7"/>
  <c r="U491" i="7"/>
  <c r="AB485" i="7"/>
  <c r="AB491" i="7"/>
  <c r="H495" i="7"/>
  <c r="AD485" i="7"/>
  <c r="AD491" i="7"/>
  <c r="W485" i="7"/>
  <c r="W491" i="7"/>
  <c r="N484" i="7"/>
  <c r="AF485" i="7"/>
  <c r="J485" i="7"/>
  <c r="J491" i="7"/>
  <c r="T485" i="7"/>
  <c r="Q484" i="7"/>
  <c r="Q131" i="7"/>
  <c r="V484" i="7"/>
  <c r="V131" i="7"/>
  <c r="L491" i="7"/>
  <c r="AA485" i="7"/>
  <c r="AA491" i="7"/>
  <c r="O484" i="7"/>
  <c r="O131" i="7"/>
  <c r="AD484" i="7"/>
  <c r="AD131" i="7"/>
  <c r="G612" i="7"/>
  <c r="H628" i="7"/>
  <c r="G654" i="7"/>
  <c r="G665" i="7"/>
  <c r="G667" i="7"/>
  <c r="H670" i="7"/>
  <c r="H561" i="7"/>
  <c r="H567" i="7"/>
  <c r="I560" i="7"/>
  <c r="J561" i="7"/>
  <c r="I561" i="7"/>
  <c r="K560" i="7"/>
  <c r="K177" i="7"/>
  <c r="N560" i="7"/>
  <c r="O561" i="7"/>
  <c r="O567" i="7"/>
  <c r="Q560" i="7"/>
  <c r="Q177" i="7"/>
  <c r="N561" i="7"/>
  <c r="N567" i="7"/>
  <c r="P561" i="7"/>
  <c r="H560" i="7"/>
  <c r="H177" i="7"/>
  <c r="L560" i="7"/>
  <c r="T560" i="7"/>
  <c r="T177" i="7"/>
  <c r="Q561" i="7"/>
  <c r="Q567" i="7"/>
  <c r="O560" i="7"/>
  <c r="R561" i="7"/>
  <c r="R567" i="7"/>
  <c r="M561" i="7"/>
  <c r="G566" i="7"/>
  <c r="G568" i="7"/>
  <c r="H565" i="7"/>
  <c r="H568" i="7"/>
  <c r="I565" i="7"/>
  <c r="I567" i="7"/>
  <c r="I568" i="7"/>
  <c r="J565" i="7"/>
  <c r="K561" i="7"/>
  <c r="S560" i="7"/>
  <c r="S561" i="7"/>
  <c r="S567" i="7"/>
  <c r="M560" i="7"/>
  <c r="M177" i="7"/>
  <c r="P560" i="7"/>
  <c r="P177" i="7"/>
  <c r="T561" i="7"/>
  <c r="J560" i="7"/>
  <c r="J177" i="7"/>
  <c r="L561" i="7"/>
  <c r="R560" i="7"/>
  <c r="K639" i="7"/>
  <c r="K645" i="7"/>
  <c r="Q639" i="7"/>
  <c r="Q638" i="7"/>
  <c r="Q225" i="7"/>
  <c r="M639" i="7"/>
  <c r="S639" i="7"/>
  <c r="I638" i="7"/>
  <c r="I225" i="7"/>
  <c r="K638" i="7"/>
  <c r="H638" i="7"/>
  <c r="H225" i="7"/>
  <c r="S638" i="7"/>
  <c r="T638" i="7"/>
  <c r="R639" i="7"/>
  <c r="R645" i="7"/>
  <c r="N638" i="7"/>
  <c r="L639" i="7"/>
  <c r="L645" i="7"/>
  <c r="O638" i="7"/>
  <c r="U638" i="7"/>
  <c r="U225" i="7"/>
  <c r="L638" i="7"/>
  <c r="P638" i="7"/>
  <c r="P225" i="7"/>
  <c r="V639" i="7"/>
  <c r="V645" i="7"/>
  <c r="H639" i="7"/>
  <c r="H645" i="7"/>
  <c r="O639" i="7"/>
  <c r="O645" i="7"/>
  <c r="G644" i="7"/>
  <c r="G646" i="7"/>
  <c r="H643" i="7"/>
  <c r="H646" i="7"/>
  <c r="I643" i="7"/>
  <c r="J639" i="7"/>
  <c r="J645" i="7"/>
  <c r="R638" i="7"/>
  <c r="T639" i="7"/>
  <c r="T645" i="7"/>
  <c r="J638" i="7"/>
  <c r="J225" i="7"/>
  <c r="I639" i="7"/>
  <c r="P639" i="7"/>
  <c r="P645" i="7"/>
  <c r="H650" i="7"/>
  <c r="U639" i="7"/>
  <c r="M638" i="7"/>
  <c r="M225" i="7"/>
  <c r="N639" i="7"/>
  <c r="N645" i="7"/>
  <c r="V638" i="7"/>
  <c r="V225" i="7"/>
  <c r="M716" i="7"/>
  <c r="M722" i="7"/>
  <c r="O715" i="7"/>
  <c r="O271" i="7"/>
  <c r="V716" i="7"/>
  <c r="V722" i="7"/>
  <c r="O716" i="7"/>
  <c r="O722" i="7"/>
  <c r="V715" i="7"/>
  <c r="V271" i="7"/>
  <c r="T715" i="7"/>
  <c r="T271" i="7"/>
  <c r="H716" i="7"/>
  <c r="H722" i="7"/>
  <c r="N715" i="7"/>
  <c r="N716" i="7"/>
  <c r="N722" i="7"/>
  <c r="Q716" i="7"/>
  <c r="Q722" i="7"/>
  <c r="S715" i="7"/>
  <c r="S271" i="7"/>
  <c r="T716" i="7"/>
  <c r="T722" i="7"/>
  <c r="J715" i="7"/>
  <c r="J271" i="7"/>
  <c r="M715" i="7"/>
  <c r="H715" i="7"/>
  <c r="H717" i="7"/>
  <c r="K715" i="7"/>
  <c r="K271" i="7"/>
  <c r="K716" i="7"/>
  <c r="K722" i="7"/>
  <c r="Q715" i="7"/>
  <c r="Q271" i="7"/>
  <c r="R716" i="7"/>
  <c r="R722" i="7"/>
  <c r="I715" i="7"/>
  <c r="I716" i="7"/>
  <c r="I717" i="7"/>
  <c r="I271" i="7"/>
  <c r="I722" i="7"/>
  <c r="J716" i="7"/>
  <c r="J722" i="7"/>
  <c r="S716" i="7"/>
  <c r="S722" i="7"/>
  <c r="U715" i="7"/>
  <c r="L716" i="7"/>
  <c r="L722" i="7"/>
  <c r="P715" i="7"/>
  <c r="L715" i="7"/>
  <c r="L717" i="7"/>
  <c r="R715" i="7"/>
  <c r="R271" i="7"/>
  <c r="U716" i="7"/>
  <c r="U722" i="7"/>
  <c r="P716" i="7"/>
  <c r="P722" i="7"/>
  <c r="G576" i="7"/>
  <c r="H592" i="7"/>
  <c r="G534" i="7"/>
  <c r="H550" i="7"/>
  <c r="H571" i="7"/>
  <c r="H179" i="7"/>
  <c r="H188" i="7"/>
  <c r="BB374" i="7"/>
  <c r="X374" i="7"/>
  <c r="AK374" i="7"/>
  <c r="Z374" i="7"/>
  <c r="AO374" i="7"/>
  <c r="N374" i="7"/>
  <c r="I374" i="7"/>
  <c r="AA374" i="7"/>
  <c r="Q374" i="7"/>
  <c r="AQ374" i="7"/>
  <c r="AN450" i="7"/>
  <c r="X450" i="7"/>
  <c r="P450" i="7"/>
  <c r="BB450" i="7"/>
  <c r="AL450" i="7"/>
  <c r="AA450" i="7"/>
  <c r="Q450" i="7"/>
  <c r="AH450" i="7"/>
  <c r="BA450" i="7"/>
  <c r="Z450" i="7"/>
  <c r="O450" i="7"/>
  <c r="AC450" i="7"/>
  <c r="M450" i="7"/>
  <c r="AT450" i="7"/>
  <c r="AO450" i="7"/>
  <c r="AI450" i="7"/>
  <c r="S450" i="7"/>
  <c r="N450" i="7"/>
  <c r="Q717" i="7"/>
  <c r="S225" i="7"/>
  <c r="O618" i="7"/>
  <c r="O624" i="7"/>
  <c r="U618" i="7"/>
  <c r="U624" i="7"/>
  <c r="R618" i="7"/>
  <c r="R624" i="7"/>
  <c r="N618" i="7"/>
  <c r="N624" i="7"/>
  <c r="P617" i="7"/>
  <c r="S618" i="7"/>
  <c r="S624" i="7"/>
  <c r="T617" i="7"/>
  <c r="J618" i="7"/>
  <c r="J624" i="7"/>
  <c r="Q617" i="7"/>
  <c r="L617" i="7"/>
  <c r="L224" i="7"/>
  <c r="R617" i="7"/>
  <c r="P618" i="7"/>
  <c r="P624" i="7"/>
  <c r="S617" i="7"/>
  <c r="Q618" i="7"/>
  <c r="M617" i="7"/>
  <c r="V618" i="7"/>
  <c r="J617" i="7"/>
  <c r="L618" i="7"/>
  <c r="L624" i="7"/>
  <c r="K617" i="7"/>
  <c r="K224" i="7"/>
  <c r="U617" i="7"/>
  <c r="V617" i="7"/>
  <c r="V224" i="7"/>
  <c r="I618" i="7"/>
  <c r="I624" i="7"/>
  <c r="K618" i="7"/>
  <c r="M618" i="7"/>
  <c r="M624" i="7"/>
  <c r="I617" i="7"/>
  <c r="N617" i="7"/>
  <c r="N224" i="7"/>
  <c r="O617" i="7"/>
  <c r="H617" i="7"/>
  <c r="H224" i="7"/>
  <c r="H618" i="7"/>
  <c r="H624" i="7"/>
  <c r="T618" i="7"/>
  <c r="T624" i="7"/>
  <c r="AA131" i="7"/>
  <c r="AC131" i="7"/>
  <c r="AD506" i="7"/>
  <c r="Y506" i="7"/>
  <c r="Y512" i="7"/>
  <c r="I506" i="7"/>
  <c r="I512" i="7"/>
  <c r="AA505" i="7"/>
  <c r="K505" i="7"/>
  <c r="S506" i="7"/>
  <c r="S512" i="7"/>
  <c r="U505" i="7"/>
  <c r="N506" i="7"/>
  <c r="N512" i="7"/>
  <c r="AF505" i="7"/>
  <c r="AF506" i="7"/>
  <c r="L505" i="7"/>
  <c r="L132" i="7"/>
  <c r="Z505" i="7"/>
  <c r="Z132" i="7"/>
  <c r="J505" i="7"/>
  <c r="N505" i="7"/>
  <c r="N132" i="7"/>
  <c r="Q506" i="7"/>
  <c r="Q512" i="7"/>
  <c r="S505" i="7"/>
  <c r="S132" i="7"/>
  <c r="AB506" i="7"/>
  <c r="AB512" i="7"/>
  <c r="K506" i="7"/>
  <c r="K512" i="7"/>
  <c r="AC505" i="7"/>
  <c r="AC132" i="7"/>
  <c r="M505" i="7"/>
  <c r="M132" i="7"/>
  <c r="AF512" i="7"/>
  <c r="P505" i="7"/>
  <c r="P132" i="7"/>
  <c r="T506" i="7"/>
  <c r="T512" i="7"/>
  <c r="AB505" i="7"/>
  <c r="AB132" i="7"/>
  <c r="AA506" i="7"/>
  <c r="L506" i="7"/>
  <c r="R506" i="7"/>
  <c r="R512" i="7"/>
  <c r="H506" i="7"/>
  <c r="H512" i="7"/>
  <c r="AE506" i="7"/>
  <c r="AE512" i="7"/>
  <c r="I505" i="7"/>
  <c r="I132" i="7"/>
  <c r="H505" i="7"/>
  <c r="H132" i="7"/>
  <c r="U506" i="7"/>
  <c r="AE505" i="7"/>
  <c r="W506" i="7"/>
  <c r="W512" i="7"/>
  <c r="P506" i="7"/>
  <c r="V505" i="7"/>
  <c r="AD505" i="7"/>
  <c r="V506" i="7"/>
  <c r="V512" i="7"/>
  <c r="J506" i="7"/>
  <c r="J512" i="7"/>
  <c r="X506" i="7"/>
  <c r="X512" i="7"/>
  <c r="T505" i="7"/>
  <c r="T507" i="7"/>
  <c r="Z506" i="7"/>
  <c r="M506" i="7"/>
  <c r="M512" i="7"/>
  <c r="W505" i="7"/>
  <c r="O506" i="7"/>
  <c r="O512" i="7"/>
  <c r="Y505" i="7"/>
  <c r="R505" i="7"/>
  <c r="AC506" i="7"/>
  <c r="AC512" i="7"/>
  <c r="O505" i="7"/>
  <c r="Q505" i="7"/>
  <c r="Q132" i="7"/>
  <c r="X505" i="7"/>
  <c r="X132" i="7"/>
  <c r="J640" i="7"/>
  <c r="L177" i="7"/>
  <c r="AD486" i="7"/>
  <c r="T131" i="7"/>
  <c r="I131" i="7"/>
  <c r="Z83" i="7"/>
  <c r="Z408" i="7"/>
  <c r="V736" i="7"/>
  <c r="V272" i="7"/>
  <c r="I736" i="7"/>
  <c r="O737" i="7"/>
  <c r="O743" i="7"/>
  <c r="H737" i="7"/>
  <c r="H743" i="7"/>
  <c r="R737" i="7"/>
  <c r="R743" i="7"/>
  <c r="T736" i="7"/>
  <c r="T272" i="7"/>
  <c r="Q737" i="7"/>
  <c r="Q743" i="7"/>
  <c r="S736" i="7"/>
  <c r="S272" i="7"/>
  <c r="U736" i="7"/>
  <c r="T737" i="7"/>
  <c r="T743" i="7"/>
  <c r="R736" i="7"/>
  <c r="R272" i="7"/>
  <c r="V737" i="7"/>
  <c r="V743" i="7"/>
  <c r="H736" i="7"/>
  <c r="U737" i="7"/>
  <c r="U743" i="7"/>
  <c r="M736" i="7"/>
  <c r="P736" i="7"/>
  <c r="O736" i="7"/>
  <c r="O272" i="7"/>
  <c r="L737" i="7"/>
  <c r="L743" i="7"/>
  <c r="Q736" i="7"/>
  <c r="Q272" i="7"/>
  <c r="J736" i="7"/>
  <c r="J272" i="7"/>
  <c r="J737" i="7"/>
  <c r="J743" i="7"/>
  <c r="I737" i="7"/>
  <c r="I743" i="7"/>
  <c r="K737" i="7"/>
  <c r="K743" i="7"/>
  <c r="N736" i="7"/>
  <c r="N272" i="7"/>
  <c r="S737" i="7"/>
  <c r="S743" i="7"/>
  <c r="P737" i="7"/>
  <c r="P743" i="7"/>
  <c r="L736" i="7"/>
  <c r="M737" i="7"/>
  <c r="M743" i="7"/>
  <c r="N737" i="7"/>
  <c r="N743" i="7"/>
  <c r="K736" i="7"/>
  <c r="K272" i="7"/>
  <c r="O540" i="7"/>
  <c r="O546" i="7"/>
  <c r="Q539" i="7"/>
  <c r="Q176" i="7"/>
  <c r="N540" i="7"/>
  <c r="N546" i="7"/>
  <c r="H539" i="7"/>
  <c r="H176" i="7"/>
  <c r="R539" i="7"/>
  <c r="R176" i="7"/>
  <c r="P540" i="7"/>
  <c r="P546" i="7"/>
  <c r="G545" i="7"/>
  <c r="G547" i="7"/>
  <c r="H544" i="7"/>
  <c r="H540" i="7"/>
  <c r="H546" i="7"/>
  <c r="H547" i="7"/>
  <c r="I544" i="7"/>
  <c r="I540" i="7"/>
  <c r="I546" i="7"/>
  <c r="P539" i="7"/>
  <c r="R540" i="7"/>
  <c r="T539" i="7"/>
  <c r="J540" i="7"/>
  <c r="N539" i="7"/>
  <c r="N541" i="7"/>
  <c r="T540" i="7"/>
  <c r="T546" i="7"/>
  <c r="I539" i="7"/>
  <c r="K540" i="7"/>
  <c r="M539" i="7"/>
  <c r="O539" i="7"/>
  <c r="L540" i="7"/>
  <c r="L546" i="7"/>
  <c r="M540" i="7"/>
  <c r="M546" i="7"/>
  <c r="L539" i="7"/>
  <c r="Q540" i="7"/>
  <c r="Q546" i="7"/>
  <c r="S540" i="7"/>
  <c r="S546" i="7"/>
  <c r="K539" i="7"/>
  <c r="K176" i="7"/>
  <c r="S539" i="7"/>
  <c r="J539" i="7"/>
  <c r="R717" i="7"/>
  <c r="H640" i="7"/>
  <c r="O177" i="7"/>
  <c r="R486" i="7"/>
  <c r="J131" i="7"/>
  <c r="J486" i="7"/>
  <c r="K83" i="7"/>
  <c r="T83" i="7"/>
  <c r="R83" i="7"/>
  <c r="R695" i="7"/>
  <c r="Q695" i="7"/>
  <c r="Q701" i="7"/>
  <c r="H694" i="7"/>
  <c r="H270" i="7"/>
  <c r="K694" i="7"/>
  <c r="O694" i="7"/>
  <c r="O270" i="7"/>
  <c r="Q694" i="7"/>
  <c r="R694" i="7"/>
  <c r="R270" i="7"/>
  <c r="P695" i="7"/>
  <c r="P701" i="7"/>
  <c r="U695" i="7"/>
  <c r="U701" i="7"/>
  <c r="V695" i="7"/>
  <c r="V701" i="7"/>
  <c r="M694" i="7"/>
  <c r="M270" i="7"/>
  <c r="U694" i="7"/>
  <c r="U270" i="7"/>
  <c r="P694" i="7"/>
  <c r="P270" i="7"/>
  <c r="L694" i="7"/>
  <c r="N694" i="7"/>
  <c r="N270" i="7"/>
  <c r="L695" i="7"/>
  <c r="L701" i="7"/>
  <c r="H695" i="7"/>
  <c r="H701" i="7"/>
  <c r="K695" i="7"/>
  <c r="K701" i="7"/>
  <c r="S695" i="7"/>
  <c r="S701" i="7"/>
  <c r="T694" i="7"/>
  <c r="I694" i="7"/>
  <c r="J695" i="7"/>
  <c r="J701" i="7"/>
  <c r="J694" i="7"/>
  <c r="N695" i="7"/>
  <c r="N696" i="7"/>
  <c r="N701" i="7"/>
  <c r="T695" i="7"/>
  <c r="T701" i="7"/>
  <c r="M695" i="7"/>
  <c r="M701" i="7"/>
  <c r="O695" i="7"/>
  <c r="O701" i="7"/>
  <c r="S694" i="7"/>
  <c r="S270" i="7"/>
  <c r="I695" i="7"/>
  <c r="I701" i="7"/>
  <c r="V694" i="7"/>
  <c r="V270" i="7"/>
  <c r="M581" i="7"/>
  <c r="M178" i="7"/>
  <c r="S582" i="7"/>
  <c r="S588" i="7"/>
  <c r="P581" i="7"/>
  <c r="G587" i="7"/>
  <c r="G589" i="7"/>
  <c r="H586" i="7"/>
  <c r="O582" i="7"/>
  <c r="O588" i="7"/>
  <c r="T582" i="7"/>
  <c r="T588" i="7"/>
  <c r="S581" i="7"/>
  <c r="Q582" i="7"/>
  <c r="Q588" i="7"/>
  <c r="K582" i="7"/>
  <c r="I582" i="7"/>
  <c r="I588" i="7"/>
  <c r="H581" i="7"/>
  <c r="I581" i="7"/>
  <c r="I583" i="7"/>
  <c r="L581" i="7"/>
  <c r="R582" i="7"/>
  <c r="R588" i="7"/>
  <c r="N581" i="7"/>
  <c r="L582" i="7"/>
  <c r="L588" i="7"/>
  <c r="O581" i="7"/>
  <c r="N582" i="7"/>
  <c r="N588" i="7"/>
  <c r="T581" i="7"/>
  <c r="H582" i="7"/>
  <c r="H588" i="7"/>
  <c r="Q581" i="7"/>
  <c r="J581" i="7"/>
  <c r="J178" i="7"/>
  <c r="P582" i="7"/>
  <c r="M582" i="7"/>
  <c r="J582" i="7"/>
  <c r="J588" i="7"/>
  <c r="R581" i="7"/>
  <c r="K581" i="7"/>
  <c r="V717" i="7"/>
  <c r="I177" i="7"/>
  <c r="K660" i="7"/>
  <c r="K666" i="7"/>
  <c r="K659" i="7"/>
  <c r="I660" i="7"/>
  <c r="I666" i="7"/>
  <c r="S659" i="7"/>
  <c r="S226" i="7"/>
  <c r="H659" i="7"/>
  <c r="H226" i="7"/>
  <c r="Q660" i="7"/>
  <c r="V660" i="7"/>
  <c r="V666" i="7"/>
  <c r="M659" i="7"/>
  <c r="M226" i="7"/>
  <c r="U659" i="7"/>
  <c r="U226" i="7"/>
  <c r="P659" i="7"/>
  <c r="P226" i="7"/>
  <c r="N660" i="7"/>
  <c r="N666" i="7"/>
  <c r="T659" i="7"/>
  <c r="Q659" i="7"/>
  <c r="Q226" i="7"/>
  <c r="V659" i="7"/>
  <c r="V661" i="7"/>
  <c r="T660" i="7"/>
  <c r="R660" i="7"/>
  <c r="R666" i="7"/>
  <c r="J660" i="7"/>
  <c r="J666" i="7"/>
  <c r="J659" i="7"/>
  <c r="J226" i="7"/>
  <c r="L660" i="7"/>
  <c r="L666" i="7"/>
  <c r="O659" i="7"/>
  <c r="R659" i="7"/>
  <c r="M660" i="7"/>
  <c r="M666" i="7"/>
  <c r="L659" i="7"/>
  <c r="N659" i="7"/>
  <c r="U660" i="7"/>
  <c r="U666" i="7"/>
  <c r="S660" i="7"/>
  <c r="O660" i="7"/>
  <c r="O666" i="7"/>
  <c r="H664" i="7"/>
  <c r="H660" i="7"/>
  <c r="P660" i="7"/>
  <c r="I659" i="7"/>
  <c r="P131" i="7"/>
  <c r="K131" i="7"/>
  <c r="U408" i="7"/>
  <c r="I83" i="7"/>
  <c r="X463" i="7"/>
  <c r="Z464" i="7"/>
  <c r="Z470" i="7"/>
  <c r="Y464" i="7"/>
  <c r="Y470" i="7"/>
  <c r="V464" i="7"/>
  <c r="V470" i="7"/>
  <c r="T463" i="7"/>
  <c r="L463" i="7"/>
  <c r="R464" i="7"/>
  <c r="M463" i="7"/>
  <c r="M130" i="7"/>
  <c r="J463" i="7"/>
  <c r="Z463" i="7"/>
  <c r="H464" i="7"/>
  <c r="H470" i="7"/>
  <c r="X464" i="7"/>
  <c r="X465" i="7"/>
  <c r="X470" i="7"/>
  <c r="K464" i="7"/>
  <c r="K470" i="7"/>
  <c r="O463" i="7"/>
  <c r="I464" i="7"/>
  <c r="I470" i="7"/>
  <c r="AE464" i="7"/>
  <c r="AE470" i="7"/>
  <c r="J464" i="7"/>
  <c r="J470" i="7"/>
  <c r="H463" i="7"/>
  <c r="N464" i="7"/>
  <c r="N470" i="7"/>
  <c r="AC463" i="7"/>
  <c r="O464" i="7"/>
  <c r="R463" i="7"/>
  <c r="R130" i="7"/>
  <c r="P464" i="7"/>
  <c r="P470" i="7"/>
  <c r="AF464" i="7"/>
  <c r="AF470" i="7"/>
  <c r="Q463" i="7"/>
  <c r="Q130" i="7"/>
  <c r="AA464" i="7"/>
  <c r="AA470" i="7"/>
  <c r="W463" i="7"/>
  <c r="Q464" i="7"/>
  <c r="Q470" i="7"/>
  <c r="U463" i="7"/>
  <c r="N463" i="7"/>
  <c r="N130" i="7"/>
  <c r="K463" i="7"/>
  <c r="U464" i="7"/>
  <c r="G469" i="7"/>
  <c r="G471" i="7"/>
  <c r="H468" i="7"/>
  <c r="H471" i="7"/>
  <c r="I468" i="7"/>
  <c r="P463" i="7"/>
  <c r="W464" i="7"/>
  <c r="W470" i="7"/>
  <c r="V463" i="7"/>
  <c r="L464" i="7"/>
  <c r="I463" i="7"/>
  <c r="S463" i="7"/>
  <c r="S130" i="7"/>
  <c r="AC464" i="7"/>
  <c r="AC470" i="7"/>
  <c r="AB464" i="7"/>
  <c r="M464" i="7"/>
  <c r="M470" i="7"/>
  <c r="AE463" i="7"/>
  <c r="AF463" i="7"/>
  <c r="AF130" i="7"/>
  <c r="AB463" i="7"/>
  <c r="AD463" i="7"/>
  <c r="T464" i="7"/>
  <c r="T470" i="7"/>
  <c r="Y463" i="7"/>
  <c r="Y130" i="7"/>
  <c r="AA463" i="7"/>
  <c r="AD464" i="7"/>
  <c r="AD470" i="7"/>
  <c r="S464" i="7"/>
  <c r="S470" i="7"/>
  <c r="H396" i="7"/>
  <c r="U385" i="7"/>
  <c r="U82" i="7"/>
  <c r="X385" i="7"/>
  <c r="P385" i="7"/>
  <c r="P82" i="7"/>
  <c r="T386" i="7"/>
  <c r="T392" i="7"/>
  <c r="S386" i="7"/>
  <c r="S392" i="7"/>
  <c r="W385" i="7"/>
  <c r="W82" i="7"/>
  <c r="I385" i="7"/>
  <c r="Y385" i="7"/>
  <c r="Y82" i="7"/>
  <c r="O385" i="7"/>
  <c r="O82" i="7"/>
  <c r="W386" i="7"/>
  <c r="W392" i="7"/>
  <c r="Q385" i="7"/>
  <c r="Q82" i="7"/>
  <c r="R386" i="7"/>
  <c r="R392" i="7"/>
  <c r="L386" i="7"/>
  <c r="L392" i="7"/>
  <c r="Z385" i="7"/>
  <c r="Z82" i="7"/>
  <c r="J385" i="7"/>
  <c r="V386" i="7"/>
  <c r="V392" i="7"/>
  <c r="J386" i="7"/>
  <c r="J392" i="7"/>
  <c r="G391" i="7"/>
  <c r="G393" i="7"/>
  <c r="H390" i="7"/>
  <c r="K386" i="7"/>
  <c r="K392" i="7"/>
  <c r="H386" i="7"/>
  <c r="H392" i="7"/>
  <c r="M386" i="7"/>
  <c r="M392" i="7"/>
  <c r="Z386" i="7"/>
  <c r="Z392" i="7"/>
  <c r="V385" i="7"/>
  <c r="Y386" i="7"/>
  <c r="Y392" i="7"/>
  <c r="R385" i="7"/>
  <c r="M385" i="7"/>
  <c r="T385" i="7"/>
  <c r="AA386" i="7"/>
  <c r="AA392" i="7"/>
  <c r="P386" i="7"/>
  <c r="P392" i="7"/>
  <c r="K385" i="7"/>
  <c r="K82" i="7"/>
  <c r="H385" i="7"/>
  <c r="H82" i="7"/>
  <c r="Q386" i="7"/>
  <c r="I386" i="7"/>
  <c r="I392" i="7"/>
  <c r="U386" i="7"/>
  <c r="X386" i="7"/>
  <c r="X392" i="7"/>
  <c r="N386" i="7"/>
  <c r="N385" i="7"/>
  <c r="S385" i="7"/>
  <c r="S82" i="7"/>
  <c r="AA385" i="7"/>
  <c r="AA82" i="7"/>
  <c r="L385" i="7"/>
  <c r="L82" i="7"/>
  <c r="O386" i="7"/>
  <c r="AA428" i="7"/>
  <c r="AA434" i="7"/>
  <c r="V428" i="7"/>
  <c r="W427" i="7"/>
  <c r="H427" i="7"/>
  <c r="M428" i="7"/>
  <c r="N427" i="7"/>
  <c r="N84" i="7"/>
  <c r="P428" i="7"/>
  <c r="P434" i="7"/>
  <c r="Q427" i="7"/>
  <c r="X427" i="7"/>
  <c r="S428" i="7"/>
  <c r="S434" i="7"/>
  <c r="J428" i="7"/>
  <c r="J434" i="7"/>
  <c r="AA427" i="7"/>
  <c r="Y428" i="7"/>
  <c r="Y434" i="7"/>
  <c r="V427" i="7"/>
  <c r="T428" i="7"/>
  <c r="T434" i="7"/>
  <c r="M427" i="7"/>
  <c r="M84" i="7"/>
  <c r="W428" i="7"/>
  <c r="W434" i="7"/>
  <c r="T427" i="7"/>
  <c r="L427" i="7"/>
  <c r="L428" i="7"/>
  <c r="L429" i="7"/>
  <c r="Z428" i="7"/>
  <c r="Z434" i="7"/>
  <c r="S427" i="7"/>
  <c r="S429" i="7"/>
  <c r="U428" i="7"/>
  <c r="U434" i="7"/>
  <c r="R427" i="7"/>
  <c r="R84" i="7"/>
  <c r="L434" i="7"/>
  <c r="I427" i="7"/>
  <c r="I84" i="7"/>
  <c r="N428" i="7"/>
  <c r="I428" i="7"/>
  <c r="I434" i="7"/>
  <c r="Z427" i="7"/>
  <c r="Z84" i="7"/>
  <c r="X428" i="7"/>
  <c r="H428" i="7"/>
  <c r="R428" i="7"/>
  <c r="R434" i="7"/>
  <c r="O427" i="7"/>
  <c r="O428" i="7"/>
  <c r="O429" i="7"/>
  <c r="Q428" i="7"/>
  <c r="Q434" i="7"/>
  <c r="J427" i="7"/>
  <c r="Y427" i="7"/>
  <c r="Y429" i="7"/>
  <c r="P427" i="7"/>
  <c r="P84" i="7"/>
  <c r="K428" i="7"/>
  <c r="K434" i="7"/>
  <c r="K427" i="7"/>
  <c r="U427" i="7"/>
  <c r="U84" i="7"/>
  <c r="U374" i="7"/>
  <c r="K374" i="7"/>
  <c r="AU374" i="7"/>
  <c r="M374" i="7"/>
  <c r="P374" i="7"/>
  <c r="AV374" i="7"/>
  <c r="AE374" i="7"/>
  <c r="T374" i="7"/>
  <c r="AJ374" i="7"/>
  <c r="AD374" i="7"/>
  <c r="V374" i="7"/>
  <c r="AH374" i="7"/>
  <c r="AY374" i="7"/>
  <c r="AF374" i="7"/>
  <c r="BE374" i="7"/>
  <c r="W374" i="7"/>
  <c r="AS374" i="7"/>
  <c r="AL374" i="7"/>
  <c r="Y374" i="7"/>
  <c r="AT374" i="7"/>
  <c r="AP374" i="7"/>
  <c r="AN374" i="7"/>
  <c r="V48" i="8"/>
  <c r="R224" i="7"/>
  <c r="G299" i="4"/>
  <c r="U696" i="7"/>
  <c r="N738" i="7"/>
  <c r="O738" i="7"/>
  <c r="O84" i="7"/>
  <c r="X84" i="7"/>
  <c r="T82" i="7"/>
  <c r="I82" i="7"/>
  <c r="I387" i="7"/>
  <c r="S465" i="7"/>
  <c r="K130" i="7"/>
  <c r="K465" i="7"/>
  <c r="I178" i="7"/>
  <c r="Q541" i="7"/>
  <c r="X507" i="7"/>
  <c r="V132" i="7"/>
  <c r="M507" i="7"/>
  <c r="U132" i="7"/>
  <c r="R429" i="7"/>
  <c r="H84" i="7"/>
  <c r="M82" i="7"/>
  <c r="M387" i="7"/>
  <c r="P130" i="7"/>
  <c r="N465" i="7"/>
  <c r="O130" i="7"/>
  <c r="L130" i="7"/>
  <c r="K178" i="7"/>
  <c r="N178" i="7"/>
  <c r="S178" i="7"/>
  <c r="S583" i="7"/>
  <c r="P178" i="7"/>
  <c r="M696" i="7"/>
  <c r="N176" i="7"/>
  <c r="H507" i="7"/>
  <c r="AC507" i="7"/>
  <c r="P429" i="7"/>
  <c r="H387" i="7"/>
  <c r="K84" i="7"/>
  <c r="K429" i="7"/>
  <c r="T84" i="7"/>
  <c r="W84" i="7"/>
  <c r="N82" i="7"/>
  <c r="AB130" i="7"/>
  <c r="U130" i="7"/>
  <c r="X130" i="7"/>
  <c r="J176" i="7"/>
  <c r="O132" i="7"/>
  <c r="O507" i="7"/>
  <c r="Y132" i="7"/>
  <c r="Y507" i="7"/>
  <c r="AF132" i="7"/>
  <c r="K507" i="7"/>
  <c r="K132" i="7"/>
  <c r="Y387" i="7"/>
  <c r="Y465" i="7"/>
  <c r="Y486" i="7"/>
  <c r="Y145" i="7"/>
  <c r="AF465" i="7"/>
  <c r="V130" i="7"/>
  <c r="V465" i="7"/>
  <c r="M465" i="7"/>
  <c r="M486" i="7"/>
  <c r="M145" i="7"/>
  <c r="Q178" i="7"/>
  <c r="Q583" i="7"/>
  <c r="L178" i="7"/>
  <c r="L176" i="7"/>
  <c r="L541" i="7"/>
  <c r="I176" i="7"/>
  <c r="I541" i="7"/>
  <c r="T132" i="7"/>
  <c r="AD132" i="7"/>
  <c r="AE507" i="7"/>
  <c r="AE132" i="7"/>
  <c r="J507" i="7"/>
  <c r="J132" i="7"/>
  <c r="AA132" i="7"/>
  <c r="L619" i="7"/>
  <c r="O358" i="7"/>
  <c r="I358" i="7"/>
  <c r="T358" i="7"/>
  <c r="H358" i="7"/>
  <c r="P358" i="7"/>
  <c r="W358" i="7"/>
  <c r="AT358" i="7"/>
  <c r="AJ358" i="7"/>
  <c r="BA358" i="7"/>
  <c r="AN358" i="7"/>
  <c r="AY358" i="7"/>
  <c r="AA358" i="7"/>
  <c r="F845" i="7"/>
  <c r="F844" i="7"/>
  <c r="G844" i="7"/>
  <c r="D838" i="7"/>
  <c r="Z840" i="7"/>
  <c r="BB840" i="7"/>
  <c r="C836" i="7"/>
  <c r="F831" i="7"/>
  <c r="F830" i="7"/>
  <c r="G830" i="7"/>
  <c r="D824" i="7"/>
  <c r="BA826" i="7"/>
  <c r="C822" i="7"/>
  <c r="F817" i="7"/>
  <c r="F816" i="7"/>
  <c r="G816" i="7"/>
  <c r="D810" i="7"/>
  <c r="AS812" i="7"/>
  <c r="C808" i="7"/>
  <c r="S90" i="6"/>
  <c r="R90" i="6"/>
  <c r="Q90" i="6"/>
  <c r="P90" i="6"/>
  <c r="O90" i="6"/>
  <c r="N90" i="6"/>
  <c r="S58" i="6"/>
  <c r="R58" i="6"/>
  <c r="Q58" i="6"/>
  <c r="P58" i="6"/>
  <c r="O58" i="6"/>
  <c r="N58" i="6"/>
  <c r="S27" i="6"/>
  <c r="R27" i="6"/>
  <c r="Q27" i="6"/>
  <c r="P27" i="6"/>
  <c r="O27" i="6"/>
  <c r="N27" i="6"/>
  <c r="L316" i="7"/>
  <c r="H316" i="7"/>
  <c r="I316" i="7"/>
  <c r="O316" i="7"/>
  <c r="K316" i="7"/>
  <c r="P316" i="7"/>
  <c r="Q316" i="7"/>
  <c r="M316" i="7"/>
  <c r="S316" i="7"/>
  <c r="BE337" i="7"/>
  <c r="BA337" i="7"/>
  <c r="AW337" i="7"/>
  <c r="BB337" i="7"/>
  <c r="AV337" i="7"/>
  <c r="AQ337" i="7"/>
  <c r="AL337" i="7"/>
  <c r="P337" i="7"/>
  <c r="AZ337" i="7"/>
  <c r="AT337" i="7"/>
  <c r="AM337" i="7"/>
  <c r="AU337" i="7"/>
  <c r="AJ337" i="7"/>
  <c r="AH337" i="7"/>
  <c r="AY337" i="7"/>
  <c r="BC337" i="7"/>
  <c r="AP337" i="7"/>
  <c r="AD337" i="7"/>
  <c r="AN337" i="7"/>
  <c r="AI337" i="7"/>
  <c r="AP798" i="7"/>
  <c r="Z798" i="7"/>
  <c r="J798" i="7"/>
  <c r="W798" i="7"/>
  <c r="AZ798" i="7"/>
  <c r="AZ802" i="7"/>
  <c r="AJ798" i="7"/>
  <c r="O798" i="7"/>
  <c r="AK798" i="7"/>
  <c r="AS798" i="7"/>
  <c r="M798" i="7"/>
  <c r="U798" i="7"/>
  <c r="BE812" i="7"/>
  <c r="BA812" i="7"/>
  <c r="AW812" i="7"/>
  <c r="AO812" i="7"/>
  <c r="AK812" i="7"/>
  <c r="AG812" i="7"/>
  <c r="AX812" i="7"/>
  <c r="AR812" i="7"/>
  <c r="AM812" i="7"/>
  <c r="AM816" i="7"/>
  <c r="AC812" i="7"/>
  <c r="Y812" i="7"/>
  <c r="Y816" i="7"/>
  <c r="Q812" i="7"/>
  <c r="M812" i="7"/>
  <c r="AZ812" i="7"/>
  <c r="AU812" i="7"/>
  <c r="AP812" i="7"/>
  <c r="AE812" i="7"/>
  <c r="AA812" i="7"/>
  <c r="W812" i="7"/>
  <c r="O812" i="7"/>
  <c r="O816" i="7"/>
  <c r="AV812" i="7"/>
  <c r="AL812" i="7"/>
  <c r="AB812" i="7"/>
  <c r="AB816" i="7"/>
  <c r="L812" i="7"/>
  <c r="BB812" i="7"/>
  <c r="BB816" i="7"/>
  <c r="AF812" i="7"/>
  <c r="X812" i="7"/>
  <c r="H812" i="7"/>
  <c r="AT812" i="7"/>
  <c r="Z812" i="7"/>
  <c r="Z816" i="7"/>
  <c r="G817" i="7"/>
  <c r="Z817" i="7"/>
  <c r="Z818" i="7"/>
  <c r="Z174" i="7"/>
  <c r="AN812" i="7"/>
  <c r="AN816" i="7"/>
  <c r="BD812" i="7"/>
  <c r="AI812" i="7"/>
  <c r="R812" i="7"/>
  <c r="AD812" i="7"/>
  <c r="N812" i="7"/>
  <c r="N816" i="7"/>
  <c r="N817" i="7"/>
  <c r="N818" i="7"/>
  <c r="N174" i="7"/>
  <c r="BE826" i="7"/>
  <c r="AS826" i="7"/>
  <c r="AK826" i="7"/>
  <c r="AG826" i="7"/>
  <c r="AG830" i="7"/>
  <c r="G831" i="7"/>
  <c r="AG831" i="7"/>
  <c r="AG832" i="7"/>
  <c r="U826" i="7"/>
  <c r="Q826" i="7"/>
  <c r="I826" i="7"/>
  <c r="AR826" i="7"/>
  <c r="AM826" i="7"/>
  <c r="W826" i="7"/>
  <c r="L826" i="7"/>
  <c r="AY826" i="7"/>
  <c r="AD826" i="7"/>
  <c r="V826" i="7"/>
  <c r="H826" i="7"/>
  <c r="AN826" i="7"/>
  <c r="S826" i="7"/>
  <c r="BD826" i="7"/>
  <c r="AP826" i="7"/>
  <c r="N826" i="7"/>
  <c r="T826" i="7"/>
  <c r="J826" i="7"/>
  <c r="AE826" i="7"/>
  <c r="X826" i="7"/>
  <c r="AX840" i="7"/>
  <c r="AP840" i="7"/>
  <c r="AH840" i="7"/>
  <c r="R840" i="7"/>
  <c r="J840" i="7"/>
  <c r="AW840" i="7"/>
  <c r="AB840" i="7"/>
  <c r="Q840" i="7"/>
  <c r="BD840" i="7"/>
  <c r="AA840" i="7"/>
  <c r="M840" i="7"/>
  <c r="AS840" i="7"/>
  <c r="AS844" i="7"/>
  <c r="G845" i="7"/>
  <c r="AS845" i="7"/>
  <c r="AS846" i="7"/>
  <c r="P840" i="7"/>
  <c r="AU840" i="7"/>
  <c r="S840" i="7"/>
  <c r="K840" i="7"/>
  <c r="AC840" i="7"/>
  <c r="U840" i="7"/>
  <c r="H840" i="7"/>
  <c r="AN817" i="7"/>
  <c r="AN818" i="7"/>
  <c r="AM817" i="7"/>
  <c r="AQ831" i="7"/>
  <c r="G357" i="7"/>
  <c r="G359" i="7"/>
  <c r="H356" i="7"/>
  <c r="H359" i="7"/>
  <c r="I356" i="7"/>
  <c r="N358" i="7"/>
  <c r="K358" i="7"/>
  <c r="R358" i="7"/>
  <c r="S358" i="7"/>
  <c r="G336" i="7"/>
  <c r="G338" i="7"/>
  <c r="H335" i="7"/>
  <c r="AP316" i="7"/>
  <c r="AG316" i="7"/>
  <c r="AW316" i="7"/>
  <c r="AC316" i="7"/>
  <c r="AH316" i="7"/>
  <c r="AM316" i="7"/>
  <c r="BD316" i="7"/>
  <c r="AN316" i="7"/>
  <c r="AJ316" i="7"/>
  <c r="AB316" i="7"/>
  <c r="AI316" i="7"/>
  <c r="AY316" i="7"/>
  <c r="AQ817" i="7"/>
  <c r="AS817" i="7"/>
  <c r="AG817" i="7"/>
  <c r="AT817" i="7"/>
  <c r="Y817" i="7"/>
  <c r="AJ817" i="7"/>
  <c r="BC803" i="7"/>
  <c r="AY803" i="7"/>
  <c r="AU803" i="7"/>
  <c r="AQ803" i="7"/>
  <c r="AM803" i="7"/>
  <c r="AI803" i="7"/>
  <c r="AE803" i="7"/>
  <c r="AA803" i="7"/>
  <c r="W803" i="7"/>
  <c r="S803" i="7"/>
  <c r="O803" i="7"/>
  <c r="K803" i="7"/>
  <c r="H803" i="7"/>
  <c r="BA803" i="7"/>
  <c r="AV803" i="7"/>
  <c r="AP803" i="7"/>
  <c r="AK803" i="7"/>
  <c r="AF803" i="7"/>
  <c r="Z803" i="7"/>
  <c r="U803" i="7"/>
  <c r="P803" i="7"/>
  <c r="J803" i="7"/>
  <c r="BD803" i="7"/>
  <c r="BE803" i="7"/>
  <c r="AZ803" i="7"/>
  <c r="AT803" i="7"/>
  <c r="AO803" i="7"/>
  <c r="AJ803" i="7"/>
  <c r="AD803" i="7"/>
  <c r="Y803" i="7"/>
  <c r="T803" i="7"/>
  <c r="N803" i="7"/>
  <c r="I803" i="7"/>
  <c r="AX803" i="7"/>
  <c r="AW803" i="7"/>
  <c r="AL803" i="7"/>
  <c r="AB803" i="7"/>
  <c r="Q803" i="7"/>
  <c r="AS803" i="7"/>
  <c r="AH803" i="7"/>
  <c r="X803" i="7"/>
  <c r="M803" i="7"/>
  <c r="AR803" i="7"/>
  <c r="AG803" i="7"/>
  <c r="V803" i="7"/>
  <c r="L803" i="7"/>
  <c r="BB803" i="7"/>
  <c r="AN803" i="7"/>
  <c r="AC803" i="7"/>
  <c r="R803" i="7"/>
  <c r="BC831" i="7"/>
  <c r="AU831" i="7"/>
  <c r="AM831" i="7"/>
  <c r="AE831" i="7"/>
  <c r="W831" i="7"/>
  <c r="O831" i="7"/>
  <c r="H831" i="7"/>
  <c r="AZ831" i="7"/>
  <c r="AO831" i="7"/>
  <c r="AD831" i="7"/>
  <c r="T831" i="7"/>
  <c r="I831" i="7"/>
  <c r="AV831" i="7"/>
  <c r="R831" i="7"/>
  <c r="AR831" i="7"/>
  <c r="P831" i="7"/>
  <c r="AS831" i="7"/>
  <c r="AF831" i="7"/>
  <c r="Q831" i="7"/>
  <c r="AX831" i="7"/>
  <c r="V831" i="7"/>
  <c r="BD831" i="7"/>
  <c r="AW831" i="7"/>
  <c r="AP831" i="7"/>
  <c r="BB845" i="7"/>
  <c r="AY845" i="7"/>
  <c r="AQ845" i="7"/>
  <c r="AI845" i="7"/>
  <c r="AA845" i="7"/>
  <c r="S845" i="7"/>
  <c r="K845" i="7"/>
  <c r="BE845" i="7"/>
  <c r="AH845" i="7"/>
  <c r="X845" i="7"/>
  <c r="M845" i="7"/>
  <c r="AT845" i="7"/>
  <c r="AF845" i="7"/>
  <c r="Q845" i="7"/>
  <c r="AV845" i="7"/>
  <c r="AB845" i="7"/>
  <c r="I845" i="7"/>
  <c r="AP845" i="7"/>
  <c r="BC845" i="7"/>
  <c r="AJ845" i="7"/>
  <c r="P845" i="7"/>
  <c r="N845" i="7"/>
  <c r="U845" i="7"/>
  <c r="L845" i="7"/>
  <c r="T165" i="4"/>
  <c r="Y165" i="4"/>
  <c r="W165" i="4"/>
  <c r="V165" i="4"/>
  <c r="AA165" i="4"/>
  <c r="X165" i="4"/>
  <c r="U165" i="4"/>
  <c r="S165" i="4"/>
  <c r="Z165" i="4"/>
  <c r="N316" i="7"/>
  <c r="R316" i="7"/>
  <c r="V316" i="7"/>
  <c r="T316" i="7"/>
  <c r="U337" i="7"/>
  <c r="AR316" i="7"/>
  <c r="R165" i="4"/>
  <c r="M165" i="4"/>
  <c r="O165" i="4"/>
  <c r="P165" i="4"/>
  <c r="L165" i="4"/>
  <c r="J165" i="4"/>
  <c r="N165" i="4"/>
  <c r="I165" i="4"/>
  <c r="Q165" i="4"/>
  <c r="K165" i="4"/>
  <c r="S76" i="6"/>
  <c r="G712" i="7"/>
  <c r="R76" i="6"/>
  <c r="G635" i="7"/>
  <c r="AA651" i="7"/>
  <c r="AA228" i="7"/>
  <c r="AA237" i="7"/>
  <c r="Q76" i="6"/>
  <c r="G557" i="7"/>
  <c r="P76" i="6"/>
  <c r="G481" i="7"/>
  <c r="AL497" i="7"/>
  <c r="AL134" i="7"/>
  <c r="AL143" i="7"/>
  <c r="BA651" i="7"/>
  <c r="BA228" i="7"/>
  <c r="BA237" i="7"/>
  <c r="AB651" i="7"/>
  <c r="AB228" i="7"/>
  <c r="AB237" i="7"/>
  <c r="AI651" i="7"/>
  <c r="AI228" i="7"/>
  <c r="AI237" i="7"/>
  <c r="AC651" i="7"/>
  <c r="AC228" i="7"/>
  <c r="AC237" i="7"/>
  <c r="AP651" i="7"/>
  <c r="AP228" i="7"/>
  <c r="AP237" i="7"/>
  <c r="AV651" i="7"/>
  <c r="AV228" i="7"/>
  <c r="AV237" i="7"/>
  <c r="AR651" i="7"/>
  <c r="AR228" i="7"/>
  <c r="AR237" i="7"/>
  <c r="Y651" i="7"/>
  <c r="Y228" i="7"/>
  <c r="Y237" i="7"/>
  <c r="AJ651" i="7"/>
  <c r="AJ228" i="7"/>
  <c r="AJ237" i="7"/>
  <c r="AH651" i="7"/>
  <c r="AH228" i="7"/>
  <c r="AH237" i="7"/>
  <c r="AY651" i="7"/>
  <c r="AY228" i="7"/>
  <c r="AY237" i="7"/>
  <c r="BE651" i="7"/>
  <c r="BE228" i="7"/>
  <c r="BE237" i="7"/>
  <c r="AG651" i="7"/>
  <c r="AG228" i="7"/>
  <c r="AG237" i="7"/>
  <c r="AE651" i="7"/>
  <c r="AE228" i="7"/>
  <c r="AE237" i="7"/>
  <c r="X651" i="7"/>
  <c r="X228" i="7"/>
  <c r="X237" i="7"/>
  <c r="AU651" i="7"/>
  <c r="AU228" i="7"/>
  <c r="AU237" i="7"/>
  <c r="AT651" i="7"/>
  <c r="AT228" i="7"/>
  <c r="AT237" i="7"/>
  <c r="AF651" i="7"/>
  <c r="AF228" i="7"/>
  <c r="AF237" i="7"/>
  <c r="H651" i="7"/>
  <c r="K651" i="7"/>
  <c r="K228" i="7"/>
  <c r="K237" i="7"/>
  <c r="M651" i="7"/>
  <c r="M228" i="7"/>
  <c r="M237" i="7"/>
  <c r="O651" i="7"/>
  <c r="O228" i="7"/>
  <c r="O237" i="7"/>
  <c r="Q651" i="7"/>
  <c r="Q228" i="7"/>
  <c r="Q237" i="7"/>
  <c r="BE419" i="7"/>
  <c r="BE86" i="7"/>
  <c r="BE95" i="7"/>
  <c r="AH419" i="7"/>
  <c r="AH86" i="7"/>
  <c r="AH95" i="7"/>
  <c r="AY419" i="7"/>
  <c r="AY86" i="7"/>
  <c r="AY95" i="7"/>
  <c r="AQ419" i="7"/>
  <c r="AQ86" i="7"/>
  <c r="AQ95" i="7"/>
  <c r="AX419" i="7"/>
  <c r="AX86" i="7"/>
  <c r="AX95" i="7"/>
  <c r="AI419" i="7"/>
  <c r="AI86" i="7"/>
  <c r="AI95" i="7"/>
  <c r="BB419" i="7"/>
  <c r="BB86" i="7"/>
  <c r="BB95" i="7"/>
  <c r="AE419" i="7"/>
  <c r="AE86" i="7"/>
  <c r="AE95" i="7"/>
  <c r="AB419" i="7"/>
  <c r="AB86" i="7"/>
  <c r="AB95" i="7"/>
  <c r="AR419" i="7"/>
  <c r="AR86" i="7"/>
  <c r="AR95" i="7"/>
  <c r="AO419" i="7"/>
  <c r="AO86" i="7"/>
  <c r="AO95" i="7"/>
  <c r="AP419" i="7"/>
  <c r="AP86" i="7"/>
  <c r="AP95" i="7"/>
  <c r="AD419" i="7"/>
  <c r="AD86" i="7"/>
  <c r="AD95" i="7"/>
  <c r="AM419" i="7"/>
  <c r="AM86" i="7"/>
  <c r="AM95" i="7"/>
  <c r="AJ419" i="7"/>
  <c r="AJ86" i="7"/>
  <c r="AJ95" i="7"/>
  <c r="BD419" i="7"/>
  <c r="BD86" i="7"/>
  <c r="BD95" i="7"/>
  <c r="AG419" i="7"/>
  <c r="AG86" i="7"/>
  <c r="AG95" i="7"/>
  <c r="BA419" i="7"/>
  <c r="BA86" i="7"/>
  <c r="BA95" i="7"/>
  <c r="AT419" i="7"/>
  <c r="AT86" i="7"/>
  <c r="AT95" i="7"/>
  <c r="BC419" i="7"/>
  <c r="BC86" i="7"/>
  <c r="BC95" i="7"/>
  <c r="AV419" i="7"/>
  <c r="AV86" i="7"/>
  <c r="AV95" i="7"/>
  <c r="AS419" i="7"/>
  <c r="AS86" i="7"/>
  <c r="AS95" i="7"/>
  <c r="AN419" i="7"/>
  <c r="AN86" i="7"/>
  <c r="AN95" i="7"/>
  <c r="AW419" i="7"/>
  <c r="AW86" i="7"/>
  <c r="AW95" i="7"/>
  <c r="AU419" i="7"/>
  <c r="AU86" i="7"/>
  <c r="AU95" i="7"/>
  <c r="AZ419" i="7"/>
  <c r="AZ86" i="7"/>
  <c r="AZ95" i="7"/>
  <c r="AL419" i="7"/>
  <c r="AL86" i="7"/>
  <c r="AL95" i="7"/>
  <c r="AK419" i="7"/>
  <c r="AK86" i="7"/>
  <c r="AK95" i="7"/>
  <c r="AC419" i="7"/>
  <c r="AC86" i="7"/>
  <c r="AC95" i="7"/>
  <c r="AF419" i="7"/>
  <c r="AF86" i="7"/>
  <c r="AF95" i="7"/>
  <c r="I419" i="7"/>
  <c r="I86" i="7"/>
  <c r="I95" i="7"/>
  <c r="J419" i="7"/>
  <c r="J86" i="7"/>
  <c r="J95" i="7"/>
  <c r="K419" i="7"/>
  <c r="K86" i="7"/>
  <c r="K95" i="7"/>
  <c r="L419" i="7"/>
  <c r="L86" i="7"/>
  <c r="L95" i="7"/>
  <c r="M419" i="7"/>
  <c r="M86" i="7"/>
  <c r="M95" i="7"/>
  <c r="N419" i="7"/>
  <c r="N86" i="7"/>
  <c r="N95" i="7"/>
  <c r="O419" i="7"/>
  <c r="O86" i="7"/>
  <c r="O95" i="7"/>
  <c r="P419" i="7"/>
  <c r="P86" i="7"/>
  <c r="P95" i="7"/>
  <c r="Q419" i="7"/>
  <c r="Q86" i="7"/>
  <c r="Q95" i="7"/>
  <c r="AY728" i="7"/>
  <c r="AY274" i="7"/>
  <c r="AY283" i="7"/>
  <c r="AG728" i="7"/>
  <c r="AG274" i="7"/>
  <c r="AG283" i="7"/>
  <c r="AE728" i="7"/>
  <c r="AE274" i="7"/>
  <c r="AE283" i="7"/>
  <c r="AX728" i="7"/>
  <c r="AX274" i="7"/>
  <c r="AX283" i="7"/>
  <c r="AB728" i="7"/>
  <c r="AB274" i="7"/>
  <c r="AB283" i="7"/>
  <c r="W728" i="7"/>
  <c r="W274" i="7"/>
  <c r="W283" i="7"/>
  <c r="I728" i="7"/>
  <c r="I274" i="7"/>
  <c r="I283" i="7"/>
  <c r="N728" i="7"/>
  <c r="N274" i="7"/>
  <c r="N283" i="7"/>
  <c r="R419" i="7"/>
  <c r="R86" i="7"/>
  <c r="R95" i="7"/>
  <c r="AP497" i="7"/>
  <c r="AP134" i="7"/>
  <c r="AP143" i="7"/>
  <c r="AU497" i="7"/>
  <c r="AU134" i="7"/>
  <c r="AU143" i="7"/>
  <c r="AV497" i="7"/>
  <c r="AV134" i="7"/>
  <c r="AV143" i="7"/>
  <c r="AK497" i="7"/>
  <c r="AK134" i="7"/>
  <c r="AK143" i="7"/>
  <c r="BA497" i="7"/>
  <c r="BA134" i="7"/>
  <c r="BA143" i="7"/>
  <c r="BC497" i="7"/>
  <c r="BC134" i="7"/>
  <c r="BC143" i="7"/>
  <c r="AT497" i="7"/>
  <c r="AT134" i="7"/>
  <c r="AT143" i="7"/>
  <c r="AR497" i="7"/>
  <c r="AR134" i="7"/>
  <c r="AR143" i="7"/>
  <c r="AW497" i="7"/>
  <c r="AW134" i="7"/>
  <c r="AW143" i="7"/>
  <c r="AI497" i="7"/>
  <c r="AI134" i="7"/>
  <c r="AI143" i="7"/>
  <c r="AQ497" i="7"/>
  <c r="AQ134" i="7"/>
  <c r="AQ143" i="7"/>
  <c r="AS497" i="7"/>
  <c r="AS134" i="7"/>
  <c r="AS143" i="7"/>
  <c r="BE497" i="7"/>
  <c r="BE134" i="7"/>
  <c r="BE143" i="7"/>
  <c r="BB497" i="7"/>
  <c r="BB134" i="7"/>
  <c r="BB143" i="7"/>
  <c r="AY497" i="7"/>
  <c r="AY134" i="7"/>
  <c r="AY143" i="7"/>
  <c r="AZ497" i="7"/>
  <c r="AZ134" i="7"/>
  <c r="AZ143" i="7"/>
  <c r="AH497" i="7"/>
  <c r="AH134" i="7"/>
  <c r="AH143" i="7"/>
  <c r="AM497" i="7"/>
  <c r="AM134" i="7"/>
  <c r="AM143" i="7"/>
  <c r="AO497" i="7"/>
  <c r="AO134" i="7"/>
  <c r="AO143" i="7"/>
  <c r="H497" i="7"/>
  <c r="H134" i="7"/>
  <c r="H143" i="7"/>
  <c r="J497" i="7"/>
  <c r="J134" i="7"/>
  <c r="J143" i="7"/>
  <c r="K497" i="7"/>
  <c r="K134" i="7"/>
  <c r="K143" i="7"/>
  <c r="L497" i="7"/>
  <c r="L134" i="7"/>
  <c r="L143" i="7"/>
  <c r="N497" i="7"/>
  <c r="N134" i="7"/>
  <c r="N143" i="7"/>
  <c r="AW573" i="7"/>
  <c r="AW180" i="7"/>
  <c r="AW189" i="7"/>
  <c r="U573" i="7"/>
  <c r="U180" i="7"/>
  <c r="U189" i="7"/>
  <c r="V573" i="7"/>
  <c r="V180" i="7"/>
  <c r="V189" i="7"/>
  <c r="AM573" i="7"/>
  <c r="AM180" i="7"/>
  <c r="AM189" i="7"/>
  <c r="AH573" i="7"/>
  <c r="AH180" i="7"/>
  <c r="AH189" i="7"/>
  <c r="AC573" i="7"/>
  <c r="AC180" i="7"/>
  <c r="AC189" i="7"/>
  <c r="BB573" i="7"/>
  <c r="BB180" i="7"/>
  <c r="BB189" i="7"/>
  <c r="N573" i="7"/>
  <c r="N180" i="7"/>
  <c r="N189" i="7"/>
  <c r="R573" i="7"/>
  <c r="R180" i="7"/>
  <c r="R189" i="7"/>
  <c r="O497" i="7"/>
  <c r="O134" i="7"/>
  <c r="O143" i="7"/>
  <c r="S728" i="7"/>
  <c r="S274" i="7"/>
  <c r="S283" i="7"/>
  <c r="S651" i="7"/>
  <c r="S228" i="7"/>
  <c r="S237" i="7"/>
  <c r="T573" i="7"/>
  <c r="T180" i="7"/>
  <c r="T189" i="7"/>
  <c r="S419" i="7"/>
  <c r="S86" i="7"/>
  <c r="S95" i="7"/>
  <c r="T728" i="7"/>
  <c r="T274" i="7"/>
  <c r="T283" i="7"/>
  <c r="T651" i="7"/>
  <c r="T228" i="7"/>
  <c r="T237" i="7"/>
  <c r="T419" i="7"/>
  <c r="T86" i="7"/>
  <c r="T95" i="7"/>
  <c r="R497" i="7"/>
  <c r="R134" i="7"/>
  <c r="R143" i="7"/>
  <c r="U651" i="7"/>
  <c r="U228" i="7"/>
  <c r="U237" i="7"/>
  <c r="U419" i="7"/>
  <c r="U86" i="7"/>
  <c r="U95" i="7"/>
  <c r="V728" i="7"/>
  <c r="V274" i="7"/>
  <c r="V283" i="7"/>
  <c r="V651" i="7"/>
  <c r="V228" i="7"/>
  <c r="V237" i="7"/>
  <c r="V419" i="7"/>
  <c r="V86" i="7"/>
  <c r="V95" i="7"/>
  <c r="S93" i="6"/>
  <c r="R93" i="6"/>
  <c r="Q93" i="6"/>
  <c r="P93" i="6"/>
  <c r="N93" i="6"/>
  <c r="O93" i="6"/>
  <c r="W419" i="7"/>
  <c r="W86" i="7"/>
  <c r="W95" i="7"/>
  <c r="U497" i="7"/>
  <c r="U134" i="7"/>
  <c r="U143" i="7"/>
  <c r="X419" i="7"/>
  <c r="X86" i="7"/>
  <c r="X95" i="7"/>
  <c r="V497" i="7"/>
  <c r="V134" i="7"/>
  <c r="V143" i="7"/>
  <c r="Y419" i="7"/>
  <c r="Y86" i="7"/>
  <c r="Y95" i="7"/>
  <c r="W497" i="7"/>
  <c r="W134" i="7"/>
  <c r="W143" i="7"/>
  <c r="Z419" i="7"/>
  <c r="Z86" i="7"/>
  <c r="Z95" i="7"/>
  <c r="X497" i="7"/>
  <c r="X134" i="7"/>
  <c r="X143" i="7"/>
  <c r="AA419" i="7"/>
  <c r="AA86" i="7"/>
  <c r="AA95" i="7"/>
  <c r="AA497" i="7"/>
  <c r="AA134" i="7"/>
  <c r="AA143" i="7"/>
  <c r="AB497" i="7"/>
  <c r="AB134" i="7"/>
  <c r="AB143" i="7"/>
  <c r="AC497" i="7"/>
  <c r="AC134" i="7"/>
  <c r="AC143" i="7"/>
  <c r="AD497" i="7"/>
  <c r="AD134" i="7"/>
  <c r="AD143" i="7"/>
  <c r="AE497" i="7"/>
  <c r="AE134" i="7"/>
  <c r="AE143" i="7"/>
  <c r="AF497" i="7"/>
  <c r="AF134" i="7"/>
  <c r="AF143" i="7"/>
  <c r="G87" i="17"/>
  <c r="G97" i="17"/>
  <c r="AM818" i="7"/>
  <c r="AM174" i="7"/>
  <c r="AO816" i="7"/>
  <c r="AC816" i="7"/>
  <c r="AP816" i="7"/>
  <c r="AP817" i="7"/>
  <c r="AP818" i="7"/>
  <c r="AP174" i="7"/>
  <c r="BE816" i="7"/>
  <c r="AX816" i="7"/>
  <c r="M816" i="7"/>
  <c r="AV816" i="7"/>
  <c r="AV817" i="7"/>
  <c r="AV818" i="7"/>
  <c r="AV174" i="7"/>
  <c r="X816" i="7"/>
  <c r="BD816" i="7"/>
  <c r="AW816" i="7"/>
  <c r="AZ816" i="7"/>
  <c r="W816" i="7"/>
  <c r="L816" i="7"/>
  <c r="AD816" i="7"/>
  <c r="S387" i="7"/>
  <c r="R816" i="7"/>
  <c r="AG816" i="7"/>
  <c r="AG818" i="7"/>
  <c r="AG174" i="7"/>
  <c r="N486" i="7"/>
  <c r="N507" i="7"/>
  <c r="N145" i="7"/>
  <c r="W387" i="7"/>
  <c r="AP844" i="7"/>
  <c r="AP846" i="7"/>
  <c r="AP268" i="7"/>
  <c r="Z844" i="7"/>
  <c r="J844" i="7"/>
  <c r="Q844" i="7"/>
  <c r="Q846" i="7"/>
  <c r="Q268" i="7"/>
  <c r="Q270" i="7"/>
  <c r="M844" i="7"/>
  <c r="M846" i="7"/>
  <c r="M268" i="7"/>
  <c r="AU844" i="7"/>
  <c r="AU845" i="7"/>
  <c r="AC844" i="7"/>
  <c r="AX844" i="7"/>
  <c r="AX845" i="7"/>
  <c r="AX846" i="7"/>
  <c r="AX268" i="7"/>
  <c r="AH844" i="7"/>
  <c r="AH846" i="7"/>
  <c r="AH268" i="7"/>
  <c r="R844" i="7"/>
  <c r="AW844" i="7"/>
  <c r="AB844" i="7"/>
  <c r="AB846" i="7"/>
  <c r="AB268" i="7"/>
  <c r="BD844" i="7"/>
  <c r="AA844" i="7"/>
  <c r="P844" i="7"/>
  <c r="P846" i="7"/>
  <c r="P268" i="7"/>
  <c r="S844" i="7"/>
  <c r="S846" i="7"/>
  <c r="S268" i="7"/>
  <c r="K844" i="7"/>
  <c r="K846" i="7"/>
  <c r="K268" i="7"/>
  <c r="U844" i="7"/>
  <c r="U846" i="7"/>
  <c r="U268" i="7"/>
  <c r="H844" i="7"/>
  <c r="H845" i="7"/>
  <c r="H434" i="7"/>
  <c r="H429" i="7"/>
  <c r="AA84" i="7"/>
  <c r="AA429" i="7"/>
  <c r="Q84" i="7"/>
  <c r="Q429" i="7"/>
  <c r="R465" i="7"/>
  <c r="R470" i="7"/>
  <c r="G846" i="7"/>
  <c r="BD845" i="7"/>
  <c r="AM845" i="7"/>
  <c r="W845" i="7"/>
  <c r="AN845" i="7"/>
  <c r="R845" i="7"/>
  <c r="AL845" i="7"/>
  <c r="J845" i="7"/>
  <c r="T845" i="7"/>
  <c r="V845" i="7"/>
  <c r="Z845" i="7"/>
  <c r="AD845" i="7"/>
  <c r="AO845" i="7"/>
  <c r="AE845" i="7"/>
  <c r="O845" i="7"/>
  <c r="AC845" i="7"/>
  <c r="BA845" i="7"/>
  <c r="Y845" i="7"/>
  <c r="AK845" i="7"/>
  <c r="AZ845" i="7"/>
  <c r="AR845" i="7"/>
  <c r="AG845" i="7"/>
  <c r="AW845" i="7"/>
  <c r="AI816" i="7"/>
  <c r="H816" i="7"/>
  <c r="AL816" i="7"/>
  <c r="AE816" i="7"/>
  <c r="AU816" i="7"/>
  <c r="AK816" i="7"/>
  <c r="L661" i="7"/>
  <c r="L226" i="7"/>
  <c r="K270" i="7"/>
  <c r="K696" i="7"/>
  <c r="K546" i="7"/>
  <c r="K541" i="7"/>
  <c r="K583" i="7"/>
  <c r="M738" i="7"/>
  <c r="M272" i="7"/>
  <c r="P507" i="7"/>
  <c r="P512" i="7"/>
  <c r="K624" i="7"/>
  <c r="K619" i="7"/>
  <c r="P717" i="7"/>
  <c r="P271" i="7"/>
  <c r="J562" i="7"/>
  <c r="J541" i="7"/>
  <c r="J583" i="7"/>
  <c r="J191" i="7"/>
  <c r="J567" i="7"/>
  <c r="N131" i="7"/>
  <c r="O83" i="7"/>
  <c r="O408" i="7"/>
  <c r="H705" i="7"/>
  <c r="G700" i="7"/>
  <c r="G702" i="7"/>
  <c r="H699" i="7"/>
  <c r="H702" i="7"/>
  <c r="I699" i="7"/>
  <c r="I702" i="7"/>
  <c r="J699" i="7"/>
  <c r="J702" i="7"/>
  <c r="K699" i="7"/>
  <c r="K702" i="7"/>
  <c r="L699" i="7"/>
  <c r="L702" i="7"/>
  <c r="M699" i="7"/>
  <c r="M702" i="7"/>
  <c r="N699" i="7"/>
  <c r="N702" i="7"/>
  <c r="O699" i="7"/>
  <c r="O702" i="7"/>
  <c r="P699" i="7"/>
  <c r="P702" i="7"/>
  <c r="Q699" i="7"/>
  <c r="Q702" i="7"/>
  <c r="R699" i="7"/>
  <c r="R701" i="7"/>
  <c r="R702" i="7"/>
  <c r="S699" i="7"/>
  <c r="S702" i="7"/>
  <c r="T699" i="7"/>
  <c r="T702" i="7"/>
  <c r="U699" i="7"/>
  <c r="U702" i="7"/>
  <c r="V699" i="7"/>
  <c r="V702" i="7"/>
  <c r="W699" i="7"/>
  <c r="W701" i="7"/>
  <c r="W702" i="7"/>
  <c r="X699" i="7"/>
  <c r="X702" i="7"/>
  <c r="Y699" i="7"/>
  <c r="Y702" i="7"/>
  <c r="Z699" i="7"/>
  <c r="Z702" i="7"/>
  <c r="AA699" i="7"/>
  <c r="AA702" i="7"/>
  <c r="AB699" i="7"/>
  <c r="AB702" i="7"/>
  <c r="AC699" i="7"/>
  <c r="AC702" i="7"/>
  <c r="AD699" i="7"/>
  <c r="AD702" i="7"/>
  <c r="AE699" i="7"/>
  <c r="AE702" i="7"/>
  <c r="AF699" i="7"/>
  <c r="AF702" i="7"/>
  <c r="AG699" i="7"/>
  <c r="AG702" i="7"/>
  <c r="AH699" i="7"/>
  <c r="AH702" i="7"/>
  <c r="AI699" i="7"/>
  <c r="AI701" i="7"/>
  <c r="AI702" i="7"/>
  <c r="AJ699" i="7"/>
  <c r="AJ701" i="7"/>
  <c r="AJ702" i="7"/>
  <c r="AK699" i="7"/>
  <c r="AK702" i="7"/>
  <c r="AL699" i="7"/>
  <c r="AL701" i="7"/>
  <c r="AL702" i="7"/>
  <c r="AM699" i="7"/>
  <c r="AH541" i="7"/>
  <c r="BE285" i="7"/>
  <c r="AO84" i="7"/>
  <c r="AO429" i="7"/>
  <c r="AZ429" i="7"/>
  <c r="AZ387" i="7"/>
  <c r="AZ97" i="7"/>
  <c r="AZ434" i="7"/>
  <c r="AP434" i="7"/>
  <c r="AP429" i="7"/>
  <c r="BA82" i="7"/>
  <c r="AZ82" i="7"/>
  <c r="AR84" i="7"/>
  <c r="AR429" i="7"/>
  <c r="AM83" i="7"/>
  <c r="AM408" i="7"/>
  <c r="AM387" i="7"/>
  <c r="BB512" i="7"/>
  <c r="BB507" i="7"/>
  <c r="AI470" i="7"/>
  <c r="AI465" i="7"/>
  <c r="T87" i="7"/>
  <c r="T96" i="7"/>
  <c r="T450" i="7"/>
  <c r="AI178" i="7"/>
  <c r="AI583" i="7"/>
  <c r="BD588" i="7"/>
  <c r="BD583" i="7"/>
  <c r="AJ181" i="7"/>
  <c r="AJ190" i="7"/>
  <c r="AJ604" i="7"/>
  <c r="Q181" i="7"/>
  <c r="Q190" i="7"/>
  <c r="Q604" i="7"/>
  <c r="AG604" i="7"/>
  <c r="AG181" i="7"/>
  <c r="AG190" i="7"/>
  <c r="N181" i="7"/>
  <c r="N190" i="7"/>
  <c r="N604" i="7"/>
  <c r="AT181" i="7"/>
  <c r="AT190" i="7"/>
  <c r="AT604" i="7"/>
  <c r="AE181" i="7"/>
  <c r="AE190" i="7"/>
  <c r="AE604" i="7"/>
  <c r="AU604" i="7"/>
  <c r="AU181" i="7"/>
  <c r="AU190" i="7"/>
  <c r="AV546" i="7"/>
  <c r="AV541" i="7"/>
  <c r="AB135" i="7"/>
  <c r="AB144" i="7"/>
  <c r="AB528" i="7"/>
  <c r="BA135" i="7"/>
  <c r="BA144" i="7"/>
  <c r="BA528" i="7"/>
  <c r="AA528" i="7"/>
  <c r="AA135" i="7"/>
  <c r="AA144" i="7"/>
  <c r="AF177" i="7"/>
  <c r="AF562" i="7"/>
  <c r="AR177" i="7"/>
  <c r="AR562" i="7"/>
  <c r="AR191" i="7"/>
  <c r="AG177" i="7"/>
  <c r="AG562" i="7"/>
  <c r="AF816" i="7"/>
  <c r="AR816" i="7"/>
  <c r="S696" i="7"/>
  <c r="L387" i="7"/>
  <c r="L408" i="7"/>
  <c r="L97" i="7"/>
  <c r="R738" i="7"/>
  <c r="K387" i="7"/>
  <c r="K97" i="7"/>
  <c r="U661" i="7"/>
  <c r="M434" i="7"/>
  <c r="M429" i="7"/>
  <c r="L465" i="7"/>
  <c r="L470" i="7"/>
  <c r="W130" i="7"/>
  <c r="W465" i="7"/>
  <c r="S661" i="7"/>
  <c r="S666" i="7"/>
  <c r="J661" i="7"/>
  <c r="Q661" i="7"/>
  <c r="Q666" i="7"/>
  <c r="U486" i="7"/>
  <c r="AR450" i="7"/>
  <c r="N225" i="7"/>
  <c r="N640" i="7"/>
  <c r="S645" i="7"/>
  <c r="S640" i="7"/>
  <c r="S562" i="7"/>
  <c r="S177" i="7"/>
  <c r="P567" i="7"/>
  <c r="P562" i="7"/>
  <c r="N562" i="7"/>
  <c r="N583" i="7"/>
  <c r="N191" i="7"/>
  <c r="N177" i="7"/>
  <c r="AQ429" i="7"/>
  <c r="AC408" i="7"/>
  <c r="AY507" i="7"/>
  <c r="Z562" i="7"/>
  <c r="AQ562" i="7"/>
  <c r="BC562" i="7"/>
  <c r="AW82" i="7"/>
  <c r="AY434" i="7"/>
  <c r="AJ135" i="7"/>
  <c r="AJ144" i="7"/>
  <c r="H666" i="7"/>
  <c r="H667" i="7"/>
  <c r="I664" i="7"/>
  <c r="I667" i="7"/>
  <c r="J664" i="7"/>
  <c r="J667" i="7"/>
  <c r="K664" i="7"/>
  <c r="K667" i="7"/>
  <c r="L664" i="7"/>
  <c r="L667" i="7"/>
  <c r="M664" i="7"/>
  <c r="M667" i="7"/>
  <c r="N664" i="7"/>
  <c r="N667" i="7"/>
  <c r="O664" i="7"/>
  <c r="O667" i="7"/>
  <c r="P664" i="7"/>
  <c r="P666" i="7"/>
  <c r="P667" i="7"/>
  <c r="Q664" i="7"/>
  <c r="Q667" i="7"/>
  <c r="R664" i="7"/>
  <c r="R667" i="7"/>
  <c r="S664" i="7"/>
  <c r="S667" i="7"/>
  <c r="T664" i="7"/>
  <c r="H661" i="7"/>
  <c r="K588" i="7"/>
  <c r="J270" i="7"/>
  <c r="J696" i="7"/>
  <c r="Q696" i="7"/>
  <c r="Q738" i="7"/>
  <c r="Q285" i="7"/>
  <c r="S541" i="7"/>
  <c r="S191" i="7"/>
  <c r="S176" i="7"/>
  <c r="T541" i="7"/>
  <c r="T562" i="7"/>
  <c r="T583" i="7"/>
  <c r="T191" i="7"/>
  <c r="T176" i="7"/>
  <c r="L512" i="7"/>
  <c r="L507" i="7"/>
  <c r="AD512" i="7"/>
  <c r="AD507" i="7"/>
  <c r="V619" i="7"/>
  <c r="V624" i="7"/>
  <c r="X83" i="7"/>
  <c r="X408" i="7"/>
  <c r="H516" i="7"/>
  <c r="H133" i="7"/>
  <c r="H142" i="7"/>
  <c r="G511" i="7"/>
  <c r="G513" i="7"/>
  <c r="H510" i="7"/>
  <c r="H513" i="7"/>
  <c r="I510" i="7"/>
  <c r="I513" i="7"/>
  <c r="J510" i="7"/>
  <c r="J513" i="7"/>
  <c r="K510" i="7"/>
  <c r="K513" i="7"/>
  <c r="L510" i="7"/>
  <c r="L513" i="7"/>
  <c r="M510" i="7"/>
  <c r="M513" i="7"/>
  <c r="N510" i="7"/>
  <c r="N513" i="7"/>
  <c r="O510" i="7"/>
  <c r="O513" i="7"/>
  <c r="P510" i="7"/>
  <c r="P513" i="7"/>
  <c r="Q510" i="7"/>
  <c r="Q513" i="7"/>
  <c r="R510" i="7"/>
  <c r="R513" i="7"/>
  <c r="S510" i="7"/>
  <c r="S513" i="7"/>
  <c r="T510" i="7"/>
  <c r="T513" i="7"/>
  <c r="U510" i="7"/>
  <c r="U512" i="7"/>
  <c r="U513" i="7"/>
  <c r="V510" i="7"/>
  <c r="V513" i="7"/>
  <c r="W510" i="7"/>
  <c r="W513" i="7"/>
  <c r="X510" i="7"/>
  <c r="X513" i="7"/>
  <c r="Y510" i="7"/>
  <c r="Y513" i="7"/>
  <c r="Z510" i="7"/>
  <c r="Z512" i="7"/>
  <c r="Z513" i="7"/>
  <c r="AA510" i="7"/>
  <c r="AA512" i="7"/>
  <c r="AA513" i="7"/>
  <c r="AB510" i="7"/>
  <c r="AB513" i="7"/>
  <c r="AC510" i="7"/>
  <c r="AC513" i="7"/>
  <c r="AD510" i="7"/>
  <c r="AD513" i="7"/>
  <c r="AE510" i="7"/>
  <c r="AE513" i="7"/>
  <c r="AF510" i="7"/>
  <c r="AF513" i="7"/>
  <c r="AG510" i="7"/>
  <c r="AG513" i="7"/>
  <c r="AH510" i="7"/>
  <c r="AH513" i="7"/>
  <c r="AI510" i="7"/>
  <c r="AI513" i="7"/>
  <c r="AJ510" i="7"/>
  <c r="AJ513" i="7"/>
  <c r="AK510" i="7"/>
  <c r="AK513" i="7"/>
  <c r="AL510" i="7"/>
  <c r="AL513" i="7"/>
  <c r="AM510" i="7"/>
  <c r="AM513" i="7"/>
  <c r="AN510" i="7"/>
  <c r="AN513" i="7"/>
  <c r="AO510" i="7"/>
  <c r="AO513" i="7"/>
  <c r="AP510" i="7"/>
  <c r="AP513" i="7"/>
  <c r="AQ510" i="7"/>
  <c r="AQ513" i="7"/>
  <c r="AR510" i="7"/>
  <c r="AR512" i="7"/>
  <c r="AR513" i="7"/>
  <c r="AS510" i="7"/>
  <c r="AS513" i="7"/>
  <c r="AT510" i="7"/>
  <c r="AT513" i="7"/>
  <c r="AU510" i="7"/>
  <c r="AU513" i="7"/>
  <c r="AV510" i="7"/>
  <c r="AV513" i="7"/>
  <c r="AW510" i="7"/>
  <c r="AW513" i="7"/>
  <c r="AX510" i="7"/>
  <c r="AX513" i="7"/>
  <c r="AY510" i="7"/>
  <c r="AY513" i="7"/>
  <c r="AZ510" i="7"/>
  <c r="AZ513" i="7"/>
  <c r="BA510" i="7"/>
  <c r="BA512" i="7"/>
  <c r="BA513" i="7"/>
  <c r="BB510" i="7"/>
  <c r="BB513" i="7"/>
  <c r="BC510" i="7"/>
  <c r="BC513" i="7"/>
  <c r="BD510" i="7"/>
  <c r="BD513" i="7"/>
  <c r="BE510" i="7"/>
  <c r="BE512" i="7"/>
  <c r="BE513" i="7"/>
  <c r="G433" i="7"/>
  <c r="G435" i="7"/>
  <c r="H432" i="7"/>
  <c r="H435" i="7"/>
  <c r="I432" i="7"/>
  <c r="I435" i="7"/>
  <c r="J432" i="7"/>
  <c r="J435" i="7"/>
  <c r="K432" i="7"/>
  <c r="K435" i="7"/>
  <c r="L432" i="7"/>
  <c r="L435" i="7"/>
  <c r="M432" i="7"/>
  <c r="M435" i="7"/>
  <c r="N432" i="7"/>
  <c r="N434" i="7"/>
  <c r="N435" i="7"/>
  <c r="O432" i="7"/>
  <c r="H438" i="7"/>
  <c r="H417" i="7"/>
  <c r="H85" i="7"/>
  <c r="G412" i="7"/>
  <c r="G414" i="7"/>
  <c r="H411" i="7"/>
  <c r="H414" i="7"/>
  <c r="I411" i="7"/>
  <c r="AC97" i="7"/>
  <c r="AT285" i="7"/>
  <c r="AB429" i="7"/>
  <c r="AB434" i="7"/>
  <c r="AM82" i="7"/>
  <c r="AV392" i="7"/>
  <c r="AV387" i="7"/>
  <c r="AV97" i="7"/>
  <c r="AP392" i="7"/>
  <c r="AP387" i="7"/>
  <c r="AN83" i="7"/>
  <c r="AN408" i="7"/>
  <c r="L789" i="7"/>
  <c r="L790" i="7"/>
  <c r="L80" i="7"/>
  <c r="AX131" i="7"/>
  <c r="AX486" i="7"/>
  <c r="AZ470" i="7"/>
  <c r="AZ465" i="7"/>
  <c r="AV507" i="7"/>
  <c r="AK507" i="7"/>
  <c r="AK132" i="7"/>
  <c r="AR507" i="7"/>
  <c r="AB87" i="7"/>
  <c r="AB96" i="7"/>
  <c r="AB450" i="7"/>
  <c r="L87" i="7"/>
  <c r="L96" i="7"/>
  <c r="L450" i="7"/>
  <c r="AU87" i="7"/>
  <c r="AU96" i="7"/>
  <c r="AU450" i="7"/>
  <c r="AE87" i="7"/>
  <c r="AE96" i="7"/>
  <c r="AE450" i="7"/>
  <c r="J87" i="7"/>
  <c r="J96" i="7"/>
  <c r="J450" i="7"/>
  <c r="AX87" i="7"/>
  <c r="AX96" i="7"/>
  <c r="AX450" i="7"/>
  <c r="BD87" i="7"/>
  <c r="BD96" i="7"/>
  <c r="BD450" i="7"/>
  <c r="AG87" i="7"/>
  <c r="AG96" i="7"/>
  <c r="AG450" i="7"/>
  <c r="AA178" i="7"/>
  <c r="AA583" i="7"/>
  <c r="AP178" i="7"/>
  <c r="AP583" i="7"/>
  <c r="AD583" i="7"/>
  <c r="AD178" i="7"/>
  <c r="I181" i="7"/>
  <c r="I190" i="7"/>
  <c r="I604" i="7"/>
  <c r="AO604" i="7"/>
  <c r="AO181" i="7"/>
  <c r="AO190" i="7"/>
  <c r="AL604" i="7"/>
  <c r="AL181" i="7"/>
  <c r="AL190" i="7"/>
  <c r="BB181" i="7"/>
  <c r="BB190" i="7"/>
  <c r="BB604" i="7"/>
  <c r="W604" i="7"/>
  <c r="W181" i="7"/>
  <c r="W190" i="7"/>
  <c r="AH176" i="7"/>
  <c r="S135" i="7"/>
  <c r="S144" i="7"/>
  <c r="S528" i="7"/>
  <c r="W177" i="7"/>
  <c r="W562" i="7"/>
  <c r="AG661" i="7"/>
  <c r="AG226" i="7"/>
  <c r="H604" i="7"/>
  <c r="H181" i="7"/>
  <c r="H190" i="7"/>
  <c r="BB789" i="7"/>
  <c r="AM789" i="7"/>
  <c r="Q789" i="7"/>
  <c r="AQ789" i="7"/>
  <c r="O789" i="7"/>
  <c r="AO789" i="7"/>
  <c r="M789" i="7"/>
  <c r="Y789" i="7"/>
  <c r="AE789" i="7"/>
  <c r="AU789" i="7"/>
  <c r="AZ789" i="7"/>
  <c r="J789" i="7"/>
  <c r="Z789" i="7"/>
  <c r="AP789" i="7"/>
  <c r="AP788" i="7"/>
  <c r="AP790" i="7"/>
  <c r="AP80" i="7"/>
  <c r="AW789" i="7"/>
  <c r="AB789" i="7"/>
  <c r="BE789" i="7"/>
  <c r="AC789" i="7"/>
  <c r="BD789" i="7"/>
  <c r="AA789" i="7"/>
  <c r="BA789" i="7"/>
  <c r="S789" i="7"/>
  <c r="X789" i="7"/>
  <c r="R789" i="7"/>
  <c r="AH789" i="7"/>
  <c r="AX789" i="7"/>
  <c r="AX784" i="7"/>
  <c r="AX788" i="7"/>
  <c r="AX790" i="7"/>
  <c r="AX80" i="7"/>
  <c r="AG789" i="7"/>
  <c r="AJ789" i="7"/>
  <c r="AI789" i="7"/>
  <c r="K789" i="7"/>
  <c r="AF789" i="7"/>
  <c r="AD789" i="7"/>
  <c r="BC789" i="7"/>
  <c r="H789" i="7"/>
  <c r="H788" i="7"/>
  <c r="H790" i="7"/>
  <c r="H80" i="7"/>
  <c r="P789" i="7"/>
  <c r="AK789" i="7"/>
  <c r="AK790" i="7"/>
  <c r="AK80" i="7"/>
  <c r="N789" i="7"/>
  <c r="AT789" i="7"/>
  <c r="AY789" i="7"/>
  <c r="I789" i="7"/>
  <c r="V789" i="7"/>
  <c r="AR789" i="7"/>
  <c r="AV789" i="7"/>
  <c r="AN789" i="7"/>
  <c r="V817" i="7"/>
  <c r="T817" i="7"/>
  <c r="AT816" i="7"/>
  <c r="AT818" i="7"/>
  <c r="AT174" i="7"/>
  <c r="AT178" i="7"/>
  <c r="BA816" i="7"/>
  <c r="S84" i="7"/>
  <c r="Q507" i="7"/>
  <c r="H619" i="7"/>
  <c r="H239" i="7"/>
  <c r="V738" i="7"/>
  <c r="N619" i="7"/>
  <c r="N661" i="7"/>
  <c r="N239" i="7"/>
  <c r="X434" i="7"/>
  <c r="X429" i="7"/>
  <c r="T429" i="7"/>
  <c r="T387" i="7"/>
  <c r="T408" i="7"/>
  <c r="T97" i="7"/>
  <c r="W429" i="7"/>
  <c r="U470" i="7"/>
  <c r="U465" i="7"/>
  <c r="O470" i="7"/>
  <c r="O465" i="7"/>
  <c r="O486" i="7"/>
  <c r="O145" i="7"/>
  <c r="N226" i="7"/>
  <c r="O661" i="7"/>
  <c r="O226" i="7"/>
  <c r="T226" i="7"/>
  <c r="H562" i="7"/>
  <c r="R546" i="7"/>
  <c r="R541" i="7"/>
  <c r="I547" i="7"/>
  <c r="J544" i="7"/>
  <c r="U738" i="7"/>
  <c r="U272" i="7"/>
  <c r="R132" i="7"/>
  <c r="R507" i="7"/>
  <c r="W507" i="7"/>
  <c r="W132" i="7"/>
  <c r="V507" i="7"/>
  <c r="U507" i="7"/>
  <c r="V408" i="7"/>
  <c r="P640" i="7"/>
  <c r="AZ450" i="7"/>
  <c r="J568" i="7"/>
  <c r="K565" i="7"/>
  <c r="L567" i="7"/>
  <c r="I562" i="7"/>
  <c r="I191" i="7"/>
  <c r="X491" i="7"/>
  <c r="X486" i="7"/>
  <c r="X145" i="7"/>
  <c r="T413" i="7"/>
  <c r="BB387" i="7"/>
  <c r="AO145" i="7"/>
  <c r="U562" i="7"/>
  <c r="U583" i="7"/>
  <c r="U191" i="7"/>
  <c r="AI135" i="7"/>
  <c r="AI144" i="7"/>
  <c r="AP528" i="7"/>
  <c r="K528" i="7"/>
  <c r="BE135" i="7"/>
  <c r="BE144" i="7"/>
  <c r="AD604" i="7"/>
  <c r="P181" i="7"/>
  <c r="P190" i="7"/>
  <c r="V181" i="7"/>
  <c r="V190" i="7"/>
  <c r="T789" i="7"/>
  <c r="AS816" i="7"/>
  <c r="AS818" i="7"/>
  <c r="AS174" i="7"/>
  <c r="AZ804" i="7"/>
  <c r="AZ128" i="7"/>
  <c r="H228" i="7"/>
  <c r="H237" i="7"/>
  <c r="AA486" i="7"/>
  <c r="BA738" i="7"/>
  <c r="BA272" i="7"/>
  <c r="AH619" i="7"/>
  <c r="AH661" i="7"/>
  <c r="AH239" i="7"/>
  <c r="AH624" i="7"/>
  <c r="AA816" i="7"/>
  <c r="Q816" i="7"/>
  <c r="BB844" i="7"/>
  <c r="BB846" i="7"/>
  <c r="BB268" i="7"/>
  <c r="H393" i="7"/>
  <c r="I390" i="7"/>
  <c r="I393" i="7"/>
  <c r="J390" i="7"/>
  <c r="J393" i="7"/>
  <c r="K390" i="7"/>
  <c r="K393" i="7"/>
  <c r="L390" i="7"/>
  <c r="L393" i="7"/>
  <c r="M390" i="7"/>
  <c r="M393" i="7"/>
  <c r="N390" i="7"/>
  <c r="N392" i="7"/>
  <c r="N393" i="7"/>
  <c r="O390" i="7"/>
  <c r="P696" i="7"/>
  <c r="R408" i="7"/>
  <c r="AF239" i="7"/>
  <c r="AK696" i="7"/>
  <c r="AK717" i="7"/>
  <c r="AK285" i="7"/>
  <c r="AD285" i="7"/>
  <c r="AE191" i="7"/>
  <c r="AN465" i="7"/>
  <c r="AN130" i="7"/>
  <c r="AX619" i="7"/>
  <c r="AX224" i="7"/>
  <c r="AK541" i="7"/>
  <c r="AK546" i="7"/>
  <c r="AK619" i="7"/>
  <c r="AK224" i="7"/>
  <c r="W661" i="7"/>
  <c r="W239" i="7"/>
  <c r="W226" i="7"/>
  <c r="W830" i="7"/>
  <c r="W832" i="7"/>
  <c r="W222" i="7"/>
  <c r="AQ486" i="7"/>
  <c r="AO541" i="7"/>
  <c r="AO546" i="7"/>
  <c r="BC717" i="7"/>
  <c r="BC271" i="7"/>
  <c r="AL465" i="7"/>
  <c r="AL470" i="7"/>
  <c r="AO387" i="7"/>
  <c r="BC486" i="7"/>
  <c r="BC145" i="7"/>
  <c r="AW640" i="7"/>
  <c r="AW645" i="7"/>
  <c r="AW465" i="7"/>
  <c r="AW130" i="7"/>
  <c r="AK270" i="7"/>
  <c r="AR640" i="7"/>
  <c r="BE619" i="7"/>
  <c r="AX717" i="7"/>
  <c r="AN486" i="7"/>
  <c r="AL486" i="7"/>
  <c r="BA717" i="7"/>
  <c r="BA285" i="7"/>
  <c r="AZ583" i="7"/>
  <c r="AE661" i="7"/>
  <c r="H528" i="7"/>
  <c r="G202" i="4"/>
  <c r="G202" i="17"/>
  <c r="G221" i="4"/>
  <c r="G221" i="17"/>
  <c r="V180" i="8"/>
  <c r="G203" i="4"/>
  <c r="G203" i="17"/>
  <c r="G297" i="17"/>
  <c r="G222" i="4"/>
  <c r="G222" i="17"/>
  <c r="G177" i="17"/>
  <c r="G187" i="17"/>
  <c r="D197" i="8"/>
  <c r="D199" i="8"/>
  <c r="W135" i="8"/>
  <c r="X135" i="8"/>
  <c r="Y135" i="8"/>
  <c r="I77" i="4"/>
  <c r="G297" i="4"/>
  <c r="J271" i="4"/>
  <c r="T58" i="4"/>
  <c r="S271" i="4"/>
  <c r="Q271" i="4"/>
  <c r="O271" i="4"/>
  <c r="K58" i="4"/>
  <c r="N271" i="4"/>
  <c r="X271" i="4"/>
  <c r="AA271" i="4"/>
  <c r="R58" i="4"/>
  <c r="K148" i="4"/>
  <c r="M271" i="4"/>
  <c r="M58" i="4"/>
  <c r="N58" i="4"/>
  <c r="G87" i="4"/>
  <c r="G97" i="4"/>
  <c r="T92" i="8"/>
  <c r="O234" i="4"/>
  <c r="D201" i="8"/>
  <c r="N64" i="4"/>
  <c r="Z255" i="4"/>
  <c r="I58" i="4"/>
  <c r="J58" i="4"/>
  <c r="S58" i="4"/>
  <c r="U64" i="4"/>
  <c r="Y58" i="4"/>
  <c r="AA148" i="4"/>
  <c r="P58" i="4"/>
  <c r="W58" i="4"/>
  <c r="J64" i="4"/>
  <c r="K64" i="4"/>
  <c r="Y255" i="4"/>
  <c r="Z64" i="4"/>
  <c r="L64" i="4"/>
  <c r="AA64" i="4"/>
  <c r="O64" i="4"/>
  <c r="D134" i="1"/>
  <c r="AK358" i="7"/>
  <c r="Z358" i="7"/>
  <c r="AD316" i="7"/>
  <c r="BD337" i="7"/>
  <c r="AW374" i="7"/>
  <c r="AI374" i="7"/>
  <c r="R374" i="7"/>
  <c r="AM374" i="7"/>
  <c r="D142" i="1"/>
  <c r="D72" i="1"/>
  <c r="C124" i="1"/>
  <c r="D143" i="1"/>
  <c r="G365" i="4"/>
  <c r="H64" i="4"/>
  <c r="X64" i="4"/>
  <c r="R271" i="4"/>
  <c r="T64" i="4"/>
  <c r="U58" i="4"/>
  <c r="L58" i="4"/>
  <c r="O58" i="4"/>
  <c r="D157" i="1"/>
  <c r="G177" i="4"/>
  <c r="G187" i="4"/>
  <c r="Q58" i="4"/>
  <c r="X58" i="4"/>
  <c r="Z58" i="4"/>
  <c r="AA58" i="4"/>
  <c r="W148" i="4"/>
  <c r="U161" i="8"/>
  <c r="Y161" i="8"/>
  <c r="Q64" i="4"/>
  <c r="Y64" i="4"/>
  <c r="G379" i="4"/>
  <c r="U92" i="8"/>
  <c r="J262" i="7"/>
  <c r="N262" i="7"/>
  <c r="R262" i="7"/>
  <c r="V262" i="7"/>
  <c r="AD262" i="7"/>
  <c r="AH262" i="7"/>
  <c r="AL262" i="7"/>
  <c r="AT262" i="7"/>
  <c r="AX262" i="7"/>
  <c r="BB262" i="7"/>
  <c r="AS268" i="7"/>
  <c r="AM262" i="7"/>
  <c r="AQ840" i="7"/>
  <c r="AQ844" i="7"/>
  <c r="AQ846" i="7"/>
  <c r="AQ268" i="7"/>
  <c r="AQ275" i="7"/>
  <c r="AA846" i="7"/>
  <c r="AA268" i="7"/>
  <c r="AJ840" i="7"/>
  <c r="AJ844" i="7"/>
  <c r="AJ846" i="7"/>
  <c r="AJ268" i="7"/>
  <c r="AY840" i="7"/>
  <c r="AY844" i="7"/>
  <c r="AY846" i="7"/>
  <c r="AY268" i="7"/>
  <c r="BE840" i="7"/>
  <c r="BE844" i="7"/>
  <c r="BE846" i="7"/>
  <c r="BE268" i="7"/>
  <c r="Y840" i="7"/>
  <c r="Y844" i="7"/>
  <c r="Y846" i="7"/>
  <c r="Y268" i="7"/>
  <c r="BA840" i="7"/>
  <c r="BA844" i="7"/>
  <c r="BA846" i="7"/>
  <c r="BA268" i="7"/>
  <c r="AF840" i="7"/>
  <c r="AF844" i="7"/>
  <c r="AF846" i="7"/>
  <c r="AF268" i="7"/>
  <c r="AF272" i="7"/>
  <c r="I840" i="7"/>
  <c r="I844" i="7"/>
  <c r="I846" i="7"/>
  <c r="I268" i="7"/>
  <c r="X840" i="7"/>
  <c r="X844" i="7"/>
  <c r="X846" i="7"/>
  <c r="X268" i="7"/>
  <c r="AK840" i="7"/>
  <c r="AK844" i="7"/>
  <c r="AK846" i="7"/>
  <c r="AK268" i="7"/>
  <c r="AZ840" i="7"/>
  <c r="AZ844" i="7"/>
  <c r="AZ846" i="7"/>
  <c r="AZ268" i="7"/>
  <c r="T840" i="7"/>
  <c r="T844" i="7"/>
  <c r="T846" i="7"/>
  <c r="T268" i="7"/>
  <c r="AI840" i="7"/>
  <c r="AI844" i="7"/>
  <c r="AI846" i="7"/>
  <c r="AI268" i="7"/>
  <c r="AV840" i="7"/>
  <c r="AV844" i="7"/>
  <c r="AV846" i="7"/>
  <c r="AV268" i="7"/>
  <c r="L840" i="7"/>
  <c r="L844" i="7"/>
  <c r="L846" i="7"/>
  <c r="L268" i="7"/>
  <c r="W840" i="7"/>
  <c r="W844" i="7"/>
  <c r="W846" i="7"/>
  <c r="W268" i="7"/>
  <c r="AG840" i="7"/>
  <c r="AG844" i="7"/>
  <c r="AG846" i="7"/>
  <c r="AG268" i="7"/>
  <c r="AR840" i="7"/>
  <c r="AR844" i="7"/>
  <c r="AR846" i="7"/>
  <c r="AR268" i="7"/>
  <c r="BC840" i="7"/>
  <c r="BC844" i="7"/>
  <c r="BC846" i="7"/>
  <c r="BC268" i="7"/>
  <c r="N840" i="7"/>
  <c r="N844" i="7"/>
  <c r="N846" i="7"/>
  <c r="N268" i="7"/>
  <c r="V840" i="7"/>
  <c r="V844" i="7"/>
  <c r="V846" i="7"/>
  <c r="V268" i="7"/>
  <c r="AD840" i="7"/>
  <c r="AD844" i="7"/>
  <c r="AL840" i="7"/>
  <c r="AL844" i="7"/>
  <c r="AL846" i="7"/>
  <c r="AL268" i="7"/>
  <c r="AT840" i="7"/>
  <c r="AT844" i="7"/>
  <c r="AT846" i="7"/>
  <c r="AT268" i="7"/>
  <c r="H215" i="7"/>
  <c r="H214" i="7"/>
  <c r="H220" i="7"/>
  <c r="L216" i="7"/>
  <c r="P826" i="7"/>
  <c r="P830" i="7"/>
  <c r="P832" i="7"/>
  <c r="P222" i="7"/>
  <c r="AZ826" i="7"/>
  <c r="AI826" i="7"/>
  <c r="AI830" i="7"/>
  <c r="AA826" i="7"/>
  <c r="AA830" i="7"/>
  <c r="Z826" i="7"/>
  <c r="Z830" i="7"/>
  <c r="AU826" i="7"/>
  <c r="AU830" i="7"/>
  <c r="O826" i="7"/>
  <c r="AJ826" i="7"/>
  <c r="AB826" i="7"/>
  <c r="AB830" i="7"/>
  <c r="AX826" i="7"/>
  <c r="M826" i="7"/>
  <c r="M830" i="7"/>
  <c r="Y826" i="7"/>
  <c r="Y830" i="7"/>
  <c r="AW826" i="7"/>
  <c r="AW830" i="7"/>
  <c r="AW832" i="7"/>
  <c r="AW222" i="7"/>
  <c r="AG222" i="7"/>
  <c r="H217" i="7"/>
  <c r="U216" i="7"/>
  <c r="M216" i="7"/>
  <c r="I218" i="7"/>
  <c r="BD216" i="7"/>
  <c r="AT826" i="7"/>
  <c r="AL826" i="7"/>
  <c r="AL830" i="7"/>
  <c r="AV826" i="7"/>
  <c r="K826" i="7"/>
  <c r="K830" i="7"/>
  <c r="AF826" i="7"/>
  <c r="BB826" i="7"/>
  <c r="BB830" i="7"/>
  <c r="AQ826" i="7"/>
  <c r="AQ830" i="7"/>
  <c r="AQ832" i="7"/>
  <c r="AQ222" i="7"/>
  <c r="R826" i="7"/>
  <c r="R830" i="7"/>
  <c r="R832" i="7"/>
  <c r="R222" i="7"/>
  <c r="AH826" i="7"/>
  <c r="BC826" i="7"/>
  <c r="BC830" i="7"/>
  <c r="BC832" i="7"/>
  <c r="BC222" i="7"/>
  <c r="AC826" i="7"/>
  <c r="AC830" i="7"/>
  <c r="AO826" i="7"/>
  <c r="AO830" i="7"/>
  <c r="AO832" i="7"/>
  <c r="AO222" i="7"/>
  <c r="M168" i="7"/>
  <c r="U168" i="7"/>
  <c r="AC168" i="7"/>
  <c r="AK168" i="7"/>
  <c r="AS168" i="7"/>
  <c r="BA168" i="7"/>
  <c r="I167" i="7"/>
  <c r="I166" i="7"/>
  <c r="I172" i="7"/>
  <c r="I169" i="7"/>
  <c r="I168" i="7"/>
  <c r="Q168" i="7"/>
  <c r="Y168" i="7"/>
  <c r="AG168" i="7"/>
  <c r="AO168" i="7"/>
  <c r="AW168" i="7"/>
  <c r="BE168" i="7"/>
  <c r="I170" i="7"/>
  <c r="AP168" i="7"/>
  <c r="Y818" i="7"/>
  <c r="Y174" i="7"/>
  <c r="AN174" i="7"/>
  <c r="H798" i="7"/>
  <c r="H802" i="7"/>
  <c r="H804" i="7"/>
  <c r="H128" i="7"/>
  <c r="AV798" i="7"/>
  <c r="AO798" i="7"/>
  <c r="AO802" i="7"/>
  <c r="AB798" i="7"/>
  <c r="AB802" i="7"/>
  <c r="AB804" i="7"/>
  <c r="AB128" i="7"/>
  <c r="AB131" i="7"/>
  <c r="N798" i="7"/>
  <c r="N802" i="7"/>
  <c r="N804" i="7"/>
  <c r="N128" i="7"/>
  <c r="AT798" i="7"/>
  <c r="AA122" i="7"/>
  <c r="BC798" i="7"/>
  <c r="BC802" i="7"/>
  <c r="BC804" i="7"/>
  <c r="BC128" i="7"/>
  <c r="X798" i="7"/>
  <c r="X802" i="7"/>
  <c r="X804" i="7"/>
  <c r="X128" i="7"/>
  <c r="S798" i="7"/>
  <c r="S802" i="7"/>
  <c r="S804" i="7"/>
  <c r="S128" i="7"/>
  <c r="AY798" i="7"/>
  <c r="AY802" i="7"/>
  <c r="AY804" i="7"/>
  <c r="AY128" i="7"/>
  <c r="AQ798" i="7"/>
  <c r="AQ802" i="7"/>
  <c r="P798" i="7"/>
  <c r="Y798" i="7"/>
  <c r="Y802" i="7"/>
  <c r="Y804" i="7"/>
  <c r="Y128" i="7"/>
  <c r="AU798" i="7"/>
  <c r="L798" i="7"/>
  <c r="AG798" i="7"/>
  <c r="AG802" i="7"/>
  <c r="AG804" i="7"/>
  <c r="AG128" i="7"/>
  <c r="AW798" i="7"/>
  <c r="AW802" i="7"/>
  <c r="AW804" i="7"/>
  <c r="AW128" i="7"/>
  <c r="R798" i="7"/>
  <c r="R802" i="7"/>
  <c r="R804" i="7"/>
  <c r="R128" i="7"/>
  <c r="AH798" i="7"/>
  <c r="AX798" i="7"/>
  <c r="AX802" i="7"/>
  <c r="AX804" i="7"/>
  <c r="AX128" i="7"/>
  <c r="AR122" i="7"/>
  <c r="AJ122" i="7"/>
  <c r="H121" i="7"/>
  <c r="H120" i="7"/>
  <c r="H126" i="7"/>
  <c r="BC122" i="7"/>
  <c r="AM122" i="7"/>
  <c r="W122" i="7"/>
  <c r="AN798" i="7"/>
  <c r="AN802" i="7"/>
  <c r="AN804" i="7"/>
  <c r="AN128" i="7"/>
  <c r="AF798" i="7"/>
  <c r="AF802" i="7"/>
  <c r="AF804" i="7"/>
  <c r="AF128" i="7"/>
  <c r="BD798" i="7"/>
  <c r="T798" i="7"/>
  <c r="T802" i="7"/>
  <c r="T804" i="7"/>
  <c r="T128" i="7"/>
  <c r="BE798" i="7"/>
  <c r="BE802" i="7"/>
  <c r="BE804" i="7"/>
  <c r="BE128" i="7"/>
  <c r="AR798" i="7"/>
  <c r="AR802" i="7"/>
  <c r="AR804" i="7"/>
  <c r="AR128" i="7"/>
  <c r="AD798" i="7"/>
  <c r="AD802" i="7"/>
  <c r="AD804" i="7"/>
  <c r="AD128" i="7"/>
  <c r="I126" i="7"/>
  <c r="I141" i="7"/>
  <c r="AQ122" i="7"/>
  <c r="AC798" i="7"/>
  <c r="AC802" i="7"/>
  <c r="AC804" i="7"/>
  <c r="AC128" i="7"/>
  <c r="K798" i="7"/>
  <c r="BA798" i="7"/>
  <c r="BA802" i="7"/>
  <c r="BA804" i="7"/>
  <c r="BA128" i="7"/>
  <c r="AI798" i="7"/>
  <c r="AI802" i="7"/>
  <c r="AI804" i="7"/>
  <c r="AI128" i="7"/>
  <c r="AA798" i="7"/>
  <c r="AA802" i="7"/>
  <c r="AA804" i="7"/>
  <c r="AA128" i="7"/>
  <c r="I798" i="7"/>
  <c r="I802" i="7"/>
  <c r="I804" i="7"/>
  <c r="I128" i="7"/>
  <c r="AE798" i="7"/>
  <c r="AE802" i="7"/>
  <c r="AE804" i="7"/>
  <c r="AE128" i="7"/>
  <c r="Q798" i="7"/>
  <c r="Q802" i="7"/>
  <c r="Q804" i="7"/>
  <c r="Q128" i="7"/>
  <c r="AM798" i="7"/>
  <c r="AM802" i="7"/>
  <c r="AM804" i="7"/>
  <c r="AM128" i="7"/>
  <c r="V798" i="7"/>
  <c r="V802" i="7"/>
  <c r="V804" i="7"/>
  <c r="V128" i="7"/>
  <c r="AL798" i="7"/>
  <c r="AL802" i="7"/>
  <c r="AL804" i="7"/>
  <c r="AL128" i="7"/>
  <c r="BB784" i="7"/>
  <c r="K784" i="7"/>
  <c r="K788" i="7"/>
  <c r="K790" i="7"/>
  <c r="K80" i="7"/>
  <c r="P784" i="7"/>
  <c r="P788" i="7"/>
  <c r="P790" i="7"/>
  <c r="P80" i="7"/>
  <c r="AI784" i="7"/>
  <c r="AI788" i="7"/>
  <c r="AI790" i="7"/>
  <c r="AI80" i="7"/>
  <c r="O784" i="7"/>
  <c r="O788" i="7"/>
  <c r="AJ784" i="7"/>
  <c r="AJ788" i="7"/>
  <c r="AJ790" i="7"/>
  <c r="AJ80" i="7"/>
  <c r="AB784" i="7"/>
  <c r="AB788" i="7"/>
  <c r="AB790" i="7"/>
  <c r="AB80" i="7"/>
  <c r="Q784" i="7"/>
  <c r="AG784" i="7"/>
  <c r="AG788" i="7"/>
  <c r="AG790" i="7"/>
  <c r="AG80" i="7"/>
  <c r="AS784" i="7"/>
  <c r="AS788" i="7"/>
  <c r="AD784" i="7"/>
  <c r="AV74" i="7"/>
  <c r="AF74" i="7"/>
  <c r="T74" i="7"/>
  <c r="H74" i="7"/>
  <c r="AY74" i="7"/>
  <c r="AE74" i="7"/>
  <c r="AA74" i="7"/>
  <c r="V784" i="7"/>
  <c r="V788" i="7"/>
  <c r="V790" i="7"/>
  <c r="V80" i="7"/>
  <c r="AA784" i="7"/>
  <c r="AA788" i="7"/>
  <c r="AA790" i="7"/>
  <c r="AA80" i="7"/>
  <c r="AT784" i="7"/>
  <c r="AT788" i="7"/>
  <c r="J784" i="7"/>
  <c r="J788" i="7"/>
  <c r="J790" i="7"/>
  <c r="J80" i="7"/>
  <c r="AE784" i="7"/>
  <c r="AZ784" i="7"/>
  <c r="AZ788" i="7"/>
  <c r="AZ790" i="7"/>
  <c r="W784" i="7"/>
  <c r="W788" i="7"/>
  <c r="AR784" i="7"/>
  <c r="AR788" i="7"/>
  <c r="M784" i="7"/>
  <c r="AC784" i="7"/>
  <c r="AC788" i="7"/>
  <c r="AC790" i="7"/>
  <c r="AO784" i="7"/>
  <c r="BE84" i="7"/>
  <c r="BE429" i="7"/>
  <c r="AN434" i="7"/>
  <c r="AN429" i="7"/>
  <c r="BD434" i="7"/>
  <c r="BD429" i="7"/>
  <c r="AD408" i="7"/>
  <c r="AD97" i="7"/>
  <c r="AD83" i="7"/>
  <c r="AJ87" i="7"/>
  <c r="AJ96" i="7"/>
  <c r="AJ450" i="7"/>
  <c r="BC87" i="7"/>
  <c r="BC96" i="7"/>
  <c r="BC450" i="7"/>
  <c r="W87" i="7"/>
  <c r="W96" i="7"/>
  <c r="W450" i="7"/>
  <c r="V87" i="7"/>
  <c r="V96" i="7"/>
  <c r="V450" i="7"/>
  <c r="AW87" i="7"/>
  <c r="AW96" i="7"/>
  <c r="AW450" i="7"/>
  <c r="M413" i="7"/>
  <c r="M408" i="7"/>
  <c r="P83" i="7"/>
  <c r="P408" i="7"/>
  <c r="Q408" i="7"/>
  <c r="Q83" i="7"/>
  <c r="BB434" i="7"/>
  <c r="N429" i="7"/>
  <c r="V84" i="7"/>
  <c r="J82" i="7"/>
  <c r="J387" i="7"/>
  <c r="J84" i="7"/>
  <c r="J429" i="7"/>
  <c r="V82" i="7"/>
  <c r="V387" i="7"/>
  <c r="BD97" i="7"/>
  <c r="AL408" i="7"/>
  <c r="AL413" i="7"/>
  <c r="AK392" i="7"/>
  <c r="AK387" i="7"/>
  <c r="AK97" i="7"/>
  <c r="AN82" i="7"/>
  <c r="AN387" i="7"/>
  <c r="AN97" i="7"/>
  <c r="AW788" i="7"/>
  <c r="AW790" i="7"/>
  <c r="AW80" i="7"/>
  <c r="AO788" i="7"/>
  <c r="AO790" i="7"/>
  <c r="AO80" i="7"/>
  <c r="Q788" i="7"/>
  <c r="I788" i="7"/>
  <c r="I790" i="7"/>
  <c r="I80" i="7"/>
  <c r="I98" i="7"/>
  <c r="AE788" i="7"/>
  <c r="AE790" i="7"/>
  <c r="AE80" i="7"/>
  <c r="X788" i="7"/>
  <c r="AT790" i="7"/>
  <c r="AT80" i="7"/>
  <c r="AD788" i="7"/>
  <c r="AD790" i="7"/>
  <c r="AD80" i="7"/>
  <c r="AF788" i="7"/>
  <c r="BB788" i="7"/>
  <c r="BB790" i="7"/>
  <c r="BB80" i="7"/>
  <c r="M788" i="7"/>
  <c r="M790" i="7"/>
  <c r="M80" i="7"/>
  <c r="BD788" i="7"/>
  <c r="BD790" i="7"/>
  <c r="BD80" i="7"/>
  <c r="AH788" i="7"/>
  <c r="AH790" i="7"/>
  <c r="AH80" i="7"/>
  <c r="AQ788" i="7"/>
  <c r="AQ790" i="7"/>
  <c r="AQ80" i="7"/>
  <c r="AR790" i="7"/>
  <c r="AR80" i="7"/>
  <c r="N788" i="7"/>
  <c r="N790" i="7"/>
  <c r="N80" i="7"/>
  <c r="G790" i="7"/>
  <c r="AC80" i="7"/>
  <c r="BC788" i="7"/>
  <c r="BC790" i="7"/>
  <c r="BC80" i="7"/>
  <c r="AU788" i="7"/>
  <c r="AU790" i="7"/>
  <c r="AU80" i="7"/>
  <c r="N387" i="7"/>
  <c r="J83" i="7"/>
  <c r="J408" i="7"/>
  <c r="H408" i="7"/>
  <c r="H83" i="7"/>
  <c r="AE408" i="7"/>
  <c r="AS82" i="7"/>
  <c r="I429" i="7"/>
  <c r="AA387" i="7"/>
  <c r="Z429" i="7"/>
  <c r="Z387" i="7"/>
  <c r="N408" i="7"/>
  <c r="W408" i="7"/>
  <c r="AA408" i="7"/>
  <c r="S413" i="7"/>
  <c r="AL429" i="7"/>
  <c r="BE83" i="7"/>
  <c r="BE408" i="7"/>
  <c r="BC429" i="7"/>
  <c r="AR82" i="7"/>
  <c r="AR387" i="7"/>
  <c r="AY387" i="7"/>
  <c r="AY97" i="7"/>
  <c r="AY392" i="7"/>
  <c r="AX82" i="7"/>
  <c r="AX387" i="7"/>
  <c r="AH387" i="7"/>
  <c r="AH408" i="7"/>
  <c r="AH97" i="7"/>
  <c r="AH392" i="7"/>
  <c r="BC83" i="7"/>
  <c r="BC408" i="7"/>
  <c r="AQ83" i="7"/>
  <c r="AQ408" i="7"/>
  <c r="AJ83" i="7"/>
  <c r="AJ408" i="7"/>
  <c r="AM87" i="7"/>
  <c r="AM96" i="7"/>
  <c r="AM450" i="7"/>
  <c r="BB429" i="7"/>
  <c r="BB408" i="7"/>
  <c r="BB97" i="7"/>
  <c r="P387" i="7"/>
  <c r="P97" i="7"/>
  <c r="Y408" i="7"/>
  <c r="Y97" i="7"/>
  <c r="BE97" i="7"/>
  <c r="AF408" i="7"/>
  <c r="AF413" i="7"/>
  <c r="AG83" i="7"/>
  <c r="AG408" i="7"/>
  <c r="AH83" i="7"/>
  <c r="BB83" i="7"/>
  <c r="H87" i="7"/>
  <c r="H96" i="7"/>
  <c r="H450" i="7"/>
  <c r="AW408" i="7"/>
  <c r="BC82" i="7"/>
  <c r="BC387" i="7"/>
  <c r="AO392" i="7"/>
  <c r="AX413" i="7"/>
  <c r="BA413" i="7"/>
  <c r="BA408" i="7"/>
  <c r="AP408" i="7"/>
  <c r="AP97" i="7"/>
  <c r="AP413" i="7"/>
  <c r="AH465" i="7"/>
  <c r="AH130" i="7"/>
  <c r="AH528" i="7"/>
  <c r="AH135" i="7"/>
  <c r="AH144" i="7"/>
  <c r="G804" i="7"/>
  <c r="K802" i="7"/>
  <c r="K804" i="7"/>
  <c r="K128" i="7"/>
  <c r="AS802" i="7"/>
  <c r="AS804" i="7"/>
  <c r="AS128" i="7"/>
  <c r="L802" i="7"/>
  <c r="L804" i="7"/>
  <c r="L128" i="7"/>
  <c r="AE486" i="7"/>
  <c r="AB470" i="7"/>
  <c r="AB465" i="7"/>
  <c r="AB486" i="7"/>
  <c r="AB507" i="7"/>
  <c r="AB145" i="7"/>
  <c r="I130" i="7"/>
  <c r="I465" i="7"/>
  <c r="I486" i="7"/>
  <c r="BD135" i="7"/>
  <c r="BD144" i="7"/>
  <c r="BD528" i="7"/>
  <c r="BB802" i="7"/>
  <c r="BB804" i="7"/>
  <c r="BB128" i="7"/>
  <c r="AT802" i="7"/>
  <c r="AT804" i="7"/>
  <c r="AT128" i="7"/>
  <c r="AP802" i="7"/>
  <c r="AP804" i="7"/>
  <c r="AP128" i="7"/>
  <c r="J802" i="7"/>
  <c r="J804" i="7"/>
  <c r="J128" i="7"/>
  <c r="AU802" i="7"/>
  <c r="AU804" i="7"/>
  <c r="AU128" i="7"/>
  <c r="AJ802" i="7"/>
  <c r="AJ804" i="7"/>
  <c r="AJ128" i="7"/>
  <c r="O802" i="7"/>
  <c r="O804" i="7"/>
  <c r="O128" i="7"/>
  <c r="AV802" i="7"/>
  <c r="AV804" i="7"/>
  <c r="AV128" i="7"/>
  <c r="BD802" i="7"/>
  <c r="BD804" i="7"/>
  <c r="BD128" i="7"/>
  <c r="M802" i="7"/>
  <c r="M804" i="7"/>
  <c r="M128" i="7"/>
  <c r="AQ804" i="7"/>
  <c r="AQ128" i="7"/>
  <c r="U802" i="7"/>
  <c r="U804" i="7"/>
  <c r="U128" i="7"/>
  <c r="AC130" i="7"/>
  <c r="AH802" i="7"/>
  <c r="AH804" i="7"/>
  <c r="AH128" i="7"/>
  <c r="AK802" i="7"/>
  <c r="AK804" i="7"/>
  <c r="AK128" i="7"/>
  <c r="AO804" i="7"/>
  <c r="AO128" i="7"/>
  <c r="Z802" i="7"/>
  <c r="Z804" i="7"/>
  <c r="Z128" i="7"/>
  <c r="P802" i="7"/>
  <c r="P804" i="7"/>
  <c r="P128" i="7"/>
  <c r="W802" i="7"/>
  <c r="W804" i="7"/>
  <c r="W128" i="7"/>
  <c r="I471" i="7"/>
  <c r="J468" i="7"/>
  <c r="J471" i="7"/>
  <c r="K468" i="7"/>
  <c r="K471" i="7"/>
  <c r="L468" i="7"/>
  <c r="L471" i="7"/>
  <c r="AC465" i="7"/>
  <c r="AC145" i="7"/>
  <c r="AT470" i="7"/>
  <c r="AT465" i="7"/>
  <c r="AT145" i="7"/>
  <c r="AA465" i="7"/>
  <c r="AA130" i="7"/>
  <c r="H130" i="7"/>
  <c r="H465" i="7"/>
  <c r="H486" i="7"/>
  <c r="Z507" i="7"/>
  <c r="AA507" i="7"/>
  <c r="S507" i="7"/>
  <c r="T491" i="7"/>
  <c r="T486" i="7"/>
  <c r="M131" i="7"/>
  <c r="Q491" i="7"/>
  <c r="Q486" i="7"/>
  <c r="BA507" i="7"/>
  <c r="AZ132" i="7"/>
  <c r="AZ507" i="7"/>
  <c r="AQ132" i="7"/>
  <c r="AQ507" i="7"/>
  <c r="AQ145" i="7"/>
  <c r="BE465" i="7"/>
  <c r="BE130" i="7"/>
  <c r="Z130" i="7"/>
  <c r="Z465" i="7"/>
  <c r="S491" i="7"/>
  <c r="S486" i="7"/>
  <c r="S145" i="7"/>
  <c r="AK465" i="7"/>
  <c r="AJ491" i="7"/>
  <c r="AJ486" i="7"/>
  <c r="AL507" i="7"/>
  <c r="AL132" i="7"/>
  <c r="BE507" i="7"/>
  <c r="BD470" i="7"/>
  <c r="AY486" i="7"/>
  <c r="AY491" i="7"/>
  <c r="AX135" i="7"/>
  <c r="AX144" i="7"/>
  <c r="AX528" i="7"/>
  <c r="J489" i="7"/>
  <c r="J492" i="7"/>
  <c r="K489" i="7"/>
  <c r="K492" i="7"/>
  <c r="L489" i="7"/>
  <c r="L492" i="7"/>
  <c r="M489" i="7"/>
  <c r="M492" i="7"/>
  <c r="N489" i="7"/>
  <c r="N492" i="7"/>
  <c r="O489" i="7"/>
  <c r="O492" i="7"/>
  <c r="P489" i="7"/>
  <c r="P492" i="7"/>
  <c r="Q489" i="7"/>
  <c r="Q492" i="7"/>
  <c r="R489" i="7"/>
  <c r="R492" i="7"/>
  <c r="S489" i="7"/>
  <c r="S492" i="7"/>
  <c r="K486" i="7"/>
  <c r="K145" i="7"/>
  <c r="AH131" i="7"/>
  <c r="AH486" i="7"/>
  <c r="BD132" i="7"/>
  <c r="AG132" i="7"/>
  <c r="AG507" i="7"/>
  <c r="AW132" i="7"/>
  <c r="AW507" i="7"/>
  <c r="U135" i="7"/>
  <c r="U144" i="7"/>
  <c r="U528" i="7"/>
  <c r="AV130" i="7"/>
  <c r="AV465" i="7"/>
  <c r="AL145" i="7"/>
  <c r="AW486" i="7"/>
  <c r="AW145" i="7"/>
  <c r="AN528" i="7"/>
  <c r="AN135" i="7"/>
  <c r="AN144" i="7"/>
  <c r="Y131" i="7"/>
  <c r="AE491" i="7"/>
  <c r="AS507" i="7"/>
  <c r="AS486" i="7"/>
  <c r="BB145" i="7"/>
  <c r="Y528" i="7"/>
  <c r="AU132" i="7"/>
  <c r="AU507" i="7"/>
  <c r="AO131" i="7"/>
  <c r="AU486" i="7"/>
  <c r="AU491" i="7"/>
  <c r="AM131" i="7"/>
  <c r="BC491" i="7"/>
  <c r="AQ131" i="7"/>
  <c r="AG528" i="7"/>
  <c r="AG135" i="7"/>
  <c r="AG144" i="7"/>
  <c r="AD528" i="7"/>
  <c r="AD135" i="7"/>
  <c r="AD144" i="7"/>
  <c r="AL491" i="7"/>
  <c r="AS131" i="7"/>
  <c r="AH132" i="7"/>
  <c r="AH507" i="7"/>
  <c r="AV486" i="7"/>
  <c r="AV145" i="7"/>
  <c r="AW528" i="7"/>
  <c r="AW135" i="7"/>
  <c r="AW144" i="7"/>
  <c r="AT528" i="7"/>
  <c r="AT135" i="7"/>
  <c r="AT144" i="7"/>
  <c r="AQ528" i="7"/>
  <c r="AQ135" i="7"/>
  <c r="AQ144" i="7"/>
  <c r="AK486" i="7"/>
  <c r="AW562" i="7"/>
  <c r="AW191" i="7"/>
  <c r="R178" i="7"/>
  <c r="R583" i="7"/>
  <c r="O178" i="7"/>
  <c r="O583" i="7"/>
  <c r="H178" i="7"/>
  <c r="H583" i="7"/>
  <c r="O176" i="7"/>
  <c r="O541" i="7"/>
  <c r="BC583" i="7"/>
  <c r="AY817" i="7"/>
  <c r="AI817" i="7"/>
  <c r="AI818" i="7"/>
  <c r="AI174" i="7"/>
  <c r="S817" i="7"/>
  <c r="AX817" i="7"/>
  <c r="AX818" i="7"/>
  <c r="AX174" i="7"/>
  <c r="AC817" i="7"/>
  <c r="BB817" i="7"/>
  <c r="BB818" i="7"/>
  <c r="BB174" i="7"/>
  <c r="P817" i="7"/>
  <c r="AF817" i="7"/>
  <c r="AZ817" i="7"/>
  <c r="I817" i="7"/>
  <c r="AB817" i="7"/>
  <c r="BC817" i="7"/>
  <c r="AE817" i="7"/>
  <c r="AE818" i="7"/>
  <c r="AE174" i="7"/>
  <c r="K817" i="7"/>
  <c r="AH817" i="7"/>
  <c r="L817" i="7"/>
  <c r="L818" i="7"/>
  <c r="L174" i="7"/>
  <c r="AL817" i="7"/>
  <c r="AL818" i="7"/>
  <c r="AL174" i="7"/>
  <c r="AR817" i="7"/>
  <c r="AW817" i="7"/>
  <c r="AW818" i="7"/>
  <c r="AW174" i="7"/>
  <c r="BE817" i="7"/>
  <c r="AU817" i="7"/>
  <c r="AU818" i="7"/>
  <c r="AU174" i="7"/>
  <c r="AA817" i="7"/>
  <c r="BD817" i="7"/>
  <c r="BD818" i="7"/>
  <c r="BD174" i="7"/>
  <c r="X817" i="7"/>
  <c r="X818" i="7"/>
  <c r="X174" i="7"/>
  <c r="AO817" i="7"/>
  <c r="AO818" i="7"/>
  <c r="AO174" i="7"/>
  <c r="H541" i="7"/>
  <c r="H589" i="7"/>
  <c r="I586" i="7"/>
  <c r="I589" i="7"/>
  <c r="J586" i="7"/>
  <c r="J589" i="7"/>
  <c r="K586" i="7"/>
  <c r="K589" i="7"/>
  <c r="L586" i="7"/>
  <c r="L589" i="7"/>
  <c r="M586" i="7"/>
  <c r="J546" i="7"/>
  <c r="J547" i="7"/>
  <c r="K544" i="7"/>
  <c r="K547" i="7"/>
  <c r="L544" i="7"/>
  <c r="L547" i="7"/>
  <c r="M544" i="7"/>
  <c r="M547" i="7"/>
  <c r="N544" i="7"/>
  <c r="N547" i="7"/>
  <c r="O544" i="7"/>
  <c r="O547" i="7"/>
  <c r="P544" i="7"/>
  <c r="P547" i="7"/>
  <c r="Q544" i="7"/>
  <c r="Q547" i="7"/>
  <c r="R544" i="7"/>
  <c r="R547" i="7"/>
  <c r="S544" i="7"/>
  <c r="S547" i="7"/>
  <c r="T544" i="7"/>
  <c r="T547" i="7"/>
  <c r="U544" i="7"/>
  <c r="U547" i="7"/>
  <c r="V544" i="7"/>
  <c r="V546" i="7"/>
  <c r="V547" i="7"/>
  <c r="W544" i="7"/>
  <c r="W547" i="7"/>
  <c r="X544" i="7"/>
  <c r="X547" i="7"/>
  <c r="Y544" i="7"/>
  <c r="Y547" i="7"/>
  <c r="Z544" i="7"/>
  <c r="Z547" i="7"/>
  <c r="AA544" i="7"/>
  <c r="AA547" i="7"/>
  <c r="AB544" i="7"/>
  <c r="AB547" i="7"/>
  <c r="AC544" i="7"/>
  <c r="AC547" i="7"/>
  <c r="AD544" i="7"/>
  <c r="AD546" i="7"/>
  <c r="AD547" i="7"/>
  <c r="AE544" i="7"/>
  <c r="AE547" i="7"/>
  <c r="AF544" i="7"/>
  <c r="AF547" i="7"/>
  <c r="AG544" i="7"/>
  <c r="AG547" i="7"/>
  <c r="AH544" i="7"/>
  <c r="AH547" i="7"/>
  <c r="AI544" i="7"/>
  <c r="AI547" i="7"/>
  <c r="AJ544" i="7"/>
  <c r="AJ547" i="7"/>
  <c r="AK544" i="7"/>
  <c r="AK547" i="7"/>
  <c r="AL544" i="7"/>
  <c r="AL546" i="7"/>
  <c r="AL547" i="7"/>
  <c r="AM544" i="7"/>
  <c r="AM547" i="7"/>
  <c r="AN544" i="7"/>
  <c r="AN547" i="7"/>
  <c r="AO544" i="7"/>
  <c r="AO547" i="7"/>
  <c r="AP544" i="7"/>
  <c r="AP547" i="7"/>
  <c r="AQ544" i="7"/>
  <c r="BB546" i="7"/>
  <c r="P176" i="7"/>
  <c r="P541" i="7"/>
  <c r="BC178" i="7"/>
  <c r="BD567" i="7"/>
  <c r="BD562" i="7"/>
  <c r="AL562" i="7"/>
  <c r="AL177" i="7"/>
  <c r="AM177" i="7"/>
  <c r="AM562" i="7"/>
  <c r="AB177" i="7"/>
  <c r="AB562" i="7"/>
  <c r="V567" i="7"/>
  <c r="V562" i="7"/>
  <c r="AW177" i="7"/>
  <c r="V541" i="7"/>
  <c r="V191" i="7"/>
  <c r="AF176" i="7"/>
  <c r="AF541" i="7"/>
  <c r="AF191" i="7"/>
  <c r="AJ588" i="7"/>
  <c r="AJ583" i="7"/>
  <c r="AU588" i="7"/>
  <c r="AU583" i="7"/>
  <c r="AG178" i="7"/>
  <c r="AG583" i="7"/>
  <c r="BB541" i="7"/>
  <c r="U817" i="7"/>
  <c r="J817" i="7"/>
  <c r="BA817" i="7"/>
  <c r="BA818" i="7"/>
  <c r="BA174" i="7"/>
  <c r="M817" i="7"/>
  <c r="M818" i="7"/>
  <c r="M174" i="7"/>
  <c r="O817" i="7"/>
  <c r="O818" i="7"/>
  <c r="O174" i="7"/>
  <c r="G818" i="7"/>
  <c r="H817" i="7"/>
  <c r="H818" i="7"/>
  <c r="H174" i="7"/>
  <c r="Q817" i="7"/>
  <c r="Q818" i="7"/>
  <c r="Q174" i="7"/>
  <c r="AK817" i="7"/>
  <c r="AK818" i="7"/>
  <c r="AK174" i="7"/>
  <c r="R817" i="7"/>
  <c r="R818" i="7"/>
  <c r="R174" i="7"/>
  <c r="W817" i="7"/>
  <c r="W818" i="7"/>
  <c r="W174" i="7"/>
  <c r="T567" i="7"/>
  <c r="T178" i="7"/>
  <c r="M176" i="7"/>
  <c r="M541" i="7"/>
  <c r="M562" i="7"/>
  <c r="M583" i="7"/>
  <c r="M191" i="7"/>
  <c r="L562" i="7"/>
  <c r="AU562" i="7"/>
  <c r="AU191" i="7"/>
  <c r="AL541" i="7"/>
  <c r="AL583" i="7"/>
  <c r="AL191" i="7"/>
  <c r="X588" i="7"/>
  <c r="AT583" i="7"/>
  <c r="AL588" i="7"/>
  <c r="Y178" i="7"/>
  <c r="Y583" i="7"/>
  <c r="W176" i="7"/>
  <c r="W541" i="7"/>
  <c r="W191" i="7"/>
  <c r="M588" i="7"/>
  <c r="M567" i="7"/>
  <c r="Q562" i="7"/>
  <c r="Q191" i="7"/>
  <c r="AN588" i="7"/>
  <c r="AN583" i="7"/>
  <c r="BB583" i="7"/>
  <c r="BB178" i="7"/>
  <c r="AB178" i="7"/>
  <c r="AB583" i="7"/>
  <c r="AU177" i="7"/>
  <c r="AJ177" i="7"/>
  <c r="AJ562" i="7"/>
  <c r="BE177" i="7"/>
  <c r="BE562" i="7"/>
  <c r="Y176" i="7"/>
  <c r="Y541" i="7"/>
  <c r="AD541" i="7"/>
  <c r="AK191" i="7"/>
  <c r="AM176" i="7"/>
  <c r="AM541" i="7"/>
  <c r="AM191" i="7"/>
  <c r="AV178" i="7"/>
  <c r="AV583" i="7"/>
  <c r="AV191" i="7"/>
  <c r="U178" i="7"/>
  <c r="AV604" i="7"/>
  <c r="AV181" i="7"/>
  <c r="AV190" i="7"/>
  <c r="BE604" i="7"/>
  <c r="BE181" i="7"/>
  <c r="BE190" i="7"/>
  <c r="AM604" i="7"/>
  <c r="AM181" i="7"/>
  <c r="AM190" i="7"/>
  <c r="T604" i="7"/>
  <c r="T181" i="7"/>
  <c r="T190" i="7"/>
  <c r="M645" i="7"/>
  <c r="M640" i="7"/>
  <c r="AO666" i="7"/>
  <c r="AO661" i="7"/>
  <c r="AI666" i="7"/>
  <c r="AI661" i="7"/>
  <c r="AD224" i="7"/>
  <c r="AD619" i="7"/>
  <c r="L640" i="7"/>
  <c r="L239" i="7"/>
  <c r="O619" i="7"/>
  <c r="O640" i="7"/>
  <c r="O224" i="7"/>
  <c r="S224" i="7"/>
  <c r="S619" i="7"/>
  <c r="S239" i="7"/>
  <c r="T224" i="7"/>
  <c r="T619" i="7"/>
  <c r="K682" i="7"/>
  <c r="K229" i="7"/>
  <c r="K238" i="7"/>
  <c r="AA682" i="7"/>
  <c r="AA229" i="7"/>
  <c r="AA238" i="7"/>
  <c r="AX661" i="7"/>
  <c r="AX239" i="7"/>
  <c r="AX666" i="7"/>
  <c r="BB224" i="7"/>
  <c r="BB619" i="7"/>
  <c r="AS645" i="7"/>
  <c r="AS640" i="7"/>
  <c r="BE226" i="7"/>
  <c r="BE661" i="7"/>
  <c r="BE239" i="7"/>
  <c r="AO224" i="7"/>
  <c r="AO619" i="7"/>
  <c r="L225" i="7"/>
  <c r="T225" i="7"/>
  <c r="T640" i="7"/>
  <c r="AY661" i="7"/>
  <c r="P661" i="7"/>
  <c r="Y661" i="7"/>
  <c r="Y239" i="7"/>
  <c r="Y226" i="7"/>
  <c r="AA224" i="7"/>
  <c r="AA619" i="7"/>
  <c r="G832" i="7"/>
  <c r="AT830" i="7"/>
  <c r="AZ830" i="7"/>
  <c r="AZ832" i="7"/>
  <c r="AZ222" i="7"/>
  <c r="AZ226" i="7"/>
  <c r="J830" i="7"/>
  <c r="T830" i="7"/>
  <c r="T832" i="7"/>
  <c r="T222" i="7"/>
  <c r="AV830" i="7"/>
  <c r="AV832" i="7"/>
  <c r="AV222" i="7"/>
  <c r="BD830" i="7"/>
  <c r="BD832" i="7"/>
  <c r="BD222" i="7"/>
  <c r="S830" i="7"/>
  <c r="AF830" i="7"/>
  <c r="AF832" i="7"/>
  <c r="AF222" i="7"/>
  <c r="AU832" i="7"/>
  <c r="AU222" i="7"/>
  <c r="AY830" i="7"/>
  <c r="AX830" i="7"/>
  <c r="AX832" i="7"/>
  <c r="AX222" i="7"/>
  <c r="I224" i="7"/>
  <c r="I619" i="7"/>
  <c r="I640" i="7"/>
  <c r="I661" i="7"/>
  <c r="I239" i="7"/>
  <c r="J224" i="7"/>
  <c r="J619" i="7"/>
  <c r="J239" i="7"/>
  <c r="P224" i="7"/>
  <c r="P619" i="7"/>
  <c r="P239" i="7"/>
  <c r="Q645" i="7"/>
  <c r="Q640" i="7"/>
  <c r="AU640" i="7"/>
  <c r="AU239" i="7"/>
  <c r="AU645" i="7"/>
  <c r="AG224" i="7"/>
  <c r="AG619" i="7"/>
  <c r="AI225" i="7"/>
  <c r="AI640" i="7"/>
  <c r="AN666" i="7"/>
  <c r="AN661" i="7"/>
  <c r="BA830" i="7"/>
  <c r="AS830" i="7"/>
  <c r="AS832" i="7"/>
  <c r="AS222" i="7"/>
  <c r="AK830" i="7"/>
  <c r="U830" i="7"/>
  <c r="AR830" i="7"/>
  <c r="AR832" i="7"/>
  <c r="AR222" i="7"/>
  <c r="AH830" i="7"/>
  <c r="L830" i="7"/>
  <c r="AD830" i="7"/>
  <c r="AD832" i="7"/>
  <c r="AD222" i="7"/>
  <c r="O830" i="7"/>
  <c r="O832" i="7"/>
  <c r="O222" i="7"/>
  <c r="M224" i="7"/>
  <c r="M619" i="7"/>
  <c r="AJ830" i="7"/>
  <c r="AM830" i="7"/>
  <c r="AM832" i="7"/>
  <c r="AM222" i="7"/>
  <c r="BE830" i="7"/>
  <c r="I226" i="7"/>
  <c r="M661" i="7"/>
  <c r="I645" i="7"/>
  <c r="R225" i="7"/>
  <c r="R640" i="7"/>
  <c r="K225" i="7"/>
  <c r="K640" i="7"/>
  <c r="K661" i="7"/>
  <c r="K239" i="7"/>
  <c r="AB661" i="7"/>
  <c r="BC619" i="7"/>
  <c r="BC239" i="7"/>
  <c r="BC624" i="7"/>
  <c r="AB226" i="7"/>
  <c r="AC624" i="7"/>
  <c r="AC619" i="7"/>
  <c r="K226" i="7"/>
  <c r="Q224" i="7"/>
  <c r="V640" i="7"/>
  <c r="AH666" i="7"/>
  <c r="AV226" i="7"/>
  <c r="AV661" i="7"/>
  <c r="AZ661" i="7"/>
  <c r="AS619" i="7"/>
  <c r="AS224" i="7"/>
  <c r="O225" i="7"/>
  <c r="AV224" i="7"/>
  <c r="AN619" i="7"/>
  <c r="BA661" i="7"/>
  <c r="AA640" i="7"/>
  <c r="AE619" i="7"/>
  <c r="AY640" i="7"/>
  <c r="AK640" i="7"/>
  <c r="AK239" i="7"/>
  <c r="AI224" i="7"/>
  <c r="AI619" i="7"/>
  <c r="AI239" i="7"/>
  <c r="AF738" i="7"/>
  <c r="AF285" i="7"/>
  <c r="BD701" i="7"/>
  <c r="BD696" i="7"/>
  <c r="BD285" i="7"/>
  <c r="R696" i="7"/>
  <c r="R285" i="7"/>
  <c r="I272" i="7"/>
  <c r="I738" i="7"/>
  <c r="AE272" i="7"/>
  <c r="AE738" i="7"/>
  <c r="AH696" i="7"/>
  <c r="AH738" i="7"/>
  <c r="AH285" i="7"/>
  <c r="AH270" i="7"/>
  <c r="AL717" i="7"/>
  <c r="AL285" i="7"/>
  <c r="AL271" i="7"/>
  <c r="BD759" i="7"/>
  <c r="BD275" i="7"/>
  <c r="BD284" i="7"/>
  <c r="I270" i="7"/>
  <c r="I696" i="7"/>
  <c r="P272" i="7"/>
  <c r="P738" i="7"/>
  <c r="P285" i="7"/>
  <c r="AV738" i="7"/>
  <c r="AJ696" i="7"/>
  <c r="AJ285" i="7"/>
  <c r="T738" i="7"/>
  <c r="S738" i="7"/>
  <c r="T270" i="7"/>
  <c r="T696" i="7"/>
  <c r="T717" i="7"/>
  <c r="T285" i="7"/>
  <c r="H273" i="7"/>
  <c r="H282" i="7"/>
  <c r="G742" i="7"/>
  <c r="G744" i="7"/>
  <c r="H741" i="7"/>
  <c r="H744" i="7"/>
  <c r="I741" i="7"/>
  <c r="I744" i="7"/>
  <c r="J741" i="7"/>
  <c r="J744" i="7"/>
  <c r="K741" i="7"/>
  <c r="K744" i="7"/>
  <c r="L741" i="7"/>
  <c r="L744" i="7"/>
  <c r="M741" i="7"/>
  <c r="M744" i="7"/>
  <c r="N741" i="7"/>
  <c r="N744" i="7"/>
  <c r="O741" i="7"/>
  <c r="O744" i="7"/>
  <c r="P741" i="7"/>
  <c r="P744" i="7"/>
  <c r="Q741" i="7"/>
  <c r="Q744" i="7"/>
  <c r="R741" i="7"/>
  <c r="R744" i="7"/>
  <c r="S741" i="7"/>
  <c r="S744" i="7"/>
  <c r="T741" i="7"/>
  <c r="T744" i="7"/>
  <c r="U741" i="7"/>
  <c r="U744" i="7"/>
  <c r="V741" i="7"/>
  <c r="V744" i="7"/>
  <c r="W741" i="7"/>
  <c r="W744" i="7"/>
  <c r="X741" i="7"/>
  <c r="X744" i="7"/>
  <c r="Y741" i="7"/>
  <c r="Y744" i="7"/>
  <c r="Z741" i="7"/>
  <c r="Z744" i="7"/>
  <c r="AA741" i="7"/>
  <c r="AA743" i="7"/>
  <c r="AA744" i="7"/>
  <c r="AB741" i="7"/>
  <c r="AB744" i="7"/>
  <c r="AC741" i="7"/>
  <c r="AC744" i="7"/>
  <c r="AD741" i="7"/>
  <c r="AD744" i="7"/>
  <c r="AE741" i="7"/>
  <c r="AE744" i="7"/>
  <c r="AF741" i="7"/>
  <c r="AF744" i="7"/>
  <c r="AG741" i="7"/>
  <c r="H271" i="7"/>
  <c r="X696" i="7"/>
  <c r="X717" i="7"/>
  <c r="X738" i="7"/>
  <c r="X285" i="7"/>
  <c r="U275" i="7"/>
  <c r="U284" i="7"/>
  <c r="U759" i="7"/>
  <c r="X722" i="7"/>
  <c r="AW701" i="7"/>
  <c r="AW696" i="7"/>
  <c r="L275" i="7"/>
  <c r="L284" i="7"/>
  <c r="L759" i="7"/>
  <c r="W696" i="7"/>
  <c r="W285" i="7"/>
  <c r="AC696" i="7"/>
  <c r="AC285" i="7"/>
  <c r="AC270" i="7"/>
  <c r="O696" i="7"/>
  <c r="O717" i="7"/>
  <c r="O285" i="7"/>
  <c r="L271" i="7"/>
  <c r="S717" i="7"/>
  <c r="S285" i="7"/>
  <c r="H727" i="7"/>
  <c r="G721" i="7"/>
  <c r="G723" i="7"/>
  <c r="H720" i="7"/>
  <c r="H723" i="7"/>
  <c r="I720" i="7"/>
  <c r="I723" i="7"/>
  <c r="J720" i="7"/>
  <c r="J723" i="7"/>
  <c r="K720" i="7"/>
  <c r="K723" i="7"/>
  <c r="L720" i="7"/>
  <c r="L723" i="7"/>
  <c r="M720" i="7"/>
  <c r="M723" i="7"/>
  <c r="N720" i="7"/>
  <c r="N723" i="7"/>
  <c r="O720" i="7"/>
  <c r="O723" i="7"/>
  <c r="P720" i="7"/>
  <c r="P723" i="7"/>
  <c r="Q720" i="7"/>
  <c r="Q723" i="7"/>
  <c r="R720" i="7"/>
  <c r="R723" i="7"/>
  <c r="S720" i="7"/>
  <c r="S723" i="7"/>
  <c r="T720" i="7"/>
  <c r="T723" i="7"/>
  <c r="U720" i="7"/>
  <c r="U723" i="7"/>
  <c r="V720" i="7"/>
  <c r="V723" i="7"/>
  <c r="W720" i="7"/>
  <c r="W723" i="7"/>
  <c r="X720" i="7"/>
  <c r="X723" i="7"/>
  <c r="Y720" i="7"/>
  <c r="Y723" i="7"/>
  <c r="Z720" i="7"/>
  <c r="Z723" i="7"/>
  <c r="AA720" i="7"/>
  <c r="AA723" i="7"/>
  <c r="AB720" i="7"/>
  <c r="AB723" i="7"/>
  <c r="AC720" i="7"/>
  <c r="AC723" i="7"/>
  <c r="AD720" i="7"/>
  <c r="AD723" i="7"/>
  <c r="AE720" i="7"/>
  <c r="AE723" i="7"/>
  <c r="AF720" i="7"/>
  <c r="AF723" i="7"/>
  <c r="AG720" i="7"/>
  <c r="AG723" i="7"/>
  <c r="AH720" i="7"/>
  <c r="AH723" i="7"/>
  <c r="AI720" i="7"/>
  <c r="AI723" i="7"/>
  <c r="AJ720" i="7"/>
  <c r="AJ723" i="7"/>
  <c r="AK720" i="7"/>
  <c r="AK723" i="7"/>
  <c r="AL720" i="7"/>
  <c r="AL723" i="7"/>
  <c r="AM720" i="7"/>
  <c r="AM723" i="7"/>
  <c r="AN720" i="7"/>
  <c r="AN723" i="7"/>
  <c r="AO720" i="7"/>
  <c r="AO723" i="7"/>
  <c r="AP720" i="7"/>
  <c r="AP723" i="7"/>
  <c r="AQ720" i="7"/>
  <c r="AQ723" i="7"/>
  <c r="AR720" i="7"/>
  <c r="AR723" i="7"/>
  <c r="AS720" i="7"/>
  <c r="AS723" i="7"/>
  <c r="AT720" i="7"/>
  <c r="AT723" i="7"/>
  <c r="AU720" i="7"/>
  <c r="AU723" i="7"/>
  <c r="AV720" i="7"/>
  <c r="AV723" i="7"/>
  <c r="AW720" i="7"/>
  <c r="AW723" i="7"/>
  <c r="AX720" i="7"/>
  <c r="AX723" i="7"/>
  <c r="AY720" i="7"/>
  <c r="AY723" i="7"/>
  <c r="AZ720" i="7"/>
  <c r="AZ723" i="7"/>
  <c r="BA720" i="7"/>
  <c r="BA723" i="7"/>
  <c r="BB720" i="7"/>
  <c r="BB723" i="7"/>
  <c r="BC720" i="7"/>
  <c r="BC723" i="7"/>
  <c r="BD720" i="7"/>
  <c r="BD723" i="7"/>
  <c r="BE720" i="7"/>
  <c r="BE723" i="7"/>
  <c r="AZ696" i="7"/>
  <c r="AZ285" i="7"/>
  <c r="AX738" i="7"/>
  <c r="AX285" i="7"/>
  <c r="Z738" i="7"/>
  <c r="AU717" i="7"/>
  <c r="AU285" i="7"/>
  <c r="AV717" i="7"/>
  <c r="AV285" i="7"/>
  <c r="AM272" i="7"/>
  <c r="AM738" i="7"/>
  <c r="AX271" i="7"/>
  <c r="BC272" i="7"/>
  <c r="BC738" i="7"/>
  <c r="X272" i="7"/>
  <c r="Z696" i="7"/>
  <c r="Z270" i="7"/>
  <c r="AI696" i="7"/>
  <c r="AI285" i="7"/>
  <c r="J717" i="7"/>
  <c r="AE717" i="7"/>
  <c r="AR738" i="7"/>
  <c r="AR285" i="7"/>
  <c r="AG759" i="7"/>
  <c r="AG275" i="7"/>
  <c r="AG284" i="7"/>
  <c r="Z759" i="7"/>
  <c r="Z275" i="7"/>
  <c r="Z284" i="7"/>
  <c r="K759" i="7"/>
  <c r="K275" i="7"/>
  <c r="K284" i="7"/>
  <c r="AQ759" i="7"/>
  <c r="AQ284" i="7"/>
  <c r="P759" i="7"/>
  <c r="P275" i="7"/>
  <c r="P284" i="7"/>
  <c r="AA738" i="7"/>
  <c r="AA285" i="7"/>
  <c r="M759" i="7"/>
  <c r="M275" i="7"/>
  <c r="M284" i="7"/>
  <c r="AP271" i="7"/>
  <c r="AP717" i="7"/>
  <c r="AP285" i="7"/>
  <c r="BB701" i="7"/>
  <c r="BB696" i="7"/>
  <c r="N759" i="7"/>
  <c r="N275" i="7"/>
  <c r="N284" i="7"/>
  <c r="AE759" i="7"/>
  <c r="AE275" i="7"/>
  <c r="AE284" i="7"/>
  <c r="T759" i="7"/>
  <c r="T275" i="7"/>
  <c r="T284" i="7"/>
  <c r="H172" i="7"/>
  <c r="H187" i="7"/>
  <c r="H78" i="7"/>
  <c r="H93" i="7"/>
  <c r="I266" i="7"/>
  <c r="H266" i="7"/>
  <c r="H281" i="7"/>
  <c r="H287" i="7"/>
  <c r="G290" i="7"/>
  <c r="AM140" i="7"/>
  <c r="I93" i="7"/>
  <c r="I235" i="7"/>
  <c r="AF358" i="7"/>
  <c r="AC374" i="7"/>
  <c r="O374" i="7"/>
  <c r="AB374" i="7"/>
  <c r="BC358" i="7"/>
  <c r="AZ358" i="7"/>
  <c r="AU358" i="7"/>
  <c r="AC358" i="7"/>
  <c r="BB316" i="7"/>
  <c r="AL316" i="7"/>
  <c r="AR337" i="7"/>
  <c r="AX374" i="7"/>
  <c r="AZ374" i="7"/>
  <c r="AR374" i="7"/>
  <c r="BA374" i="7"/>
  <c r="G776" i="7"/>
  <c r="I359" i="7"/>
  <c r="J356" i="7"/>
  <c r="BE316" i="7"/>
  <c r="L374" i="7"/>
  <c r="AG374" i="7"/>
  <c r="AX337" i="7"/>
  <c r="BC374" i="7"/>
  <c r="BD374" i="7"/>
  <c r="S374" i="7"/>
  <c r="AM358" i="7"/>
  <c r="U77" i="4"/>
  <c r="V271" i="4"/>
  <c r="X76" i="4"/>
  <c r="G298" i="4"/>
  <c r="G298" i="17"/>
  <c r="AG191" i="7"/>
  <c r="BD191" i="7"/>
  <c r="BE818" i="7"/>
  <c r="BE174" i="7"/>
  <c r="AU145" i="7"/>
  <c r="M468" i="7"/>
  <c r="M471" i="7"/>
  <c r="N468" i="7"/>
  <c r="N471" i="7"/>
  <c r="O468" i="7"/>
  <c r="O471" i="7"/>
  <c r="P468" i="7"/>
  <c r="P471" i="7"/>
  <c r="Q468" i="7"/>
  <c r="Q471" i="7"/>
  <c r="R468" i="7"/>
  <c r="R471" i="7"/>
  <c r="S468" i="7"/>
  <c r="S471" i="7"/>
  <c r="T468" i="7"/>
  <c r="T471" i="7"/>
  <c r="U468" i="7"/>
  <c r="U471" i="7"/>
  <c r="V468" i="7"/>
  <c r="V471" i="7"/>
  <c r="W468" i="7"/>
  <c r="W471" i="7"/>
  <c r="X468" i="7"/>
  <c r="X471" i="7"/>
  <c r="Y468" i="7"/>
  <c r="Y471" i="7"/>
  <c r="Z468" i="7"/>
  <c r="Z471" i="7"/>
  <c r="AA468" i="7"/>
  <c r="AA471" i="7"/>
  <c r="AB468" i="7"/>
  <c r="AB471" i="7"/>
  <c r="AC468" i="7"/>
  <c r="AC471" i="7"/>
  <c r="AD468" i="7"/>
  <c r="AD471" i="7"/>
  <c r="AE468" i="7"/>
  <c r="AE471" i="7"/>
  <c r="AF468" i="7"/>
  <c r="AF471" i="7"/>
  <c r="AG468" i="7"/>
  <c r="AG471" i="7"/>
  <c r="AH468" i="7"/>
  <c r="AH471" i="7"/>
  <c r="AI468" i="7"/>
  <c r="AI471" i="7"/>
  <c r="AJ468" i="7"/>
  <c r="BA97" i="7"/>
  <c r="AR97" i="7"/>
  <c r="W97" i="7"/>
  <c r="X790" i="7"/>
  <c r="X80" i="7"/>
  <c r="Q790" i="7"/>
  <c r="Q80" i="7"/>
  <c r="AZ80" i="7"/>
  <c r="O790" i="7"/>
  <c r="O80" i="7"/>
  <c r="L145" i="7"/>
  <c r="R145" i="7"/>
  <c r="AW846" i="7"/>
  <c r="AW268" i="7"/>
  <c r="N97" i="7"/>
  <c r="U145" i="7"/>
  <c r="R846" i="7"/>
  <c r="R268" i="7"/>
  <c r="AC846" i="7"/>
  <c r="AC268" i="7"/>
  <c r="J846" i="7"/>
  <c r="J268" i="7"/>
  <c r="AF818" i="7"/>
  <c r="AF174" i="7"/>
  <c r="AG239" i="7"/>
  <c r="AB191" i="7"/>
  <c r="H191" i="7"/>
  <c r="AA818" i="7"/>
  <c r="AA174" i="7"/>
  <c r="AR818" i="7"/>
  <c r="AR174" i="7"/>
  <c r="AC818" i="7"/>
  <c r="AC174" i="7"/>
  <c r="Z97" i="7"/>
  <c r="H97" i="7"/>
  <c r="AF790" i="7"/>
  <c r="AF80" i="7"/>
  <c r="AD846" i="7"/>
  <c r="AD268" i="7"/>
  <c r="Z846" i="7"/>
  <c r="Z268" i="7"/>
  <c r="S40" i="8"/>
  <c r="X72" i="17"/>
  <c r="T77" i="4"/>
  <c r="T271" i="4"/>
  <c r="W271" i="4"/>
  <c r="V40" i="8"/>
  <c r="U271" i="4"/>
  <c r="Y271" i="4"/>
  <c r="I271" i="4"/>
  <c r="Y77" i="4"/>
  <c r="T213" i="4"/>
  <c r="L77" i="4"/>
  <c r="I73" i="4"/>
  <c r="S77" i="4"/>
  <c r="Z76" i="4"/>
  <c r="P77" i="4"/>
  <c r="Q73" i="4"/>
  <c r="M77" i="4"/>
  <c r="Z271" i="4"/>
  <c r="O213" i="4"/>
  <c r="K77" i="4"/>
  <c r="X213" i="4"/>
  <c r="H271" i="4"/>
  <c r="L271" i="4"/>
  <c r="V76" i="4"/>
  <c r="M234" i="4"/>
  <c r="Z213" i="4"/>
  <c r="I213" i="4"/>
  <c r="AA234" i="4"/>
  <c r="Z77" i="4"/>
  <c r="W234" i="4"/>
  <c r="Q234" i="4"/>
  <c r="Y213" i="4"/>
  <c r="S73" i="4"/>
  <c r="K271" i="4"/>
  <c r="X73" i="4"/>
  <c r="G233" i="4"/>
  <c r="G235" i="4"/>
  <c r="H232" i="4"/>
  <c r="H234" i="4"/>
  <c r="H235" i="4"/>
  <c r="I232" i="4"/>
  <c r="S234" i="4"/>
  <c r="W73" i="4"/>
  <c r="Z73" i="4"/>
  <c r="P271" i="4"/>
  <c r="V73" i="4"/>
  <c r="Y73" i="4"/>
  <c r="U234" i="4"/>
  <c r="Y234" i="4"/>
  <c r="K73" i="4"/>
  <c r="I234" i="4"/>
  <c r="K234" i="4"/>
  <c r="K213" i="4"/>
  <c r="G212" i="4"/>
  <c r="G214" i="4"/>
  <c r="H211" i="4"/>
  <c r="Q213" i="4"/>
  <c r="S213" i="4"/>
  <c r="H58" i="4"/>
  <c r="I147" i="7"/>
  <c r="W77" i="4"/>
  <c r="R77" i="4"/>
  <c r="V77" i="4"/>
  <c r="J97" i="7"/>
  <c r="BC97" i="7"/>
  <c r="AA97" i="7"/>
  <c r="T489" i="7"/>
  <c r="T492" i="7"/>
  <c r="U489" i="7"/>
  <c r="U492" i="7"/>
  <c r="V489" i="7"/>
  <c r="AK145" i="7"/>
  <c r="AH145" i="7"/>
  <c r="AA145" i="7"/>
  <c r="BB191" i="7"/>
  <c r="M239" i="7"/>
  <c r="I285" i="7"/>
  <c r="H99" i="7"/>
  <c r="G102" i="7"/>
  <c r="H193" i="7"/>
  <c r="G196" i="7"/>
  <c r="I241" i="7"/>
  <c r="I99" i="7"/>
  <c r="Q77" i="4"/>
  <c r="T76" i="17"/>
  <c r="L76" i="17"/>
  <c r="W76" i="17"/>
  <c r="O76" i="17"/>
  <c r="V76" i="17"/>
  <c r="Z76" i="17"/>
  <c r="AA76" i="17"/>
  <c r="X76" i="17"/>
  <c r="O73" i="4"/>
  <c r="AA77" i="4"/>
  <c r="J77" i="4"/>
  <c r="N77" i="4"/>
  <c r="O77" i="4"/>
  <c r="X77" i="4"/>
  <c r="Y95" i="4"/>
  <c r="U213" i="4"/>
  <c r="M73" i="4"/>
  <c r="AA213" i="4"/>
  <c r="M213" i="4"/>
  <c r="Y72" i="4"/>
  <c r="C420" i="18"/>
  <c r="C331" i="18"/>
  <c r="C496" i="18"/>
  <c r="C330" i="18"/>
  <c r="C413" i="18"/>
  <c r="C334" i="18"/>
  <c r="C561" i="18"/>
  <c r="C333" i="18"/>
  <c r="C416" i="18"/>
  <c r="C500" i="18"/>
  <c r="C565" i="18"/>
  <c r="C412" i="18"/>
  <c r="C329" i="18"/>
  <c r="C502" i="18"/>
  <c r="C335" i="18"/>
  <c r="C498" i="18"/>
  <c r="C503" i="18"/>
  <c r="C567" i="18"/>
  <c r="C499" i="18"/>
  <c r="C563" i="18"/>
  <c r="C332" i="18"/>
  <c r="C336" i="18"/>
  <c r="C414" i="18"/>
  <c r="C418" i="18"/>
  <c r="L60" i="16"/>
  <c r="L62" i="16"/>
  <c r="V161" i="8"/>
  <c r="G365" i="17"/>
  <c r="R68" i="17"/>
  <c r="R91" i="17"/>
  <c r="N76" i="17"/>
  <c r="K76" i="17"/>
  <c r="H68" i="17"/>
  <c r="H91" i="17"/>
  <c r="G212" i="17"/>
  <c r="G214" i="17"/>
  <c r="H211" i="17"/>
  <c r="H214" i="17"/>
  <c r="I211" i="17"/>
  <c r="I213" i="17"/>
  <c r="I214" i="17"/>
  <c r="J211" i="17"/>
  <c r="W68" i="17"/>
  <c r="W91" i="17"/>
  <c r="U72" i="17"/>
  <c r="R213" i="17"/>
  <c r="J76" i="17"/>
  <c r="Y255" i="17"/>
  <c r="G379" i="17"/>
  <c r="Z68" i="17"/>
  <c r="Z91" i="17"/>
  <c r="W74" i="17"/>
  <c r="W72" i="17"/>
  <c r="T68" i="17"/>
  <c r="T91" i="17"/>
  <c r="Q213" i="17"/>
  <c r="N213" i="17"/>
  <c r="K213" i="17"/>
  <c r="J72" i="17"/>
  <c r="AA68" i="17"/>
  <c r="AA91" i="17"/>
  <c r="L68" i="17"/>
  <c r="L91" i="17"/>
  <c r="J213" i="17"/>
  <c r="R76" i="17"/>
  <c r="Y166" i="17"/>
  <c r="AA72" i="17"/>
  <c r="Z213" i="17"/>
  <c r="Y72" i="17"/>
  <c r="Y213" i="17"/>
  <c r="X213" i="17"/>
  <c r="V213" i="17"/>
  <c r="T213" i="17"/>
  <c r="S68" i="17"/>
  <c r="S91" i="17"/>
  <c r="Q72" i="17"/>
  <c r="P72" i="17"/>
  <c r="L213" i="17"/>
  <c r="K68" i="17"/>
  <c r="K91" i="17"/>
  <c r="J68" i="17"/>
  <c r="J91" i="17"/>
  <c r="I72" i="17"/>
  <c r="J65" i="16"/>
  <c r="L141" i="1"/>
  <c r="L136" i="1"/>
  <c r="J58" i="16"/>
  <c r="AJ470" i="7"/>
  <c r="AJ471" i="7"/>
  <c r="AK468" i="7"/>
  <c r="AK471" i="7"/>
  <c r="AL468" i="7"/>
  <c r="AL471" i="7"/>
  <c r="AM468" i="7"/>
  <c r="AM471" i="7"/>
  <c r="AN468" i="7"/>
  <c r="AN471" i="7"/>
  <c r="AO468" i="7"/>
  <c r="AO471" i="7"/>
  <c r="AP468" i="7"/>
  <c r="AP471" i="7"/>
  <c r="AQ468" i="7"/>
  <c r="AQ471" i="7"/>
  <c r="AR468" i="7"/>
  <c r="AR470" i="7"/>
  <c r="AR471" i="7"/>
  <c r="AS468" i="7"/>
  <c r="AS470" i="7"/>
  <c r="AS471" i="7"/>
  <c r="AT468" i="7"/>
  <c r="AT471" i="7"/>
  <c r="AU468" i="7"/>
  <c r="AU471" i="7"/>
  <c r="AV468" i="7"/>
  <c r="AV471" i="7"/>
  <c r="AW468" i="7"/>
  <c r="AW471" i="7"/>
  <c r="AX468" i="7"/>
  <c r="AX471" i="7"/>
  <c r="AY468" i="7"/>
  <c r="AY471" i="7"/>
  <c r="AZ468" i="7"/>
  <c r="AZ471" i="7"/>
  <c r="BA468" i="7"/>
  <c r="BA471" i="7"/>
  <c r="BB468" i="7"/>
  <c r="BB471" i="7"/>
  <c r="BC468" i="7"/>
  <c r="BC471" i="7"/>
  <c r="BD468" i="7"/>
  <c r="BD471" i="7"/>
  <c r="BE468" i="7"/>
  <c r="BE471" i="7"/>
  <c r="L65" i="16"/>
  <c r="N136" i="1"/>
  <c r="T666" i="7"/>
  <c r="T667" i="7"/>
  <c r="U664" i="7"/>
  <c r="U667" i="7"/>
  <c r="V664" i="7"/>
  <c r="V667" i="7"/>
  <c r="W664" i="7"/>
  <c r="W667" i="7"/>
  <c r="X664" i="7"/>
  <c r="X667" i="7"/>
  <c r="Y664" i="7"/>
  <c r="Y667" i="7"/>
  <c r="Z664" i="7"/>
  <c r="Z667" i="7"/>
  <c r="AA664" i="7"/>
  <c r="AA667" i="7"/>
  <c r="AB664" i="7"/>
  <c r="AB667" i="7"/>
  <c r="AC664" i="7"/>
  <c r="AC667" i="7"/>
  <c r="AD664" i="7"/>
  <c r="AD667" i="7"/>
  <c r="AE664" i="7"/>
  <c r="AE667" i="7"/>
  <c r="AF664" i="7"/>
  <c r="AF667" i="7"/>
  <c r="AG664" i="7"/>
  <c r="AG667" i="7"/>
  <c r="AH664" i="7"/>
  <c r="AH667" i="7"/>
  <c r="AI664" i="7"/>
  <c r="AI667" i="7"/>
  <c r="AJ664" i="7"/>
  <c r="AJ667" i="7"/>
  <c r="AK664" i="7"/>
  <c r="AK667" i="7"/>
  <c r="AL664" i="7"/>
  <c r="AL667" i="7"/>
  <c r="AM664" i="7"/>
  <c r="AM666" i="7"/>
  <c r="AM667" i="7"/>
  <c r="AN664" i="7"/>
  <c r="AN667" i="7"/>
  <c r="AO664" i="7"/>
  <c r="AO667" i="7"/>
  <c r="AP664" i="7"/>
  <c r="AP667" i="7"/>
  <c r="AQ664" i="7"/>
  <c r="AQ667" i="7"/>
  <c r="AR664" i="7"/>
  <c r="AR667" i="7"/>
  <c r="AS664" i="7"/>
  <c r="AS667" i="7"/>
  <c r="AT664" i="7"/>
  <c r="AT667" i="7"/>
  <c r="AU664" i="7"/>
  <c r="AU667" i="7"/>
  <c r="AV664" i="7"/>
  <c r="AV667" i="7"/>
  <c r="AW664" i="7"/>
  <c r="AW667" i="7"/>
  <c r="AX664" i="7"/>
  <c r="AX667" i="7"/>
  <c r="AY664" i="7"/>
  <c r="AY667" i="7"/>
  <c r="AZ664" i="7"/>
  <c r="AZ667" i="7"/>
  <c r="BA664" i="7"/>
  <c r="BA667" i="7"/>
  <c r="BB664" i="7"/>
  <c r="BB667" i="7"/>
  <c r="BC664" i="7"/>
  <c r="BC667" i="7"/>
  <c r="BD664" i="7"/>
  <c r="BD667" i="7"/>
  <c r="BE664" i="7"/>
  <c r="BE667" i="7"/>
  <c r="Z717" i="7"/>
  <c r="Z285" i="7"/>
  <c r="I235" i="4"/>
  <c r="J232" i="4"/>
  <c r="H573" i="7"/>
  <c r="H180" i="7"/>
  <c r="H192" i="7"/>
  <c r="AN507" i="7"/>
  <c r="AN145" i="7"/>
  <c r="AZ818" i="7"/>
  <c r="AZ174" i="7"/>
  <c r="AH178" i="7"/>
  <c r="AH583" i="7"/>
  <c r="AS588" i="7"/>
  <c r="AS583" i="7"/>
  <c r="X181" i="7"/>
  <c r="X190" i="7"/>
  <c r="X604" i="7"/>
  <c r="X178" i="7"/>
  <c r="X583" i="7"/>
  <c r="X191" i="7"/>
  <c r="AT176" i="7"/>
  <c r="AT541" i="7"/>
  <c r="AT191" i="7"/>
  <c r="AP226" i="7"/>
  <c r="AP661" i="7"/>
  <c r="AD226" i="7"/>
  <c r="AD661" i="7"/>
  <c r="AD239" i="7"/>
  <c r="AZ645" i="7"/>
  <c r="AZ640" i="7"/>
  <c r="AZ239" i="7"/>
  <c r="BB640" i="7"/>
  <c r="BB239" i="7"/>
  <c r="BB225" i="7"/>
  <c r="BD225" i="7"/>
  <c r="BD640" i="7"/>
  <c r="X225" i="7"/>
  <c r="X640" i="7"/>
  <c r="X239" i="7"/>
  <c r="AV624" i="7"/>
  <c r="AV619" i="7"/>
  <c r="AV239" i="7"/>
  <c r="AG130" i="7"/>
  <c r="AG465" i="7"/>
  <c r="AN562" i="7"/>
  <c r="AN191" i="7"/>
  <c r="AN567" i="7"/>
  <c r="BD226" i="7"/>
  <c r="BD661" i="7"/>
  <c r="AR226" i="7"/>
  <c r="AR661" i="7"/>
  <c r="AR239" i="7"/>
  <c r="AX408" i="7"/>
  <c r="AX429" i="7"/>
  <c r="AX97" i="7"/>
  <c r="I286" i="7"/>
  <c r="I281" i="7"/>
  <c r="I287" i="7"/>
  <c r="BB717" i="7"/>
  <c r="BB285" i="7"/>
  <c r="H235" i="7"/>
  <c r="H241" i="7"/>
  <c r="G244" i="7"/>
  <c r="V491" i="7"/>
  <c r="V492" i="7"/>
  <c r="W489" i="7"/>
  <c r="W492" i="7"/>
  <c r="X489" i="7"/>
  <c r="X492" i="7"/>
  <c r="Y489" i="7"/>
  <c r="Y492" i="7"/>
  <c r="Z489" i="7"/>
  <c r="Z492" i="7"/>
  <c r="AA489" i="7"/>
  <c r="AA492" i="7"/>
  <c r="AB489" i="7"/>
  <c r="AB492" i="7"/>
  <c r="AC489" i="7"/>
  <c r="AC492" i="7"/>
  <c r="AD489" i="7"/>
  <c r="AD492" i="7"/>
  <c r="AE489" i="7"/>
  <c r="AE492" i="7"/>
  <c r="AF489" i="7"/>
  <c r="AF491" i="7"/>
  <c r="AF492" i="7"/>
  <c r="AG489" i="7"/>
  <c r="AG492" i="7"/>
  <c r="AH489" i="7"/>
  <c r="AH492" i="7"/>
  <c r="AI489" i="7"/>
  <c r="AI492" i="7"/>
  <c r="AJ489" i="7"/>
  <c r="AJ492" i="7"/>
  <c r="AK489" i="7"/>
  <c r="AK492" i="7"/>
  <c r="AL489" i="7"/>
  <c r="AL492" i="7"/>
  <c r="AM489" i="7"/>
  <c r="AM492" i="7"/>
  <c r="AN489" i="7"/>
  <c r="AN492" i="7"/>
  <c r="AO489" i="7"/>
  <c r="AO492" i="7"/>
  <c r="AP489" i="7"/>
  <c r="AP492" i="7"/>
  <c r="AQ489" i="7"/>
  <c r="AQ492" i="7"/>
  <c r="AR489" i="7"/>
  <c r="AR492" i="7"/>
  <c r="AS489" i="7"/>
  <c r="AS492" i="7"/>
  <c r="AT489" i="7"/>
  <c r="AT492" i="7"/>
  <c r="AU489" i="7"/>
  <c r="AU492" i="7"/>
  <c r="AV489" i="7"/>
  <c r="AV492" i="7"/>
  <c r="AW489" i="7"/>
  <c r="AW492" i="7"/>
  <c r="AX489" i="7"/>
  <c r="AX492" i="7"/>
  <c r="AY489" i="7"/>
  <c r="AY492" i="7"/>
  <c r="AZ489" i="7"/>
  <c r="AZ492" i="7"/>
  <c r="BA489" i="7"/>
  <c r="BA492" i="7"/>
  <c r="BB489" i="7"/>
  <c r="BB492" i="7"/>
  <c r="BC489" i="7"/>
  <c r="BC492" i="7"/>
  <c r="BD489" i="7"/>
  <c r="BD492" i="7"/>
  <c r="BE489" i="7"/>
  <c r="BE492" i="7"/>
  <c r="AS789" i="7"/>
  <c r="AS790" i="7"/>
  <c r="AS80" i="7"/>
  <c r="I187" i="7"/>
  <c r="I193" i="7"/>
  <c r="I812" i="7"/>
  <c r="I816" i="7"/>
  <c r="I818" i="7"/>
  <c r="I174" i="7"/>
  <c r="I573" i="7"/>
  <c r="I180" i="7"/>
  <c r="I192" i="7"/>
  <c r="H141" i="7"/>
  <c r="H147" i="7"/>
  <c r="G150" i="7"/>
  <c r="H146" i="7"/>
  <c r="AI831" i="7"/>
  <c r="AI832" i="7"/>
  <c r="AI222" i="7"/>
  <c r="H94" i="7"/>
  <c r="H98" i="7"/>
  <c r="M589" i="7"/>
  <c r="N586" i="7"/>
  <c r="N589" i="7"/>
  <c r="O586" i="7"/>
  <c r="O589" i="7"/>
  <c r="P586" i="7"/>
  <c r="P588" i="7"/>
  <c r="P589" i="7"/>
  <c r="Q586" i="7"/>
  <c r="Q589" i="7"/>
  <c r="R586" i="7"/>
  <c r="R589" i="7"/>
  <c r="S586" i="7"/>
  <c r="S589" i="7"/>
  <c r="T586" i="7"/>
  <c r="T589" i="7"/>
  <c r="U586" i="7"/>
  <c r="U589" i="7"/>
  <c r="V586" i="7"/>
  <c r="V589" i="7"/>
  <c r="W586" i="7"/>
  <c r="W589" i="7"/>
  <c r="X586" i="7"/>
  <c r="X589" i="7"/>
  <c r="Y586" i="7"/>
  <c r="Y589" i="7"/>
  <c r="Z586" i="7"/>
  <c r="Z589" i="7"/>
  <c r="AA586" i="7"/>
  <c r="AA589" i="7"/>
  <c r="AB586" i="7"/>
  <c r="AB589" i="7"/>
  <c r="AC586" i="7"/>
  <c r="AC589" i="7"/>
  <c r="AD586" i="7"/>
  <c r="AD589" i="7"/>
  <c r="AE586" i="7"/>
  <c r="AE589" i="7"/>
  <c r="AF586" i="7"/>
  <c r="AF589" i="7"/>
  <c r="AG586" i="7"/>
  <c r="AG589" i="7"/>
  <c r="AH586" i="7"/>
  <c r="AH589" i="7"/>
  <c r="AI586" i="7"/>
  <c r="AI589" i="7"/>
  <c r="AJ586" i="7"/>
  <c r="AJ589" i="7"/>
  <c r="AK586" i="7"/>
  <c r="AK589" i="7"/>
  <c r="AL586" i="7"/>
  <c r="AL589" i="7"/>
  <c r="AM586" i="7"/>
  <c r="AM589" i="7"/>
  <c r="AN586" i="7"/>
  <c r="AN589" i="7"/>
  <c r="AO586" i="7"/>
  <c r="AO589" i="7"/>
  <c r="AP586" i="7"/>
  <c r="AP589" i="7"/>
  <c r="AQ586" i="7"/>
  <c r="AQ589" i="7"/>
  <c r="AR586" i="7"/>
  <c r="AR589" i="7"/>
  <c r="AS586" i="7"/>
  <c r="AS589" i="7"/>
  <c r="AT586" i="7"/>
  <c r="AT589" i="7"/>
  <c r="AU586" i="7"/>
  <c r="AU589" i="7"/>
  <c r="AV586" i="7"/>
  <c r="AV589" i="7"/>
  <c r="AW586" i="7"/>
  <c r="AW589" i="7"/>
  <c r="AX586" i="7"/>
  <c r="AX589" i="7"/>
  <c r="AY586" i="7"/>
  <c r="AY589" i="7"/>
  <c r="AZ586" i="7"/>
  <c r="AZ589" i="7"/>
  <c r="BA586" i="7"/>
  <c r="BA589" i="7"/>
  <c r="BB586" i="7"/>
  <c r="BB589" i="7"/>
  <c r="BC586" i="7"/>
  <c r="BC589" i="7"/>
  <c r="BD586" i="7"/>
  <c r="BD589" i="7"/>
  <c r="BE586" i="7"/>
  <c r="BE589" i="7"/>
  <c r="AB818" i="7"/>
  <c r="AB174" i="7"/>
  <c r="J130" i="7"/>
  <c r="J465" i="7"/>
  <c r="J145" i="7"/>
  <c r="T130" i="7"/>
  <c r="T465" i="7"/>
  <c r="T145" i="7"/>
  <c r="R226" i="7"/>
  <c r="R661" i="7"/>
  <c r="T661" i="7"/>
  <c r="T239" i="7"/>
  <c r="H272" i="7"/>
  <c r="H738" i="7"/>
  <c r="Q624" i="7"/>
  <c r="Q619" i="7"/>
  <c r="Q239" i="7"/>
  <c r="V486" i="7"/>
  <c r="V145" i="7"/>
  <c r="W131" i="7"/>
  <c r="W486" i="7"/>
  <c r="W145" i="7"/>
  <c r="AQ392" i="7"/>
  <c r="AQ387" i="7"/>
  <c r="AQ97" i="7"/>
  <c r="AB82" i="7"/>
  <c r="AB387" i="7"/>
  <c r="AB97" i="7"/>
  <c r="AU392" i="7"/>
  <c r="AU387" i="7"/>
  <c r="AU97" i="7"/>
  <c r="AI83" i="7"/>
  <c r="AI408" i="7"/>
  <c r="AI429" i="7"/>
  <c r="AI97" i="7"/>
  <c r="AG131" i="7"/>
  <c r="AG486" i="7"/>
  <c r="R87" i="7"/>
  <c r="R96" i="7"/>
  <c r="R450" i="7"/>
  <c r="AY831" i="7"/>
  <c r="AY832" i="7"/>
  <c r="AY222" i="7"/>
  <c r="H145" i="7"/>
  <c r="M97" i="7"/>
  <c r="AI507" i="7"/>
  <c r="AI145" i="7"/>
  <c r="H846" i="7"/>
  <c r="H268" i="7"/>
  <c r="H728" i="7"/>
  <c r="H274" i="7"/>
  <c r="H286" i="7"/>
  <c r="AU846" i="7"/>
  <c r="AU268" i="7"/>
  <c r="V434" i="7"/>
  <c r="V429" i="7"/>
  <c r="V97" i="7"/>
  <c r="Q392" i="7"/>
  <c r="Q387" i="7"/>
  <c r="Q97" i="7"/>
  <c r="X82" i="7"/>
  <c r="X387" i="7"/>
  <c r="X97" i="7"/>
  <c r="AD130" i="7"/>
  <c r="AD465" i="7"/>
  <c r="AD145" i="7"/>
  <c r="AE130" i="7"/>
  <c r="AE465" i="7"/>
  <c r="AE145" i="7"/>
  <c r="U271" i="7"/>
  <c r="U717" i="7"/>
  <c r="U285" i="7"/>
  <c r="M271" i="7"/>
  <c r="M717" i="7"/>
  <c r="M285" i="7"/>
  <c r="I646" i="7"/>
  <c r="J643" i="7"/>
  <c r="J646" i="7"/>
  <c r="K643" i="7"/>
  <c r="K646" i="7"/>
  <c r="L643" i="7"/>
  <c r="L646" i="7"/>
  <c r="M643" i="7"/>
  <c r="M646" i="7"/>
  <c r="N643" i="7"/>
  <c r="N646" i="7"/>
  <c r="O643" i="7"/>
  <c r="O646" i="7"/>
  <c r="P643" i="7"/>
  <c r="P646" i="7"/>
  <c r="Q643" i="7"/>
  <c r="Q646" i="7"/>
  <c r="R643" i="7"/>
  <c r="R646" i="7"/>
  <c r="S643" i="7"/>
  <c r="S646" i="7"/>
  <c r="T643" i="7"/>
  <c r="T646" i="7"/>
  <c r="U643" i="7"/>
  <c r="U831" i="7"/>
  <c r="U832" i="7"/>
  <c r="U222" i="7"/>
  <c r="AO239" i="7"/>
  <c r="O239" i="7"/>
  <c r="K831" i="7"/>
  <c r="K832" i="7"/>
  <c r="K222" i="7"/>
  <c r="V239" i="7"/>
  <c r="AH191" i="7"/>
  <c r="BD846" i="7"/>
  <c r="BD268" i="7"/>
  <c r="AD573" i="7"/>
  <c r="AD180" i="7"/>
  <c r="AD189" i="7"/>
  <c r="Z573" i="7"/>
  <c r="Z180" i="7"/>
  <c r="Z189" i="7"/>
  <c r="AI573" i="7"/>
  <c r="AI180" i="7"/>
  <c r="AI189" i="7"/>
  <c r="AG573" i="7"/>
  <c r="AG180" i="7"/>
  <c r="AG189" i="7"/>
  <c r="BC573" i="7"/>
  <c r="BC180" i="7"/>
  <c r="BC189" i="7"/>
  <c r="BD573" i="7"/>
  <c r="BD180" i="7"/>
  <c r="BD189" i="7"/>
  <c r="AE573" i="7"/>
  <c r="AE180" i="7"/>
  <c r="AE189" i="7"/>
  <c r="AQ573" i="7"/>
  <c r="AQ180" i="7"/>
  <c r="AQ189" i="7"/>
  <c r="Y573" i="7"/>
  <c r="Y180" i="7"/>
  <c r="Y189" i="7"/>
  <c r="I189" i="7"/>
  <c r="M573" i="7"/>
  <c r="M180" i="7"/>
  <c r="M189" i="7"/>
  <c r="Q573" i="7"/>
  <c r="Q180" i="7"/>
  <c r="Q189" i="7"/>
  <c r="AO573" i="7"/>
  <c r="AO180" i="7"/>
  <c r="AO189" i="7"/>
  <c r="AL573" i="7"/>
  <c r="AL180" i="7"/>
  <c r="AL189" i="7"/>
  <c r="AY573" i="7"/>
  <c r="AY180" i="7"/>
  <c r="AY189" i="7"/>
  <c r="AX573" i="7"/>
  <c r="AX180" i="7"/>
  <c r="AX189" i="7"/>
  <c r="AJ573" i="7"/>
  <c r="AJ180" i="7"/>
  <c r="AJ189" i="7"/>
  <c r="AS573" i="7"/>
  <c r="AS180" i="7"/>
  <c r="AS189" i="7"/>
  <c r="AN573" i="7"/>
  <c r="AN180" i="7"/>
  <c r="AN189" i="7"/>
  <c r="AK573" i="7"/>
  <c r="AK180" i="7"/>
  <c r="AK189" i="7"/>
  <c r="AR573" i="7"/>
  <c r="AR180" i="7"/>
  <c r="AR189" i="7"/>
  <c r="K573" i="7"/>
  <c r="K180" i="7"/>
  <c r="K189" i="7"/>
  <c r="L573" i="7"/>
  <c r="L180" i="7"/>
  <c r="L189" i="7"/>
  <c r="P573" i="7"/>
  <c r="P180" i="7"/>
  <c r="P189" i="7"/>
  <c r="BE573" i="7"/>
  <c r="BE180" i="7"/>
  <c r="BE189" i="7"/>
  <c r="AT573" i="7"/>
  <c r="AT180" i="7"/>
  <c r="AT189" i="7"/>
  <c r="AF573" i="7"/>
  <c r="AF180" i="7"/>
  <c r="AF189" i="7"/>
  <c r="BA573" i="7"/>
  <c r="BA180" i="7"/>
  <c r="BA189" i="7"/>
  <c r="AZ573" i="7"/>
  <c r="AZ180" i="7"/>
  <c r="AZ189" i="7"/>
  <c r="W573" i="7"/>
  <c r="W180" i="7"/>
  <c r="W189" i="7"/>
  <c r="AA573" i="7"/>
  <c r="AA180" i="7"/>
  <c r="AA189" i="7"/>
  <c r="AU573" i="7"/>
  <c r="AU180" i="7"/>
  <c r="AU189" i="7"/>
  <c r="AP573" i="7"/>
  <c r="AP180" i="7"/>
  <c r="AP189" i="7"/>
  <c r="AB573" i="7"/>
  <c r="AB180" i="7"/>
  <c r="AB189" i="7"/>
  <c r="J573" i="7"/>
  <c r="J180" i="7"/>
  <c r="J189" i="7"/>
  <c r="O573" i="7"/>
  <c r="O180" i="7"/>
  <c r="O189" i="7"/>
  <c r="S573" i="7"/>
  <c r="S180" i="7"/>
  <c r="S189" i="7"/>
  <c r="U392" i="7"/>
  <c r="U387" i="7"/>
  <c r="U429" i="7"/>
  <c r="U97" i="7"/>
  <c r="U224" i="7"/>
  <c r="U619" i="7"/>
  <c r="AF486" i="7"/>
  <c r="AF507" i="7"/>
  <c r="AF145" i="7"/>
  <c r="BD239" i="7"/>
  <c r="AZ131" i="7"/>
  <c r="AZ486" i="7"/>
  <c r="AZ145" i="7"/>
  <c r="O604" i="7"/>
  <c r="O181" i="7"/>
  <c r="O190" i="7"/>
  <c r="AO528" i="7"/>
  <c r="AO135" i="7"/>
  <c r="AO144" i="7"/>
  <c r="Y567" i="7"/>
  <c r="Y562" i="7"/>
  <c r="Y191" i="7"/>
  <c r="AO562" i="7"/>
  <c r="AO191" i="7"/>
  <c r="AO177" i="7"/>
  <c r="AY270" i="7"/>
  <c r="AY696" i="7"/>
  <c r="AY285" i="7"/>
  <c r="AQ696" i="7"/>
  <c r="AQ701" i="7"/>
  <c r="BE178" i="7"/>
  <c r="BE583" i="7"/>
  <c r="AM701" i="7"/>
  <c r="AM702" i="7"/>
  <c r="AN699" i="7"/>
  <c r="AN702" i="7"/>
  <c r="AO699" i="7"/>
  <c r="AO702" i="7"/>
  <c r="AP699" i="7"/>
  <c r="AP702" i="7"/>
  <c r="AQ699" i="7"/>
  <c r="AQ702" i="7"/>
  <c r="AR699" i="7"/>
  <c r="AR702" i="7"/>
  <c r="AS699" i="7"/>
  <c r="AS701" i="7"/>
  <c r="AS702" i="7"/>
  <c r="AT699" i="7"/>
  <c r="AT702" i="7"/>
  <c r="AU699" i="7"/>
  <c r="AU702" i="7"/>
  <c r="AV699" i="7"/>
  <c r="AV702" i="7"/>
  <c r="AW699" i="7"/>
  <c r="AW702" i="7"/>
  <c r="AX699" i="7"/>
  <c r="AX702" i="7"/>
  <c r="AY699" i="7"/>
  <c r="AY702" i="7"/>
  <c r="AZ699" i="7"/>
  <c r="AZ702" i="7"/>
  <c r="BA699" i="7"/>
  <c r="BA702" i="7"/>
  <c r="BB699" i="7"/>
  <c r="BB702" i="7"/>
  <c r="BC699" i="7"/>
  <c r="BC702" i="7"/>
  <c r="BD699" i="7"/>
  <c r="BD702" i="7"/>
  <c r="BE699" i="7"/>
  <c r="BE702" i="7"/>
  <c r="AM696" i="7"/>
  <c r="AM285" i="7"/>
  <c r="AD728" i="7"/>
  <c r="AD274" i="7"/>
  <c r="AD283" i="7"/>
  <c r="AM728" i="7"/>
  <c r="AM274" i="7"/>
  <c r="AM283" i="7"/>
  <c r="AT728" i="7"/>
  <c r="AT274" i="7"/>
  <c r="AT283" i="7"/>
  <c r="BC728" i="7"/>
  <c r="BC274" i="7"/>
  <c r="BC283" i="7"/>
  <c r="AU728" i="7"/>
  <c r="AU274" i="7"/>
  <c r="AU283" i="7"/>
  <c r="BB728" i="7"/>
  <c r="BB274" i="7"/>
  <c r="BB283" i="7"/>
  <c r="AP728" i="7"/>
  <c r="AP274" i="7"/>
  <c r="AP283" i="7"/>
  <c r="AL728" i="7"/>
  <c r="AL274" i="7"/>
  <c r="AL283" i="7"/>
  <c r="AV728" i="7"/>
  <c r="AV274" i="7"/>
  <c r="AV283" i="7"/>
  <c r="M728" i="7"/>
  <c r="M274" i="7"/>
  <c r="M283" i="7"/>
  <c r="Q728" i="7"/>
  <c r="Q274" i="7"/>
  <c r="Q283" i="7"/>
  <c r="R728" i="7"/>
  <c r="R274" i="7"/>
  <c r="R283" i="7"/>
  <c r="AA728" i="7"/>
  <c r="AA274" i="7"/>
  <c r="AA283" i="7"/>
  <c r="AQ728" i="7"/>
  <c r="AQ274" i="7"/>
  <c r="AQ283" i="7"/>
  <c r="X728" i="7"/>
  <c r="X274" i="7"/>
  <c r="X283" i="7"/>
  <c r="AH728" i="7"/>
  <c r="AH274" i="7"/>
  <c r="AH283" i="7"/>
  <c r="AN728" i="7"/>
  <c r="AN274" i="7"/>
  <c r="AN283" i="7"/>
  <c r="Z728" i="7"/>
  <c r="Z274" i="7"/>
  <c r="Z283" i="7"/>
  <c r="AF728" i="7"/>
  <c r="AF274" i="7"/>
  <c r="AF283" i="7"/>
  <c r="AO728" i="7"/>
  <c r="AO274" i="7"/>
  <c r="AO283" i="7"/>
  <c r="Y728" i="7"/>
  <c r="Y274" i="7"/>
  <c r="Y283" i="7"/>
  <c r="L728" i="7"/>
  <c r="L274" i="7"/>
  <c r="L283" i="7"/>
  <c r="P728" i="7"/>
  <c r="P274" i="7"/>
  <c r="P283" i="7"/>
  <c r="BE728" i="7"/>
  <c r="BE274" i="7"/>
  <c r="BE283" i="7"/>
  <c r="AJ728" i="7"/>
  <c r="AJ274" i="7"/>
  <c r="AJ283" i="7"/>
  <c r="AW728" i="7"/>
  <c r="AW274" i="7"/>
  <c r="AW283" i="7"/>
  <c r="AZ728" i="7"/>
  <c r="AZ274" i="7"/>
  <c r="AZ283" i="7"/>
  <c r="AS728" i="7"/>
  <c r="AS274" i="7"/>
  <c r="AS283" i="7"/>
  <c r="BA728" i="7"/>
  <c r="BA274" i="7"/>
  <c r="BA283" i="7"/>
  <c r="AK728" i="7"/>
  <c r="AK274" i="7"/>
  <c r="AK283" i="7"/>
  <c r="AI728" i="7"/>
  <c r="AI274" i="7"/>
  <c r="AI283" i="7"/>
  <c r="AR728" i="7"/>
  <c r="AR274" i="7"/>
  <c r="AR283" i="7"/>
  <c r="H283" i="7"/>
  <c r="K728" i="7"/>
  <c r="K274" i="7"/>
  <c r="K283" i="7"/>
  <c r="O728" i="7"/>
  <c r="O274" i="7"/>
  <c r="O283" i="7"/>
  <c r="U728" i="7"/>
  <c r="U274" i="7"/>
  <c r="U283" i="7"/>
  <c r="I830" i="7"/>
  <c r="I832" i="7"/>
  <c r="I222" i="7"/>
  <c r="V830" i="7"/>
  <c r="V832" i="7"/>
  <c r="V222" i="7"/>
  <c r="AN830" i="7"/>
  <c r="AP830" i="7"/>
  <c r="AP832" i="7"/>
  <c r="AP222" i="7"/>
  <c r="X830" i="7"/>
  <c r="X831" i="7"/>
  <c r="X832" i="7"/>
  <c r="X222" i="7"/>
  <c r="Q830" i="7"/>
  <c r="Q832" i="7"/>
  <c r="Q222" i="7"/>
  <c r="H830" i="7"/>
  <c r="H832" i="7"/>
  <c r="H222" i="7"/>
  <c r="N830" i="7"/>
  <c r="AE830" i="7"/>
  <c r="AE832" i="7"/>
  <c r="AE222" i="7"/>
  <c r="L270" i="7"/>
  <c r="L696" i="7"/>
  <c r="L738" i="7"/>
  <c r="L285" i="7"/>
  <c r="L272" i="7"/>
  <c r="U645" i="7"/>
  <c r="U640" i="7"/>
  <c r="AW434" i="7"/>
  <c r="AW429" i="7"/>
  <c r="AW97" i="7"/>
  <c r="AI84" i="7"/>
  <c r="AE387" i="7"/>
  <c r="AE82" i="7"/>
  <c r="AY130" i="7"/>
  <c r="AY465" i="7"/>
  <c r="AY145" i="7"/>
  <c r="Z541" i="7"/>
  <c r="Z191" i="7"/>
  <c r="Z176" i="7"/>
  <c r="AN717" i="7"/>
  <c r="AN271" i="7"/>
  <c r="AG743" i="7"/>
  <c r="AG744" i="7"/>
  <c r="AH741" i="7"/>
  <c r="AH744" i="7"/>
  <c r="AI741" i="7"/>
  <c r="AI744" i="7"/>
  <c r="AJ741" i="7"/>
  <c r="AJ744" i="7"/>
  <c r="AK741" i="7"/>
  <c r="AK744" i="7"/>
  <c r="AL741" i="7"/>
  <c r="AL744" i="7"/>
  <c r="AM741" i="7"/>
  <c r="AM744" i="7"/>
  <c r="AN741" i="7"/>
  <c r="AN744" i="7"/>
  <c r="AO741" i="7"/>
  <c r="AO744" i="7"/>
  <c r="AP741" i="7"/>
  <c r="AP744" i="7"/>
  <c r="AQ741" i="7"/>
  <c r="AQ744" i="7"/>
  <c r="AR741" i="7"/>
  <c r="AR744" i="7"/>
  <c r="AS741" i="7"/>
  <c r="AS744" i="7"/>
  <c r="AT741" i="7"/>
  <c r="AT744" i="7"/>
  <c r="AU741" i="7"/>
  <c r="AU744" i="7"/>
  <c r="AV741" i="7"/>
  <c r="AV744" i="7"/>
  <c r="AW741" i="7"/>
  <c r="AW744" i="7"/>
  <c r="AX741" i="7"/>
  <c r="AX744" i="7"/>
  <c r="AY741" i="7"/>
  <c r="AY744" i="7"/>
  <c r="AZ741" i="7"/>
  <c r="AZ744" i="7"/>
  <c r="BA741" i="7"/>
  <c r="BA744" i="7"/>
  <c r="BB741" i="7"/>
  <c r="BB744" i="7"/>
  <c r="BC741" i="7"/>
  <c r="BC744" i="7"/>
  <c r="BD741" i="7"/>
  <c r="BD744" i="7"/>
  <c r="BE741" i="7"/>
  <c r="BE744" i="7"/>
  <c r="AG738" i="7"/>
  <c r="AG285" i="7"/>
  <c r="AY224" i="7"/>
  <c r="AY619" i="7"/>
  <c r="AY239" i="7"/>
  <c r="H189" i="7"/>
  <c r="X573" i="7"/>
  <c r="X180" i="7"/>
  <c r="X189" i="7"/>
  <c r="AV573" i="7"/>
  <c r="AV180" i="7"/>
  <c r="AV189" i="7"/>
  <c r="J728" i="7"/>
  <c r="J274" i="7"/>
  <c r="J283" i="7"/>
  <c r="BD728" i="7"/>
  <c r="BD274" i="7"/>
  <c r="BD283" i="7"/>
  <c r="AC728" i="7"/>
  <c r="AC274" i="7"/>
  <c r="AC283" i="7"/>
  <c r="H696" i="7"/>
  <c r="O392" i="7"/>
  <c r="O393" i="7"/>
  <c r="P390" i="7"/>
  <c r="P393" i="7"/>
  <c r="Q390" i="7"/>
  <c r="Q393" i="7"/>
  <c r="R390" i="7"/>
  <c r="R393" i="7"/>
  <c r="S390" i="7"/>
  <c r="S393" i="7"/>
  <c r="T390" i="7"/>
  <c r="T393" i="7"/>
  <c r="U390" i="7"/>
  <c r="U393" i="7"/>
  <c r="V390" i="7"/>
  <c r="V393" i="7"/>
  <c r="W390" i="7"/>
  <c r="W393" i="7"/>
  <c r="X390" i="7"/>
  <c r="X393" i="7"/>
  <c r="Y390" i="7"/>
  <c r="Y393" i="7"/>
  <c r="Z390" i="7"/>
  <c r="Z393" i="7"/>
  <c r="AA390" i="7"/>
  <c r="AA393" i="7"/>
  <c r="AB390" i="7"/>
  <c r="AB393" i="7"/>
  <c r="AC390" i="7"/>
  <c r="AC393" i="7"/>
  <c r="AD390" i="7"/>
  <c r="AD393" i="7"/>
  <c r="AE390" i="7"/>
  <c r="AE393" i="7"/>
  <c r="AF390" i="7"/>
  <c r="AF393" i="7"/>
  <c r="AG390" i="7"/>
  <c r="AG393" i="7"/>
  <c r="AH390" i="7"/>
  <c r="AH393" i="7"/>
  <c r="AI390" i="7"/>
  <c r="AI393" i="7"/>
  <c r="AJ390" i="7"/>
  <c r="AJ393" i="7"/>
  <c r="AK390" i="7"/>
  <c r="AK393" i="7"/>
  <c r="AL390" i="7"/>
  <c r="AL392" i="7"/>
  <c r="AL393" i="7"/>
  <c r="AM390" i="7"/>
  <c r="AM393" i="7"/>
  <c r="AN390" i="7"/>
  <c r="AN393" i="7"/>
  <c r="AO390" i="7"/>
  <c r="AO393" i="7"/>
  <c r="AP390" i="7"/>
  <c r="AP393" i="7"/>
  <c r="AQ390" i="7"/>
  <c r="AQ393" i="7"/>
  <c r="AR390" i="7"/>
  <c r="AR393" i="7"/>
  <c r="AS390" i="7"/>
  <c r="AS393" i="7"/>
  <c r="AT390" i="7"/>
  <c r="AT393" i="7"/>
  <c r="AU390" i="7"/>
  <c r="AU393" i="7"/>
  <c r="AV390" i="7"/>
  <c r="AV393" i="7"/>
  <c r="AW390" i="7"/>
  <c r="AW393" i="7"/>
  <c r="AX390" i="7"/>
  <c r="AX393" i="7"/>
  <c r="AY390" i="7"/>
  <c r="AY393" i="7"/>
  <c r="AZ390" i="7"/>
  <c r="AZ393" i="7"/>
  <c r="BA390" i="7"/>
  <c r="BA393" i="7"/>
  <c r="BB390" i="7"/>
  <c r="BB393" i="7"/>
  <c r="BC390" i="7"/>
  <c r="BC393" i="7"/>
  <c r="BD390" i="7"/>
  <c r="BD393" i="7"/>
  <c r="BE390" i="7"/>
  <c r="BE393" i="7"/>
  <c r="O387" i="7"/>
  <c r="O97" i="7"/>
  <c r="R82" i="7"/>
  <c r="R387" i="7"/>
  <c r="R97" i="7"/>
  <c r="R177" i="7"/>
  <c r="R562" i="7"/>
  <c r="R191" i="7"/>
  <c r="O562" i="7"/>
  <c r="O191" i="7"/>
  <c r="H227" i="7"/>
  <c r="H236" i="7"/>
  <c r="AO83" i="7"/>
  <c r="AO408" i="7"/>
  <c r="AO97" i="7"/>
  <c r="AT82" i="7"/>
  <c r="AT387" i="7"/>
  <c r="AI132" i="7"/>
  <c r="BD604" i="7"/>
  <c r="BD181" i="7"/>
  <c r="BD190" i="7"/>
  <c r="U604" i="7"/>
  <c r="U181" i="7"/>
  <c r="U190" i="7"/>
  <c r="R651" i="7"/>
  <c r="R228" i="7"/>
  <c r="R237" i="7"/>
  <c r="N651" i="7"/>
  <c r="N228" i="7"/>
  <c r="N237" i="7"/>
  <c r="J651" i="7"/>
  <c r="J228" i="7"/>
  <c r="J237" i="7"/>
  <c r="I651" i="7"/>
  <c r="I228" i="7"/>
  <c r="I237" i="7"/>
  <c r="Z651" i="7"/>
  <c r="Z228" i="7"/>
  <c r="Z237" i="7"/>
  <c r="AM651" i="7"/>
  <c r="AM228" i="7"/>
  <c r="AM237" i="7"/>
  <c r="BB651" i="7"/>
  <c r="BB228" i="7"/>
  <c r="BB237" i="7"/>
  <c r="AN651" i="7"/>
  <c r="AN228" i="7"/>
  <c r="AN237" i="7"/>
  <c r="AO651" i="7"/>
  <c r="AO228" i="7"/>
  <c r="AO237" i="7"/>
  <c r="W651" i="7"/>
  <c r="W228" i="7"/>
  <c r="W237" i="7"/>
  <c r="AS651" i="7"/>
  <c r="AS228" i="7"/>
  <c r="AS237" i="7"/>
  <c r="AZ651" i="7"/>
  <c r="AZ228" i="7"/>
  <c r="AZ237" i="7"/>
  <c r="M831" i="7"/>
  <c r="M832" i="7"/>
  <c r="M222" i="7"/>
  <c r="AB831" i="7"/>
  <c r="AB832" i="7"/>
  <c r="AB222" i="7"/>
  <c r="AK831" i="7"/>
  <c r="AK832" i="7"/>
  <c r="AK222" i="7"/>
  <c r="BA831" i="7"/>
  <c r="BA832" i="7"/>
  <c r="BA222" i="7"/>
  <c r="L831" i="7"/>
  <c r="L832" i="7"/>
  <c r="L222" i="7"/>
  <c r="AN831" i="7"/>
  <c r="N831" i="7"/>
  <c r="AJ831" i="7"/>
  <c r="AJ832" i="7"/>
  <c r="AJ222" i="7"/>
  <c r="BE831" i="7"/>
  <c r="BE832" i="7"/>
  <c r="BE222" i="7"/>
  <c r="S831" i="7"/>
  <c r="S832" i="7"/>
  <c r="S222" i="7"/>
  <c r="Y84" i="7"/>
  <c r="O434" i="7"/>
  <c r="O435" i="7"/>
  <c r="P432" i="7"/>
  <c r="P435" i="7"/>
  <c r="Q432" i="7"/>
  <c r="Q435" i="7"/>
  <c r="R432" i="7"/>
  <c r="R435" i="7"/>
  <c r="S432" i="7"/>
  <c r="S435" i="7"/>
  <c r="T432" i="7"/>
  <c r="T435" i="7"/>
  <c r="U432" i="7"/>
  <c r="U435" i="7"/>
  <c r="V432" i="7"/>
  <c r="V435" i="7"/>
  <c r="W432" i="7"/>
  <c r="W435" i="7"/>
  <c r="X432" i="7"/>
  <c r="X435" i="7"/>
  <c r="Y432" i="7"/>
  <c r="Y435" i="7"/>
  <c r="Z432" i="7"/>
  <c r="Z435" i="7"/>
  <c r="AA432" i="7"/>
  <c r="AA435" i="7"/>
  <c r="AB432" i="7"/>
  <c r="AB435" i="7"/>
  <c r="AC432" i="7"/>
  <c r="AC435" i="7"/>
  <c r="AD432" i="7"/>
  <c r="AD435" i="7"/>
  <c r="AE432" i="7"/>
  <c r="AE435" i="7"/>
  <c r="AF432" i="7"/>
  <c r="AF435" i="7"/>
  <c r="AG432" i="7"/>
  <c r="AG435" i="7"/>
  <c r="AH432" i="7"/>
  <c r="AH435" i="7"/>
  <c r="AI432" i="7"/>
  <c r="AI435" i="7"/>
  <c r="AJ432" i="7"/>
  <c r="AJ435" i="7"/>
  <c r="AK432" i="7"/>
  <c r="AK435" i="7"/>
  <c r="AL432" i="7"/>
  <c r="AL435" i="7"/>
  <c r="AM432" i="7"/>
  <c r="AM435" i="7"/>
  <c r="AN432" i="7"/>
  <c r="AN435" i="7"/>
  <c r="AO432" i="7"/>
  <c r="AO435" i="7"/>
  <c r="AP432" i="7"/>
  <c r="AP435" i="7"/>
  <c r="AQ432" i="7"/>
  <c r="AQ435" i="7"/>
  <c r="AR432" i="7"/>
  <c r="AR435" i="7"/>
  <c r="AS432" i="7"/>
  <c r="AS435" i="7"/>
  <c r="AT432" i="7"/>
  <c r="AT435" i="7"/>
  <c r="AU432" i="7"/>
  <c r="AU435" i="7"/>
  <c r="AV432" i="7"/>
  <c r="AV435" i="7"/>
  <c r="AW432" i="7"/>
  <c r="AW435" i="7"/>
  <c r="AX432" i="7"/>
  <c r="AX435" i="7"/>
  <c r="AY432" i="7"/>
  <c r="AY435" i="7"/>
  <c r="AZ432" i="7"/>
  <c r="AZ435" i="7"/>
  <c r="BA432" i="7"/>
  <c r="BA435" i="7"/>
  <c r="BB432" i="7"/>
  <c r="BB435" i="7"/>
  <c r="BC432" i="7"/>
  <c r="BC435" i="7"/>
  <c r="BD432" i="7"/>
  <c r="BD435" i="7"/>
  <c r="BE432" i="7"/>
  <c r="BE435" i="7"/>
  <c r="Q465" i="7"/>
  <c r="Q145" i="7"/>
  <c r="V226" i="7"/>
  <c r="P583" i="7"/>
  <c r="P191" i="7"/>
  <c r="L583" i="7"/>
  <c r="L191" i="7"/>
  <c r="V696" i="7"/>
  <c r="V285" i="7"/>
  <c r="N717" i="7"/>
  <c r="N285" i="7"/>
  <c r="N271" i="7"/>
  <c r="I413" i="7"/>
  <c r="I414" i="7"/>
  <c r="J411" i="7"/>
  <c r="J414" i="7"/>
  <c r="K411" i="7"/>
  <c r="K414" i="7"/>
  <c r="L411" i="7"/>
  <c r="L414" i="7"/>
  <c r="M411" i="7"/>
  <c r="M414" i="7"/>
  <c r="N411" i="7"/>
  <c r="N414" i="7"/>
  <c r="O411" i="7"/>
  <c r="O414" i="7"/>
  <c r="P411" i="7"/>
  <c r="P414" i="7"/>
  <c r="Q411" i="7"/>
  <c r="Q414" i="7"/>
  <c r="R411" i="7"/>
  <c r="R414" i="7"/>
  <c r="S411" i="7"/>
  <c r="S414" i="7"/>
  <c r="T411" i="7"/>
  <c r="T414" i="7"/>
  <c r="U411" i="7"/>
  <c r="U414" i="7"/>
  <c r="V411" i="7"/>
  <c r="V414" i="7"/>
  <c r="W411" i="7"/>
  <c r="W414" i="7"/>
  <c r="X411" i="7"/>
  <c r="X414" i="7"/>
  <c r="Y411" i="7"/>
  <c r="Y414" i="7"/>
  <c r="Z411" i="7"/>
  <c r="Z414" i="7"/>
  <c r="AA411" i="7"/>
  <c r="AA414" i="7"/>
  <c r="AB411" i="7"/>
  <c r="AB414" i="7"/>
  <c r="AC411" i="7"/>
  <c r="AC414" i="7"/>
  <c r="AD411" i="7"/>
  <c r="AD414" i="7"/>
  <c r="AE411" i="7"/>
  <c r="AE414" i="7"/>
  <c r="AF411" i="7"/>
  <c r="AF414" i="7"/>
  <c r="AG411" i="7"/>
  <c r="AG414" i="7"/>
  <c r="AH411" i="7"/>
  <c r="AH414" i="7"/>
  <c r="AI411" i="7"/>
  <c r="AI414" i="7"/>
  <c r="AJ411" i="7"/>
  <c r="AJ414" i="7"/>
  <c r="AK411" i="7"/>
  <c r="AK414" i="7"/>
  <c r="AL411" i="7"/>
  <c r="AL414" i="7"/>
  <c r="AM411" i="7"/>
  <c r="AM414" i="7"/>
  <c r="AN411" i="7"/>
  <c r="AN414" i="7"/>
  <c r="AO411" i="7"/>
  <c r="AO414" i="7"/>
  <c r="AP411" i="7"/>
  <c r="AP414" i="7"/>
  <c r="AQ411" i="7"/>
  <c r="AQ414" i="7"/>
  <c r="AR411" i="7"/>
  <c r="AR414" i="7"/>
  <c r="AS411" i="7"/>
  <c r="AS414" i="7"/>
  <c r="AT411" i="7"/>
  <c r="AT414" i="7"/>
  <c r="AU411" i="7"/>
  <c r="AU414" i="7"/>
  <c r="AV411" i="7"/>
  <c r="AV414" i="7"/>
  <c r="AW411" i="7"/>
  <c r="AW414" i="7"/>
  <c r="AX411" i="7"/>
  <c r="AX414" i="7"/>
  <c r="AY411" i="7"/>
  <c r="AY414" i="7"/>
  <c r="AZ411" i="7"/>
  <c r="AZ414" i="7"/>
  <c r="BA411" i="7"/>
  <c r="BA414" i="7"/>
  <c r="BB411" i="7"/>
  <c r="BB414" i="7"/>
  <c r="BC411" i="7"/>
  <c r="BC414" i="7"/>
  <c r="BD411" i="7"/>
  <c r="BD414" i="7"/>
  <c r="BE411" i="7"/>
  <c r="BE414" i="7"/>
  <c r="I408" i="7"/>
  <c r="I97" i="7"/>
  <c r="AJ640" i="7"/>
  <c r="AJ239" i="7"/>
  <c r="AL387" i="7"/>
  <c r="AL97" i="7"/>
  <c r="AS84" i="7"/>
  <c r="AH84" i="7"/>
  <c r="AJ82" i="7"/>
  <c r="AJ387" i="7"/>
  <c r="AJ97" i="7"/>
  <c r="AP131" i="7"/>
  <c r="AP486" i="7"/>
  <c r="AJ507" i="7"/>
  <c r="AJ145" i="7"/>
  <c r="AX507" i="7"/>
  <c r="AN132" i="7"/>
  <c r="AM507" i="7"/>
  <c r="AM145" i="7"/>
  <c r="BE131" i="7"/>
  <c r="BE486" i="7"/>
  <c r="BE145" i="7"/>
  <c r="AV87" i="7"/>
  <c r="AV96" i="7"/>
  <c r="AV450" i="7"/>
  <c r="U87" i="7"/>
  <c r="U96" i="7"/>
  <c r="U450" i="7"/>
  <c r="Y604" i="7"/>
  <c r="Z604" i="7"/>
  <c r="Z181" i="7"/>
  <c r="Z190" i="7"/>
  <c r="AY604" i="7"/>
  <c r="AY181" i="7"/>
  <c r="AY190" i="7"/>
  <c r="AC177" i="7"/>
  <c r="AC562" i="7"/>
  <c r="AC191" i="7"/>
  <c r="AA176" i="7"/>
  <c r="AA541" i="7"/>
  <c r="AM661" i="7"/>
  <c r="AB640" i="7"/>
  <c r="AB239" i="7"/>
  <c r="AB645" i="7"/>
  <c r="V229" i="7"/>
  <c r="V238" i="7"/>
  <c r="V682" i="7"/>
  <c r="AP224" i="7"/>
  <c r="AP619" i="7"/>
  <c r="AP239" i="7"/>
  <c r="Y271" i="7"/>
  <c r="Y717" i="7"/>
  <c r="AQ546" i="7"/>
  <c r="AQ547" i="7"/>
  <c r="AR544" i="7"/>
  <c r="AR547" i="7"/>
  <c r="AS544" i="7"/>
  <c r="AS547" i="7"/>
  <c r="AT544" i="7"/>
  <c r="AT547" i="7"/>
  <c r="AU544" i="7"/>
  <c r="AU547" i="7"/>
  <c r="AV544" i="7"/>
  <c r="AV547" i="7"/>
  <c r="AW544" i="7"/>
  <c r="AW547" i="7"/>
  <c r="AX544" i="7"/>
  <c r="AX547" i="7"/>
  <c r="AY544" i="7"/>
  <c r="AY547" i="7"/>
  <c r="AZ544" i="7"/>
  <c r="AZ547" i="7"/>
  <c r="BA544" i="7"/>
  <c r="BA546" i="7"/>
  <c r="BA547" i="7"/>
  <c r="BB544" i="7"/>
  <c r="BB547" i="7"/>
  <c r="BC544" i="7"/>
  <c r="BC547" i="7"/>
  <c r="BD544" i="7"/>
  <c r="BD547" i="7"/>
  <c r="BE544" i="7"/>
  <c r="BE547" i="7"/>
  <c r="AQ541" i="7"/>
  <c r="AQ191" i="7"/>
  <c r="Y272" i="7"/>
  <c r="Y738" i="7"/>
  <c r="S408" i="7"/>
  <c r="S97" i="7"/>
  <c r="S83" i="7"/>
  <c r="AY528" i="7"/>
  <c r="AY135" i="7"/>
  <c r="AY144" i="7"/>
  <c r="AJ645" i="7"/>
  <c r="AL225" i="7"/>
  <c r="AL640" i="7"/>
  <c r="AN640" i="7"/>
  <c r="AN239" i="7"/>
  <c r="AN225" i="7"/>
  <c r="AI541" i="7"/>
  <c r="AI191" i="7"/>
  <c r="AI176" i="7"/>
  <c r="BE176" i="7"/>
  <c r="BE541" i="7"/>
  <c r="BE191" i="7"/>
  <c r="AC661" i="7"/>
  <c r="AC239" i="7"/>
  <c r="AC226" i="7"/>
  <c r="AV275" i="7"/>
  <c r="AV284" i="7"/>
  <c r="AV759" i="7"/>
  <c r="AS465" i="7"/>
  <c r="AS145" i="7"/>
  <c r="AN696" i="7"/>
  <c r="AN285" i="7"/>
  <c r="AN270" i="7"/>
  <c r="AT681" i="7"/>
  <c r="AL681" i="7"/>
  <c r="AR681" i="7"/>
  <c r="AY681" i="7"/>
  <c r="AE681" i="7"/>
  <c r="S681" i="7"/>
  <c r="BE681" i="7"/>
  <c r="AS681" i="7"/>
  <c r="Y681" i="7"/>
  <c r="M681" i="7"/>
  <c r="X681" i="7"/>
  <c r="AV681" i="7"/>
  <c r="AP681" i="7"/>
  <c r="AX681" i="7"/>
  <c r="BB681" i="7"/>
  <c r="AU681" i="7"/>
  <c r="AM681" i="7"/>
  <c r="W681" i="7"/>
  <c r="BA681" i="7"/>
  <c r="AK681" i="7"/>
  <c r="AC681" i="7"/>
  <c r="I681" i="7"/>
  <c r="AN681" i="7"/>
  <c r="AH681" i="7"/>
  <c r="Z681" i="7"/>
  <c r="L681" i="7"/>
  <c r="AI681" i="7"/>
  <c r="U681" i="7"/>
  <c r="H681" i="7"/>
  <c r="AZ681" i="7"/>
  <c r="AD681" i="7"/>
  <c r="AJ681" i="7"/>
  <c r="R681" i="7"/>
  <c r="T681" i="7"/>
  <c r="AQ681" i="7"/>
  <c r="O681" i="7"/>
  <c r="AW681" i="7"/>
  <c r="AG681" i="7"/>
  <c r="Q681" i="7"/>
  <c r="P681" i="7"/>
  <c r="BD681" i="7"/>
  <c r="W789" i="7"/>
  <c r="W790" i="7"/>
  <c r="W80" i="7"/>
  <c r="AL789" i="7"/>
  <c r="U789" i="7"/>
  <c r="X87" i="8"/>
  <c r="X91" i="8"/>
  <c r="R40" i="18"/>
  <c r="V64" i="4"/>
  <c r="Z497" i="7"/>
  <c r="Z134" i="7"/>
  <c r="Z143" i="7"/>
  <c r="Y497" i="7"/>
  <c r="Y134" i="7"/>
  <c r="Y143" i="7"/>
  <c r="T497" i="7"/>
  <c r="T134" i="7"/>
  <c r="T143" i="7"/>
  <c r="S497" i="7"/>
  <c r="S134" i="7"/>
  <c r="S143" i="7"/>
  <c r="Q497" i="7"/>
  <c r="Q134" i="7"/>
  <c r="Q143" i="7"/>
  <c r="P497" i="7"/>
  <c r="P134" i="7"/>
  <c r="P143" i="7"/>
  <c r="M497" i="7"/>
  <c r="M134" i="7"/>
  <c r="M143" i="7"/>
  <c r="I497" i="7"/>
  <c r="I134" i="7"/>
  <c r="AJ497" i="7"/>
  <c r="AJ134" i="7"/>
  <c r="AJ143" i="7"/>
  <c r="BD497" i="7"/>
  <c r="BD134" i="7"/>
  <c r="BD143" i="7"/>
  <c r="AN497" i="7"/>
  <c r="AN134" i="7"/>
  <c r="AN143" i="7"/>
  <c r="AG497" i="7"/>
  <c r="AG134" i="7"/>
  <c r="AG143" i="7"/>
  <c r="AX497" i="7"/>
  <c r="AX134" i="7"/>
  <c r="AX143" i="7"/>
  <c r="P651" i="7"/>
  <c r="P228" i="7"/>
  <c r="P237" i="7"/>
  <c r="L651" i="7"/>
  <c r="L228" i="7"/>
  <c r="L237" i="7"/>
  <c r="BD651" i="7"/>
  <c r="BD228" i="7"/>
  <c r="BD237" i="7"/>
  <c r="AW651" i="7"/>
  <c r="AW228" i="7"/>
  <c r="AW237" i="7"/>
  <c r="AK651" i="7"/>
  <c r="AK228" i="7"/>
  <c r="AK237" i="7"/>
  <c r="AX651" i="7"/>
  <c r="AX228" i="7"/>
  <c r="AX237" i="7"/>
  <c r="AL651" i="7"/>
  <c r="AL228" i="7"/>
  <c r="AL237" i="7"/>
  <c r="AD651" i="7"/>
  <c r="AD228" i="7"/>
  <c r="AD237" i="7"/>
  <c r="AQ651" i="7"/>
  <c r="AQ228" i="7"/>
  <c r="AQ237" i="7"/>
  <c r="BC651" i="7"/>
  <c r="BC228" i="7"/>
  <c r="BC237" i="7"/>
  <c r="AH831" i="7"/>
  <c r="AH832" i="7"/>
  <c r="AH222" i="7"/>
  <c r="J831" i="7"/>
  <c r="J832" i="7"/>
  <c r="J222" i="7"/>
  <c r="AL831" i="7"/>
  <c r="AL832" i="7"/>
  <c r="AL222" i="7"/>
  <c r="AC831" i="7"/>
  <c r="AC832" i="7"/>
  <c r="AC222" i="7"/>
  <c r="Z831" i="7"/>
  <c r="Z832" i="7"/>
  <c r="Z222" i="7"/>
  <c r="BB831" i="7"/>
  <c r="BB832" i="7"/>
  <c r="BB222" i="7"/>
  <c r="Y831" i="7"/>
  <c r="Y832" i="7"/>
  <c r="Y222" i="7"/>
  <c r="AT831" i="7"/>
  <c r="AT832" i="7"/>
  <c r="AT222" i="7"/>
  <c r="AA831" i="7"/>
  <c r="AA832" i="7"/>
  <c r="AA222" i="7"/>
  <c r="AD817" i="7"/>
  <c r="AD818" i="7"/>
  <c r="AD174" i="7"/>
  <c r="O840" i="7"/>
  <c r="O844" i="7"/>
  <c r="O846" i="7"/>
  <c r="O268" i="7"/>
  <c r="AN840" i="7"/>
  <c r="AN844" i="7"/>
  <c r="AN846" i="7"/>
  <c r="AN268" i="7"/>
  <c r="AE840" i="7"/>
  <c r="AE844" i="7"/>
  <c r="AE846" i="7"/>
  <c r="AE268" i="7"/>
  <c r="AO840" i="7"/>
  <c r="AO844" i="7"/>
  <c r="AO846" i="7"/>
  <c r="AO268" i="7"/>
  <c r="AM840" i="7"/>
  <c r="AM844" i="7"/>
  <c r="AM846" i="7"/>
  <c r="AM268" i="7"/>
  <c r="AY812" i="7"/>
  <c r="AY816" i="7"/>
  <c r="AY818" i="7"/>
  <c r="AY174" i="7"/>
  <c r="V812" i="7"/>
  <c r="V816" i="7"/>
  <c r="V818" i="7"/>
  <c r="V174" i="7"/>
  <c r="J812" i="7"/>
  <c r="J816" i="7"/>
  <c r="J818" i="7"/>
  <c r="J174" i="7"/>
  <c r="P812" i="7"/>
  <c r="P816" i="7"/>
  <c r="P818" i="7"/>
  <c r="P174" i="7"/>
  <c r="AQ812" i="7"/>
  <c r="AQ816" i="7"/>
  <c r="AQ818" i="7"/>
  <c r="AQ174" i="7"/>
  <c r="T812" i="7"/>
  <c r="T816" i="7"/>
  <c r="T818" i="7"/>
  <c r="T174" i="7"/>
  <c r="K812" i="7"/>
  <c r="K816" i="7"/>
  <c r="K818" i="7"/>
  <c r="K174" i="7"/>
  <c r="S812" i="7"/>
  <c r="S816" i="7"/>
  <c r="S818" i="7"/>
  <c r="S174" i="7"/>
  <c r="AJ812" i="7"/>
  <c r="AJ816" i="7"/>
  <c r="AJ818" i="7"/>
  <c r="AJ174" i="7"/>
  <c r="U812" i="7"/>
  <c r="U816" i="7"/>
  <c r="U818" i="7"/>
  <c r="U174" i="7"/>
  <c r="AH812" i="7"/>
  <c r="AH816" i="7"/>
  <c r="AH818" i="7"/>
  <c r="AH174" i="7"/>
  <c r="BC812" i="7"/>
  <c r="BC816" i="7"/>
  <c r="BC818" i="7"/>
  <c r="BC174" i="7"/>
  <c r="L84" i="7"/>
  <c r="J738" i="7"/>
  <c r="J285" i="7"/>
  <c r="P465" i="7"/>
  <c r="P145" i="7"/>
  <c r="K717" i="7"/>
  <c r="K738" i="7"/>
  <c r="K285" i="7"/>
  <c r="I507" i="7"/>
  <c r="I145" i="7"/>
  <c r="G623" i="7"/>
  <c r="G625" i="7"/>
  <c r="H622" i="7"/>
  <c r="H625" i="7"/>
  <c r="I622" i="7"/>
  <c r="I625" i="7"/>
  <c r="J622" i="7"/>
  <c r="J625" i="7"/>
  <c r="K622" i="7"/>
  <c r="K625" i="7"/>
  <c r="L622" i="7"/>
  <c r="L625" i="7"/>
  <c r="M622" i="7"/>
  <c r="M625" i="7"/>
  <c r="N622" i="7"/>
  <c r="N625" i="7"/>
  <c r="O622" i="7"/>
  <c r="O625" i="7"/>
  <c r="P622" i="7"/>
  <c r="P625" i="7"/>
  <c r="Q622" i="7"/>
  <c r="Q625" i="7"/>
  <c r="R622" i="7"/>
  <c r="R625" i="7"/>
  <c r="S622" i="7"/>
  <c r="S625" i="7"/>
  <c r="T622" i="7"/>
  <c r="T625" i="7"/>
  <c r="U622" i="7"/>
  <c r="U625" i="7"/>
  <c r="V622" i="7"/>
  <c r="V625" i="7"/>
  <c r="W622" i="7"/>
  <c r="W625" i="7"/>
  <c r="X622" i="7"/>
  <c r="X625" i="7"/>
  <c r="Y622" i="7"/>
  <c r="Y625" i="7"/>
  <c r="Z622" i="7"/>
  <c r="Z625" i="7"/>
  <c r="AA622" i="7"/>
  <c r="AA625" i="7"/>
  <c r="AB622" i="7"/>
  <c r="AB625" i="7"/>
  <c r="AC622" i="7"/>
  <c r="AC625" i="7"/>
  <c r="AD622" i="7"/>
  <c r="AD625" i="7"/>
  <c r="AE622" i="7"/>
  <c r="AE625" i="7"/>
  <c r="AF622" i="7"/>
  <c r="AF625" i="7"/>
  <c r="AG622" i="7"/>
  <c r="AG625" i="7"/>
  <c r="AH622" i="7"/>
  <c r="AH625" i="7"/>
  <c r="AI622" i="7"/>
  <c r="AI625" i="7"/>
  <c r="AJ622" i="7"/>
  <c r="AJ625" i="7"/>
  <c r="AK622" i="7"/>
  <c r="AK625" i="7"/>
  <c r="AL622" i="7"/>
  <c r="AL625" i="7"/>
  <c r="AM622" i="7"/>
  <c r="AM625" i="7"/>
  <c r="AN622" i="7"/>
  <c r="AN625" i="7"/>
  <c r="AO622" i="7"/>
  <c r="AO625" i="7"/>
  <c r="AP622" i="7"/>
  <c r="AP625" i="7"/>
  <c r="AQ622" i="7"/>
  <c r="AQ624" i="7"/>
  <c r="AQ625" i="7"/>
  <c r="AR622" i="7"/>
  <c r="AR625" i="7"/>
  <c r="AS622" i="7"/>
  <c r="AS625" i="7"/>
  <c r="AT622" i="7"/>
  <c r="AT625" i="7"/>
  <c r="AU622" i="7"/>
  <c r="AU625" i="7"/>
  <c r="AV622" i="7"/>
  <c r="AV625" i="7"/>
  <c r="AW622" i="7"/>
  <c r="AW625" i="7"/>
  <c r="AX622" i="7"/>
  <c r="AX625" i="7"/>
  <c r="AY622" i="7"/>
  <c r="AY625" i="7"/>
  <c r="AZ622" i="7"/>
  <c r="AZ625" i="7"/>
  <c r="BA622" i="7"/>
  <c r="BA624" i="7"/>
  <c r="BA625" i="7"/>
  <c r="BB622" i="7"/>
  <c r="BB625" i="7"/>
  <c r="BC622" i="7"/>
  <c r="BC625" i="7"/>
  <c r="BD622" i="7"/>
  <c r="BD625" i="7"/>
  <c r="BE622" i="7"/>
  <c r="BE625" i="7"/>
  <c r="R619" i="7"/>
  <c r="K567" i="7"/>
  <c r="K568" i="7"/>
  <c r="L565" i="7"/>
  <c r="L568" i="7"/>
  <c r="M565" i="7"/>
  <c r="M568" i="7"/>
  <c r="N565" i="7"/>
  <c r="N568" i="7"/>
  <c r="O565" i="7"/>
  <c r="O568" i="7"/>
  <c r="P565" i="7"/>
  <c r="P568" i="7"/>
  <c r="Q565" i="7"/>
  <c r="Q568" i="7"/>
  <c r="R565" i="7"/>
  <c r="R568" i="7"/>
  <c r="S565" i="7"/>
  <c r="S568" i="7"/>
  <c r="T565" i="7"/>
  <c r="T568" i="7"/>
  <c r="U565" i="7"/>
  <c r="U568" i="7"/>
  <c r="V565" i="7"/>
  <c r="V568" i="7"/>
  <c r="W565" i="7"/>
  <c r="W568" i="7"/>
  <c r="X565" i="7"/>
  <c r="X568" i="7"/>
  <c r="Y565" i="7"/>
  <c r="Y568" i="7"/>
  <c r="Z565" i="7"/>
  <c r="Z568" i="7"/>
  <c r="AA565" i="7"/>
  <c r="AA568" i="7"/>
  <c r="AB565" i="7"/>
  <c r="AB568" i="7"/>
  <c r="AC565" i="7"/>
  <c r="AC568" i="7"/>
  <c r="AD565" i="7"/>
  <c r="AD568" i="7"/>
  <c r="AE565" i="7"/>
  <c r="AE568" i="7"/>
  <c r="AF565" i="7"/>
  <c r="AF568" i="7"/>
  <c r="AG565" i="7"/>
  <c r="AG568" i="7"/>
  <c r="AH565" i="7"/>
  <c r="AH568" i="7"/>
  <c r="AI565" i="7"/>
  <c r="AI568" i="7"/>
  <c r="AJ565" i="7"/>
  <c r="AJ568" i="7"/>
  <c r="AK565" i="7"/>
  <c r="AK568" i="7"/>
  <c r="AL565" i="7"/>
  <c r="AL568" i="7"/>
  <c r="AM565" i="7"/>
  <c r="AM568" i="7"/>
  <c r="AN565" i="7"/>
  <c r="AN568" i="7"/>
  <c r="AO565" i="7"/>
  <c r="AO568" i="7"/>
  <c r="AP565" i="7"/>
  <c r="AP568" i="7"/>
  <c r="AQ565" i="7"/>
  <c r="AQ568" i="7"/>
  <c r="AR565" i="7"/>
  <c r="AR568" i="7"/>
  <c r="AS565" i="7"/>
  <c r="AS568" i="7"/>
  <c r="AT565" i="7"/>
  <c r="AT568" i="7"/>
  <c r="AU565" i="7"/>
  <c r="AU568" i="7"/>
  <c r="AV565" i="7"/>
  <c r="AV568" i="7"/>
  <c r="AW565" i="7"/>
  <c r="AW568" i="7"/>
  <c r="AX565" i="7"/>
  <c r="AX568" i="7"/>
  <c r="AY565" i="7"/>
  <c r="AY568" i="7"/>
  <c r="AZ565" i="7"/>
  <c r="AZ568" i="7"/>
  <c r="BA565" i="7"/>
  <c r="BA568" i="7"/>
  <c r="BB565" i="7"/>
  <c r="BB568" i="7"/>
  <c r="BC565" i="7"/>
  <c r="BC568" i="7"/>
  <c r="BD565" i="7"/>
  <c r="BD568" i="7"/>
  <c r="BE565" i="7"/>
  <c r="BE568" i="7"/>
  <c r="K562" i="7"/>
  <c r="K191" i="7"/>
  <c r="AM239" i="7"/>
  <c r="AE84" i="7"/>
  <c r="AE429" i="7"/>
  <c r="AX84" i="7"/>
  <c r="AF82" i="7"/>
  <c r="AF387" i="7"/>
  <c r="AF97" i="7"/>
  <c r="AT83" i="7"/>
  <c r="AT408" i="7"/>
  <c r="AP145" i="7"/>
  <c r="AR486" i="7"/>
  <c r="AR145" i="7"/>
  <c r="BE87" i="7"/>
  <c r="BE96" i="7"/>
  <c r="BE450" i="7"/>
  <c r="AY583" i="7"/>
  <c r="AY191" i="7"/>
  <c r="AS181" i="7"/>
  <c r="AS190" i="7"/>
  <c r="AS604" i="7"/>
  <c r="AT225" i="7"/>
  <c r="AT640" i="7"/>
  <c r="AT661" i="7"/>
  <c r="AT239" i="7"/>
  <c r="BA619" i="7"/>
  <c r="BA239" i="7"/>
  <c r="AW717" i="7"/>
  <c r="AW285" i="7"/>
  <c r="BC696" i="7"/>
  <c r="BC285" i="7"/>
  <c r="BC270" i="7"/>
  <c r="BE784" i="7"/>
  <c r="BE788" i="7"/>
  <c r="BE790" i="7"/>
  <c r="BE80" i="7"/>
  <c r="AN784" i="7"/>
  <c r="AN788" i="7"/>
  <c r="AN790" i="7"/>
  <c r="AN80" i="7"/>
  <c r="BA784" i="7"/>
  <c r="BA788" i="7"/>
  <c r="BA790" i="7"/>
  <c r="BA80" i="7"/>
  <c r="Y784" i="7"/>
  <c r="Y788" i="7"/>
  <c r="Y790" i="7"/>
  <c r="Y80" i="7"/>
  <c r="AM784" i="7"/>
  <c r="AM788" i="7"/>
  <c r="AM790" i="7"/>
  <c r="AM80" i="7"/>
  <c r="T784" i="7"/>
  <c r="T788" i="7"/>
  <c r="T790" i="7"/>
  <c r="T80" i="7"/>
  <c r="AL784" i="7"/>
  <c r="AL788" i="7"/>
  <c r="AL790" i="7"/>
  <c r="AL80" i="7"/>
  <c r="S784" i="7"/>
  <c r="S788" i="7"/>
  <c r="S790" i="7"/>
  <c r="S80" i="7"/>
  <c r="U784" i="7"/>
  <c r="U788" i="7"/>
  <c r="U790" i="7"/>
  <c r="U80" i="7"/>
  <c r="R784" i="7"/>
  <c r="R788" i="7"/>
  <c r="R790" i="7"/>
  <c r="R80" i="7"/>
  <c r="Z784" i="7"/>
  <c r="Z788" i="7"/>
  <c r="Z790" i="7"/>
  <c r="Z80" i="7"/>
  <c r="AV784" i="7"/>
  <c r="AV788" i="7"/>
  <c r="AV790" i="7"/>
  <c r="AV80" i="7"/>
  <c r="AY784" i="7"/>
  <c r="AY788" i="7"/>
  <c r="AY790" i="7"/>
  <c r="AY80" i="7"/>
  <c r="AP562" i="7"/>
  <c r="AP191" i="7"/>
  <c r="AS177" i="7"/>
  <c r="AS562" i="7"/>
  <c r="AS191" i="7"/>
  <c r="AL226" i="7"/>
  <c r="AL661" i="7"/>
  <c r="AO645" i="7"/>
  <c r="Y645" i="7"/>
  <c r="AF226" i="7"/>
  <c r="Y759" i="7"/>
  <c r="AQ640" i="7"/>
  <c r="AQ239" i="7"/>
  <c r="AS87" i="7"/>
  <c r="AS96" i="7"/>
  <c r="AS450" i="7"/>
  <c r="AT226" i="7"/>
  <c r="BC176" i="7"/>
  <c r="BC541" i="7"/>
  <c r="BC191" i="7"/>
  <c r="AJ541" i="7"/>
  <c r="AJ191" i="7"/>
  <c r="BB271" i="7"/>
  <c r="AJ759" i="7"/>
  <c r="AJ275" i="7"/>
  <c r="AJ284" i="7"/>
  <c r="AE270" i="7"/>
  <c r="AE696" i="7"/>
  <c r="AE285" i="7"/>
  <c r="AE645" i="7"/>
  <c r="AE640" i="7"/>
  <c r="AE239" i="7"/>
  <c r="T168" i="7"/>
  <c r="J121" i="7"/>
  <c r="J120" i="7"/>
  <c r="J126" i="7"/>
  <c r="J122" i="7"/>
  <c r="Z486" i="7"/>
  <c r="Z145" i="7"/>
  <c r="Z131" i="7"/>
  <c r="AB696" i="7"/>
  <c r="AB285" i="7"/>
  <c r="AX562" i="7"/>
  <c r="AX191" i="7"/>
  <c r="Z619" i="7"/>
  <c r="Z239" i="7"/>
  <c r="AD562" i="7"/>
  <c r="AD191" i="7"/>
  <c r="BC275" i="7"/>
  <c r="BC284" i="7"/>
  <c r="AM429" i="7"/>
  <c r="AM97" i="7"/>
  <c r="AG82" i="7"/>
  <c r="AG387" i="7"/>
  <c r="AG97" i="7"/>
  <c r="AX130" i="7"/>
  <c r="AX465" i="7"/>
  <c r="AX145" i="7"/>
  <c r="K87" i="7"/>
  <c r="K96" i="7"/>
  <c r="K450" i="7"/>
  <c r="AA177" i="7"/>
  <c r="AA562" i="7"/>
  <c r="AZ177" i="7"/>
  <c r="AZ562" i="7"/>
  <c r="AZ191" i="7"/>
  <c r="AS226" i="7"/>
  <c r="AS661" i="7"/>
  <c r="AS239" i="7"/>
  <c r="AA226" i="7"/>
  <c r="AA661" i="7"/>
  <c r="AA239" i="7"/>
  <c r="AQ272" i="7"/>
  <c r="AQ738" i="7"/>
  <c r="BA130" i="7"/>
  <c r="BA465" i="7"/>
  <c r="BA145" i="7"/>
  <c r="AO270" i="7"/>
  <c r="AO696" i="7"/>
  <c r="AO285" i="7"/>
  <c r="AW224" i="7"/>
  <c r="AW619" i="7"/>
  <c r="AW239" i="7"/>
  <c r="AS696" i="7"/>
  <c r="AS285" i="7"/>
  <c r="AM74" i="7"/>
  <c r="J167" i="7"/>
  <c r="J166" i="7"/>
  <c r="J172" i="7"/>
  <c r="J168" i="7"/>
  <c r="N168" i="7"/>
  <c r="C504" i="18"/>
  <c r="C568" i="18"/>
  <c r="C337" i="18"/>
  <c r="U271" i="17"/>
  <c r="D141" i="8"/>
  <c r="D168" i="8"/>
  <c r="W91" i="8"/>
  <c r="Q40" i="18"/>
  <c r="Q31" i="18"/>
  <c r="J72" i="16"/>
  <c r="J49" i="16"/>
  <c r="X74" i="4"/>
  <c r="V88" i="8"/>
  <c r="V91" i="8"/>
  <c r="P40" i="18"/>
  <c r="X68" i="17"/>
  <c r="X91" i="17"/>
  <c r="X74" i="17"/>
  <c r="X77" i="17"/>
  <c r="V75" i="17"/>
  <c r="R77" i="17"/>
  <c r="X75" i="8"/>
  <c r="R25" i="18"/>
  <c r="R23" i="18"/>
  <c r="P34" i="18"/>
  <c r="AA77" i="17"/>
  <c r="T73" i="4"/>
  <c r="J73" i="4"/>
  <c r="D145" i="8"/>
  <c r="W75" i="8"/>
  <c r="Q25" i="18"/>
  <c r="R91" i="8"/>
  <c r="S91" i="8"/>
  <c r="J45" i="16"/>
  <c r="T74" i="17"/>
  <c r="M271" i="17"/>
  <c r="L72" i="17"/>
  <c r="W72" i="4"/>
  <c r="R36" i="18"/>
  <c r="L87" i="1"/>
  <c r="J52" i="16"/>
  <c r="Z72" i="17"/>
  <c r="M75" i="17"/>
  <c r="H77" i="17"/>
  <c r="R73" i="4"/>
  <c r="N73" i="4"/>
  <c r="J255" i="4"/>
  <c r="L255" i="4"/>
  <c r="R255" i="4"/>
  <c r="W255" i="4"/>
  <c r="X255" i="4"/>
  <c r="V255" i="4"/>
  <c r="T255" i="4"/>
  <c r="L93" i="1"/>
  <c r="J50" i="16"/>
  <c r="L48" i="16"/>
  <c r="Y77" i="17"/>
  <c r="V72" i="17"/>
  <c r="AA73" i="4"/>
  <c r="L73" i="4"/>
  <c r="H73" i="4"/>
  <c r="P58" i="17"/>
  <c r="L58" i="17"/>
  <c r="S72" i="4"/>
  <c r="P73" i="4"/>
  <c r="Z58" i="17"/>
  <c r="V58" i="17"/>
  <c r="R58" i="17"/>
  <c r="N58" i="17"/>
  <c r="AA72" i="4"/>
  <c r="V68" i="4"/>
  <c r="V91" i="4"/>
  <c r="U73" i="4"/>
  <c r="H255" i="17"/>
  <c r="I337" i="7"/>
  <c r="H337" i="7"/>
  <c r="H338" i="7"/>
  <c r="I335" i="7"/>
  <c r="I338" i="7"/>
  <c r="J335" i="7"/>
  <c r="J337" i="7"/>
  <c r="J338" i="7"/>
  <c r="K335" i="7"/>
  <c r="K337" i="7"/>
  <c r="K338" i="7"/>
  <c r="L335" i="7"/>
  <c r="L337" i="7"/>
  <c r="L338" i="7"/>
  <c r="M335" i="7"/>
  <c r="M337" i="7"/>
  <c r="M338" i="7"/>
  <c r="N335" i="7"/>
  <c r="N337" i="7"/>
  <c r="N338" i="7"/>
  <c r="O335" i="7"/>
  <c r="O337" i="7"/>
  <c r="O338" i="7"/>
  <c r="P335" i="7"/>
  <c r="P338" i="7"/>
  <c r="Q335" i="7"/>
  <c r="Q337" i="7"/>
  <c r="Q338" i="7"/>
  <c r="R335" i="7"/>
  <c r="R337" i="7"/>
  <c r="R338" i="7"/>
  <c r="S335" i="7"/>
  <c r="S337" i="7"/>
  <c r="S338" i="7"/>
  <c r="T335" i="7"/>
  <c r="T337" i="7"/>
  <c r="T338" i="7"/>
  <c r="U335" i="7"/>
  <c r="U338" i="7"/>
  <c r="V335" i="7"/>
  <c r="V337" i="7"/>
  <c r="V338" i="7"/>
  <c r="W335" i="7"/>
  <c r="W337" i="7"/>
  <c r="W338" i="7"/>
  <c r="X335" i="7"/>
  <c r="X337" i="7"/>
  <c r="X338" i="7"/>
  <c r="Y335" i="7"/>
  <c r="Y337" i="7"/>
  <c r="Y338" i="7"/>
  <c r="Z335" i="7"/>
  <c r="Z337" i="7"/>
  <c r="Z338" i="7"/>
  <c r="AA335" i="7"/>
  <c r="AA337" i="7"/>
  <c r="AA338" i="7"/>
  <c r="AB335" i="7"/>
  <c r="AB337" i="7"/>
  <c r="AB338" i="7"/>
  <c r="AC335" i="7"/>
  <c r="AC337" i="7"/>
  <c r="AC338" i="7"/>
  <c r="AD335" i="7"/>
  <c r="AD338" i="7"/>
  <c r="AE335" i="7"/>
  <c r="AE337" i="7"/>
  <c r="AE338" i="7"/>
  <c r="AF335" i="7"/>
  <c r="AF337" i="7"/>
  <c r="AF338" i="7"/>
  <c r="AG335" i="7"/>
  <c r="AG337" i="7"/>
  <c r="AG338" i="7"/>
  <c r="AH335" i="7"/>
  <c r="AH338" i="7"/>
  <c r="AI335" i="7"/>
  <c r="AI338" i="7"/>
  <c r="AJ335" i="7"/>
  <c r="AJ338" i="7"/>
  <c r="AK335" i="7"/>
  <c r="AS337" i="7"/>
  <c r="R234" i="4"/>
  <c r="P234" i="4"/>
  <c r="N234" i="4"/>
  <c r="L234" i="4"/>
  <c r="J234" i="4"/>
  <c r="J10" i="16"/>
  <c r="L358" i="7"/>
  <c r="H374" i="7"/>
  <c r="S40" i="18"/>
  <c r="M358" i="7"/>
  <c r="J358" i="7"/>
  <c r="J359" i="7"/>
  <c r="K356" i="7"/>
  <c r="K359" i="7"/>
  <c r="L356" i="7"/>
  <c r="L359" i="7"/>
  <c r="M356" i="7"/>
  <c r="M359" i="7"/>
  <c r="N356" i="7"/>
  <c r="N359" i="7"/>
  <c r="O356" i="7"/>
  <c r="O359" i="7"/>
  <c r="P356" i="7"/>
  <c r="P359" i="7"/>
  <c r="Q356" i="7"/>
  <c r="J316" i="7"/>
  <c r="AA158" i="4"/>
  <c r="AA181" i="4"/>
  <c r="H158" i="4"/>
  <c r="H181" i="4"/>
  <c r="L158" i="4"/>
  <c r="L181" i="4"/>
  <c r="I158" i="4"/>
  <c r="I181" i="4"/>
  <c r="Q158" i="4"/>
  <c r="Q181" i="4"/>
  <c r="U158" i="4"/>
  <c r="U181" i="4"/>
  <c r="V158" i="4"/>
  <c r="V181" i="4"/>
  <c r="Z158" i="4"/>
  <c r="Z181" i="4"/>
  <c r="H347" i="4"/>
  <c r="P37" i="18"/>
  <c r="H148" i="4"/>
  <c r="L148" i="4"/>
  <c r="P148" i="4"/>
  <c r="T148" i="4"/>
  <c r="X148" i="4"/>
  <c r="I148" i="4"/>
  <c r="M148" i="4"/>
  <c r="Q148" i="4"/>
  <c r="U148" i="4"/>
  <c r="Y148" i="4"/>
  <c r="J148" i="4"/>
  <c r="N148" i="4"/>
  <c r="R148" i="4"/>
  <c r="V148" i="4"/>
  <c r="Z148" i="4"/>
  <c r="J158" i="4"/>
  <c r="J181" i="4"/>
  <c r="M158" i="4"/>
  <c r="M181" i="4"/>
  <c r="R158" i="4"/>
  <c r="R181" i="4"/>
  <c r="T158" i="4"/>
  <c r="T181" i="4"/>
  <c r="X158" i="4"/>
  <c r="X181" i="4"/>
  <c r="P158" i="4"/>
  <c r="P181" i="4"/>
  <c r="N158" i="4"/>
  <c r="N181" i="4"/>
  <c r="S158" i="4"/>
  <c r="S181" i="4"/>
  <c r="W158" i="4"/>
  <c r="W181" i="4"/>
  <c r="O158" i="4"/>
  <c r="O181" i="4"/>
  <c r="S148" i="4"/>
  <c r="H347" i="17"/>
  <c r="O148" i="4"/>
  <c r="Y158" i="4"/>
  <c r="Y181" i="4"/>
  <c r="K158" i="4"/>
  <c r="K181" i="4"/>
  <c r="J214" i="17"/>
  <c r="K211" i="17"/>
  <c r="K214" i="17"/>
  <c r="L211" i="17"/>
  <c r="L214" i="17"/>
  <c r="M211" i="17"/>
  <c r="M214" i="17"/>
  <c r="N211" i="17"/>
  <c r="N214" i="17"/>
  <c r="O211" i="17"/>
  <c r="N68" i="17"/>
  <c r="N91" i="17"/>
  <c r="I158" i="17"/>
  <c r="I181" i="17"/>
  <c r="O213" i="17"/>
  <c r="O214" i="17"/>
  <c r="P211" i="17"/>
  <c r="W213" i="17"/>
  <c r="X158" i="17"/>
  <c r="X181" i="17"/>
  <c r="M158" i="17"/>
  <c r="M181" i="17"/>
  <c r="O68" i="17"/>
  <c r="O91" i="17"/>
  <c r="M68" i="17"/>
  <c r="M91" i="17"/>
  <c r="R72" i="17"/>
  <c r="M72" i="17"/>
  <c r="K72" i="17"/>
  <c r="N72" i="17"/>
  <c r="S72" i="17"/>
  <c r="P213" i="17"/>
  <c r="AA213" i="17"/>
  <c r="Q68" i="4"/>
  <c r="Q91" i="4"/>
  <c r="I68" i="4"/>
  <c r="I91" i="4"/>
  <c r="Q158" i="17"/>
  <c r="Q181" i="17"/>
  <c r="P158" i="17"/>
  <c r="P181" i="17"/>
  <c r="Y158" i="17"/>
  <c r="Y181" i="17"/>
  <c r="Q358" i="7"/>
  <c r="Q359" i="7"/>
  <c r="R356" i="7"/>
  <c r="R359" i="7"/>
  <c r="S356" i="7"/>
  <c r="S359" i="7"/>
  <c r="T356" i="7"/>
  <c r="T359" i="7"/>
  <c r="U356" i="7"/>
  <c r="U358" i="7"/>
  <c r="U359" i="7"/>
  <c r="V356" i="7"/>
  <c r="V359" i="7"/>
  <c r="W356" i="7"/>
  <c r="W359" i="7"/>
  <c r="X356" i="7"/>
  <c r="X359" i="7"/>
  <c r="Y356" i="7"/>
  <c r="Y359" i="7"/>
  <c r="Z356" i="7"/>
  <c r="Z359" i="7"/>
  <c r="AA356" i="7"/>
  <c r="AA359" i="7"/>
  <c r="AB356" i="7"/>
  <c r="AB359" i="7"/>
  <c r="AC356" i="7"/>
  <c r="AC359" i="7"/>
  <c r="AD356" i="7"/>
  <c r="AD359" i="7"/>
  <c r="AE356" i="7"/>
  <c r="AE359" i="7"/>
  <c r="AF356" i="7"/>
  <c r="AF359" i="7"/>
  <c r="AG356" i="7"/>
  <c r="AG359" i="7"/>
  <c r="AH356" i="7"/>
  <c r="AH359" i="7"/>
  <c r="AI356" i="7"/>
  <c r="AI359" i="7"/>
  <c r="AJ356" i="7"/>
  <c r="AJ359" i="7"/>
  <c r="AK356" i="7"/>
  <c r="AK359" i="7"/>
  <c r="AL356" i="7"/>
  <c r="AL359" i="7"/>
  <c r="AM356" i="7"/>
  <c r="AM359" i="7"/>
  <c r="AN356" i="7"/>
  <c r="AN359" i="7"/>
  <c r="AO356" i="7"/>
  <c r="AO359" i="7"/>
  <c r="AP356" i="7"/>
  <c r="AP359" i="7"/>
  <c r="AQ356" i="7"/>
  <c r="AQ359" i="7"/>
  <c r="AR356" i="7"/>
  <c r="AR359" i="7"/>
  <c r="AS356" i="7"/>
  <c r="AS359" i="7"/>
  <c r="AT356" i="7"/>
  <c r="AT359" i="7"/>
  <c r="AU356" i="7"/>
  <c r="AU359" i="7"/>
  <c r="AV356" i="7"/>
  <c r="AV359" i="7"/>
  <c r="AW356" i="7"/>
  <c r="AW359" i="7"/>
  <c r="AX356" i="7"/>
  <c r="AX359" i="7"/>
  <c r="AY356" i="7"/>
  <c r="AY359" i="7"/>
  <c r="AZ356" i="7"/>
  <c r="AZ359" i="7"/>
  <c r="BA356" i="7"/>
  <c r="BA359" i="7"/>
  <c r="BB356" i="7"/>
  <c r="BB359" i="7"/>
  <c r="BC356" i="7"/>
  <c r="BC359" i="7"/>
  <c r="BD356" i="7"/>
  <c r="BD359" i="7"/>
  <c r="BE356" i="7"/>
  <c r="BE359" i="7"/>
  <c r="U158" i="17"/>
  <c r="U181" i="17"/>
  <c r="H158" i="17"/>
  <c r="H181" i="17"/>
  <c r="M68" i="4"/>
  <c r="M91" i="4"/>
  <c r="V166" i="17"/>
  <c r="K166" i="17"/>
  <c r="AA347" i="17"/>
  <c r="X166" i="4"/>
  <c r="M166" i="17"/>
  <c r="X166" i="17"/>
  <c r="O158" i="17"/>
  <c r="O181" i="17"/>
  <c r="L154" i="4"/>
  <c r="S154" i="4"/>
  <c r="U68" i="4"/>
  <c r="U91" i="4"/>
  <c r="U76" i="4"/>
  <c r="H76" i="17"/>
  <c r="Q72" i="4"/>
  <c r="Z72" i="4"/>
  <c r="J72" i="4"/>
  <c r="I68" i="17"/>
  <c r="I91" i="17"/>
  <c r="R68" i="4"/>
  <c r="R91" i="4"/>
  <c r="S255" i="4"/>
  <c r="S95" i="4"/>
  <c r="Q74" i="4"/>
  <c r="J187" i="7"/>
  <c r="J193" i="7"/>
  <c r="J192" i="7"/>
  <c r="Q682" i="7"/>
  <c r="Q229" i="7"/>
  <c r="Q238" i="7"/>
  <c r="AQ229" i="7"/>
  <c r="AQ238" i="7"/>
  <c r="AQ682" i="7"/>
  <c r="AD682" i="7"/>
  <c r="AD229" i="7"/>
  <c r="AD238" i="7"/>
  <c r="AI682" i="7"/>
  <c r="AI229" i="7"/>
  <c r="AI238" i="7"/>
  <c r="AN229" i="7"/>
  <c r="AN238" i="7"/>
  <c r="AN682" i="7"/>
  <c r="BA682" i="7"/>
  <c r="BA229" i="7"/>
  <c r="BA238" i="7"/>
  <c r="BB229" i="7"/>
  <c r="BB238" i="7"/>
  <c r="BB682" i="7"/>
  <c r="X682" i="7"/>
  <c r="X229" i="7"/>
  <c r="X238" i="7"/>
  <c r="BE682" i="7"/>
  <c r="BE229" i="7"/>
  <c r="BE238" i="7"/>
  <c r="AR229" i="7"/>
  <c r="AR238" i="7"/>
  <c r="AR682" i="7"/>
  <c r="AN832" i="7"/>
  <c r="AN222" i="7"/>
  <c r="AQ285" i="7"/>
  <c r="U239" i="7"/>
  <c r="J235" i="4"/>
  <c r="K232" i="4"/>
  <c r="K235" i="4"/>
  <c r="L232" i="4"/>
  <c r="L235" i="4"/>
  <c r="M232" i="4"/>
  <c r="M235" i="4"/>
  <c r="N232" i="4"/>
  <c r="N235" i="4"/>
  <c r="O232" i="4"/>
  <c r="O235" i="4"/>
  <c r="P232" i="4"/>
  <c r="P235" i="4"/>
  <c r="Q232" i="4"/>
  <c r="Q235" i="4"/>
  <c r="R232" i="4"/>
  <c r="R235" i="4"/>
  <c r="S232" i="4"/>
  <c r="S235" i="4"/>
  <c r="T232" i="4"/>
  <c r="T234" i="4"/>
  <c r="T235" i="4"/>
  <c r="U232" i="4"/>
  <c r="U235" i="4"/>
  <c r="V232" i="4"/>
  <c r="O166" i="4"/>
  <c r="I347" i="17"/>
  <c r="R166" i="17"/>
  <c r="V347" i="17"/>
  <c r="G288" i="4"/>
  <c r="G290" i="4"/>
  <c r="H287" i="4"/>
  <c r="L347" i="17"/>
  <c r="S166" i="17"/>
  <c r="W347" i="17"/>
  <c r="M166" i="4"/>
  <c r="U166" i="4"/>
  <c r="Q166" i="4"/>
  <c r="V166" i="4"/>
  <c r="L166" i="4"/>
  <c r="N158" i="17"/>
  <c r="N181" i="17"/>
  <c r="T166" i="17"/>
  <c r="X347" i="17"/>
  <c r="U347" i="4"/>
  <c r="K347" i="4"/>
  <c r="V347" i="4"/>
  <c r="N347" i="4"/>
  <c r="G233" i="17"/>
  <c r="G235" i="17"/>
  <c r="H232" i="17"/>
  <c r="V154" i="4"/>
  <c r="O154" i="4"/>
  <c r="Y154" i="4"/>
  <c r="Q154" i="4"/>
  <c r="K154" i="4"/>
  <c r="T331" i="17"/>
  <c r="X331" i="17"/>
  <c r="U331" i="17"/>
  <c r="Y331" i="17"/>
  <c r="V331" i="17"/>
  <c r="Z331" i="17"/>
  <c r="W331" i="17"/>
  <c r="AA331" i="17"/>
  <c r="S331" i="17"/>
  <c r="G330" i="17"/>
  <c r="G332" i="17"/>
  <c r="H329" i="17"/>
  <c r="T95" i="4"/>
  <c r="Y76" i="17"/>
  <c r="P76" i="4"/>
  <c r="AA76" i="4"/>
  <c r="S76" i="4"/>
  <c r="K76" i="4"/>
  <c r="L49" i="16"/>
  <c r="L72" i="16"/>
  <c r="O72" i="4"/>
  <c r="H95" i="4"/>
  <c r="H213" i="4"/>
  <c r="H214" i="4"/>
  <c r="I211" i="4"/>
  <c r="I214" i="4"/>
  <c r="J211" i="4"/>
  <c r="J213" i="4"/>
  <c r="J214" i="4"/>
  <c r="K211" i="4"/>
  <c r="K214" i="4"/>
  <c r="L211" i="4"/>
  <c r="L213" i="4"/>
  <c r="L214" i="4"/>
  <c r="M211" i="4"/>
  <c r="M214" i="4"/>
  <c r="N211" i="4"/>
  <c r="N213" i="4"/>
  <c r="N214" i="4"/>
  <c r="O211" i="4"/>
  <c r="O214" i="4"/>
  <c r="P211" i="4"/>
  <c r="L95" i="4"/>
  <c r="X72" i="4"/>
  <c r="P72" i="4"/>
  <c r="AA68" i="4"/>
  <c r="AA91" i="4"/>
  <c r="L71" i="16"/>
  <c r="Z74" i="4"/>
  <c r="U255" i="4"/>
  <c r="U95" i="4"/>
  <c r="V74" i="4"/>
  <c r="L74" i="4"/>
  <c r="Q255" i="4"/>
  <c r="Q95" i="4"/>
  <c r="I95" i="4"/>
  <c r="I255" i="4"/>
  <c r="W74" i="4"/>
  <c r="O74" i="4"/>
  <c r="M77" i="17"/>
  <c r="S92" i="8"/>
  <c r="M40" i="18"/>
  <c r="R239" i="7"/>
  <c r="AG682" i="7"/>
  <c r="AG229" i="7"/>
  <c r="AG238" i="7"/>
  <c r="T682" i="7"/>
  <c r="T229" i="7"/>
  <c r="T238" i="7"/>
  <c r="AZ229" i="7"/>
  <c r="AZ238" i="7"/>
  <c r="AZ682" i="7"/>
  <c r="L682" i="7"/>
  <c r="L229" i="7"/>
  <c r="L238" i="7"/>
  <c r="I682" i="7"/>
  <c r="I229" i="7"/>
  <c r="I238" i="7"/>
  <c r="W682" i="7"/>
  <c r="W229" i="7"/>
  <c r="W238" i="7"/>
  <c r="AX229" i="7"/>
  <c r="AX238" i="7"/>
  <c r="AX682" i="7"/>
  <c r="M682" i="7"/>
  <c r="M229" i="7"/>
  <c r="M238" i="7"/>
  <c r="S682" i="7"/>
  <c r="S229" i="7"/>
  <c r="S238" i="7"/>
  <c r="AL682" i="7"/>
  <c r="AL229" i="7"/>
  <c r="AL238" i="7"/>
  <c r="AL239" i="7"/>
  <c r="Y285" i="7"/>
  <c r="AT97" i="7"/>
  <c r="H285" i="7"/>
  <c r="U646" i="7"/>
  <c r="V643" i="7"/>
  <c r="V646" i="7"/>
  <c r="W643" i="7"/>
  <c r="W646" i="7"/>
  <c r="X643" i="7"/>
  <c r="X646" i="7"/>
  <c r="Y643" i="7"/>
  <c r="Y646" i="7"/>
  <c r="Z643" i="7"/>
  <c r="Z646" i="7"/>
  <c r="AA643" i="7"/>
  <c r="AA646" i="7"/>
  <c r="AB643" i="7"/>
  <c r="AB646" i="7"/>
  <c r="AC643" i="7"/>
  <c r="AC646" i="7"/>
  <c r="AD643" i="7"/>
  <c r="AD646" i="7"/>
  <c r="AE643" i="7"/>
  <c r="AE646" i="7"/>
  <c r="AF643" i="7"/>
  <c r="AF646" i="7"/>
  <c r="AG643" i="7"/>
  <c r="AG646" i="7"/>
  <c r="AH643" i="7"/>
  <c r="AH646" i="7"/>
  <c r="AI643" i="7"/>
  <c r="AI646" i="7"/>
  <c r="AJ643" i="7"/>
  <c r="AJ646" i="7"/>
  <c r="AK643" i="7"/>
  <c r="AK646" i="7"/>
  <c r="AL643" i="7"/>
  <c r="AL646" i="7"/>
  <c r="AM643" i="7"/>
  <c r="AM646" i="7"/>
  <c r="AN643" i="7"/>
  <c r="AN646" i="7"/>
  <c r="AO643" i="7"/>
  <c r="AO646" i="7"/>
  <c r="AP643" i="7"/>
  <c r="AP646" i="7"/>
  <c r="AQ643" i="7"/>
  <c r="AQ646" i="7"/>
  <c r="AR643" i="7"/>
  <c r="AR646" i="7"/>
  <c r="AS643" i="7"/>
  <c r="AS646" i="7"/>
  <c r="AT643" i="7"/>
  <c r="AT646" i="7"/>
  <c r="AU643" i="7"/>
  <c r="AU646" i="7"/>
  <c r="AV643" i="7"/>
  <c r="AV646" i="7"/>
  <c r="AW643" i="7"/>
  <c r="AW646" i="7"/>
  <c r="AX643" i="7"/>
  <c r="AX646" i="7"/>
  <c r="AY643" i="7"/>
  <c r="AY646" i="7"/>
  <c r="AZ643" i="7"/>
  <c r="AZ646" i="7"/>
  <c r="BA643" i="7"/>
  <c r="BA646" i="7"/>
  <c r="BB643" i="7"/>
  <c r="BB646" i="7"/>
  <c r="BC643" i="7"/>
  <c r="BC646" i="7"/>
  <c r="BD643" i="7"/>
  <c r="BD646" i="7"/>
  <c r="BE643" i="7"/>
  <c r="BE646" i="7"/>
  <c r="I166" i="17"/>
  <c r="Z347" i="17"/>
  <c r="Y75" i="8"/>
  <c r="S25" i="18"/>
  <c r="S23" i="18"/>
  <c r="J347" i="17"/>
  <c r="W166" i="17"/>
  <c r="W166" i="4"/>
  <c r="K166" i="4"/>
  <c r="N166" i="4"/>
  <c r="R158" i="17"/>
  <c r="R181" i="17"/>
  <c r="H310" i="4"/>
  <c r="J310" i="4"/>
  <c r="L310" i="4"/>
  <c r="N310" i="4"/>
  <c r="P310" i="4"/>
  <c r="I310" i="4"/>
  <c r="K310" i="4"/>
  <c r="M310" i="4"/>
  <c r="O310" i="4"/>
  <c r="S310" i="4"/>
  <c r="U310" i="4"/>
  <c r="W310" i="4"/>
  <c r="Q310" i="4"/>
  <c r="X310" i="4"/>
  <c r="V310" i="4"/>
  <c r="Y310" i="4"/>
  <c r="Z310" i="4"/>
  <c r="AA310" i="4"/>
  <c r="T310" i="4"/>
  <c r="R310" i="4"/>
  <c r="G309" i="4"/>
  <c r="G311" i="4"/>
  <c r="H308" i="4"/>
  <c r="W347" i="4"/>
  <c r="P347" i="4"/>
  <c r="X347" i="4"/>
  <c r="O347" i="4"/>
  <c r="K158" i="17"/>
  <c r="K181" i="17"/>
  <c r="X154" i="4"/>
  <c r="AA154" i="4"/>
  <c r="M154" i="4"/>
  <c r="Z234" i="4"/>
  <c r="Z95" i="4"/>
  <c r="AO337" i="7"/>
  <c r="I255" i="17"/>
  <c r="J255" i="17"/>
  <c r="K255" i="17"/>
  <c r="M255" i="17"/>
  <c r="N255" i="17"/>
  <c r="O255" i="17"/>
  <c r="Q255" i="17"/>
  <c r="G254" i="17"/>
  <c r="G256" i="17"/>
  <c r="H253" i="17"/>
  <c r="H256" i="17"/>
  <c r="I253" i="17"/>
  <c r="W213" i="4"/>
  <c r="W95" i="4"/>
  <c r="P255" i="17"/>
  <c r="P68" i="17"/>
  <c r="P91" i="17"/>
  <c r="U68" i="17"/>
  <c r="U91" i="17"/>
  <c r="R76" i="4"/>
  <c r="J76" i="4"/>
  <c r="M76" i="4"/>
  <c r="I72" i="4"/>
  <c r="R72" i="4"/>
  <c r="O68" i="4"/>
  <c r="O91" i="4"/>
  <c r="H68" i="4"/>
  <c r="H91" i="4"/>
  <c r="I76" i="17"/>
  <c r="H58" i="17"/>
  <c r="J68" i="4"/>
  <c r="J91" i="4"/>
  <c r="AA95" i="4"/>
  <c r="AA255" i="4"/>
  <c r="N74" i="4"/>
  <c r="K255" i="4"/>
  <c r="K95" i="4"/>
  <c r="Y74" i="4"/>
  <c r="I74" i="4"/>
  <c r="L94" i="1"/>
  <c r="L51" i="1"/>
  <c r="J42" i="16"/>
  <c r="J48" i="16"/>
  <c r="R347" i="17"/>
  <c r="N47" i="1"/>
  <c r="L31" i="16"/>
  <c r="V176" i="8"/>
  <c r="N166" i="17"/>
  <c r="K347" i="17"/>
  <c r="S347" i="17"/>
  <c r="AA166" i="4"/>
  <c r="S166" i="4"/>
  <c r="I166" i="4"/>
  <c r="T166" i="4"/>
  <c r="J166" i="4"/>
  <c r="M347" i="4"/>
  <c r="P166" i="17"/>
  <c r="T347" i="17"/>
  <c r="Z158" i="17"/>
  <c r="Z181" i="17"/>
  <c r="AA347" i="4"/>
  <c r="S347" i="4"/>
  <c r="I347" i="4"/>
  <c r="T347" i="4"/>
  <c r="L347" i="4"/>
  <c r="T158" i="17"/>
  <c r="T181" i="17"/>
  <c r="W158" i="17"/>
  <c r="W181" i="17"/>
  <c r="L158" i="17"/>
  <c r="L181" i="17"/>
  <c r="T154" i="4"/>
  <c r="N154" i="4"/>
  <c r="W154" i="4"/>
  <c r="P154" i="4"/>
  <c r="I154" i="4"/>
  <c r="L157" i="1"/>
  <c r="J11" i="16"/>
  <c r="S331" i="4"/>
  <c r="U331" i="4"/>
  <c r="W331" i="4"/>
  <c r="Y331" i="4"/>
  <c r="AA331" i="4"/>
  <c r="T331" i="4"/>
  <c r="V331" i="4"/>
  <c r="X331" i="4"/>
  <c r="Z331" i="4"/>
  <c r="G330" i="4"/>
  <c r="G332" i="4"/>
  <c r="H329" i="4"/>
  <c r="V234" i="4"/>
  <c r="AK337" i="7"/>
  <c r="AK338" i="7"/>
  <c r="AL335" i="7"/>
  <c r="AL338" i="7"/>
  <c r="AM335" i="7"/>
  <c r="AM338" i="7"/>
  <c r="AN335" i="7"/>
  <c r="AN338" i="7"/>
  <c r="AO335" i="7"/>
  <c r="AO338" i="7"/>
  <c r="AP335" i="7"/>
  <c r="AP338" i="7"/>
  <c r="AQ335" i="7"/>
  <c r="AQ338" i="7"/>
  <c r="AR335" i="7"/>
  <c r="AR338" i="7"/>
  <c r="AS335" i="7"/>
  <c r="AS338" i="7"/>
  <c r="AT335" i="7"/>
  <c r="AT338" i="7"/>
  <c r="AU335" i="7"/>
  <c r="AU338" i="7"/>
  <c r="AV335" i="7"/>
  <c r="AV338" i="7"/>
  <c r="AW335" i="7"/>
  <c r="AW338" i="7"/>
  <c r="AX335" i="7"/>
  <c r="AX338" i="7"/>
  <c r="AY335" i="7"/>
  <c r="AY338" i="7"/>
  <c r="AZ335" i="7"/>
  <c r="AZ338" i="7"/>
  <c r="BA335" i="7"/>
  <c r="BA338" i="7"/>
  <c r="BB335" i="7"/>
  <c r="BB338" i="7"/>
  <c r="BC335" i="7"/>
  <c r="BC338" i="7"/>
  <c r="BD335" i="7"/>
  <c r="BD338" i="7"/>
  <c r="BE335" i="7"/>
  <c r="BE338" i="7"/>
  <c r="T76" i="4"/>
  <c r="V95" i="4"/>
  <c r="V213" i="4"/>
  <c r="L255" i="17"/>
  <c r="S76" i="17"/>
  <c r="Y68" i="17"/>
  <c r="Y91" i="17"/>
  <c r="N76" i="4"/>
  <c r="Y76" i="4"/>
  <c r="Q76" i="4"/>
  <c r="I76" i="4"/>
  <c r="M72" i="4"/>
  <c r="R213" i="4"/>
  <c r="R95" i="4"/>
  <c r="J95" i="4"/>
  <c r="N72" i="4"/>
  <c r="S68" i="4"/>
  <c r="S91" i="4"/>
  <c r="K68" i="4"/>
  <c r="K91" i="4"/>
  <c r="Q76" i="17"/>
  <c r="Q68" i="17"/>
  <c r="Q91" i="17"/>
  <c r="Z68" i="4"/>
  <c r="Z91" i="4"/>
  <c r="N68" i="4"/>
  <c r="N91" i="4"/>
  <c r="Y68" i="4"/>
  <c r="Y91" i="4"/>
  <c r="T74" i="4"/>
  <c r="R74" i="4"/>
  <c r="J74" i="4"/>
  <c r="O255" i="4"/>
  <c r="O95" i="4"/>
  <c r="H74" i="4"/>
  <c r="U74" i="4"/>
  <c r="M74" i="4"/>
  <c r="V73" i="8"/>
  <c r="L40" i="18"/>
  <c r="R92" i="8"/>
  <c r="J141" i="7"/>
  <c r="J147" i="7"/>
  <c r="J146" i="7"/>
  <c r="BD682" i="7"/>
  <c r="BD229" i="7"/>
  <c r="BD238" i="7"/>
  <c r="AW229" i="7"/>
  <c r="AW238" i="7"/>
  <c r="AW682" i="7"/>
  <c r="R229" i="7"/>
  <c r="R238" i="7"/>
  <c r="R682" i="7"/>
  <c r="H682" i="7"/>
  <c r="H229" i="7"/>
  <c r="H238" i="7"/>
  <c r="Z682" i="7"/>
  <c r="Z229" i="7"/>
  <c r="Z238" i="7"/>
  <c r="AC229" i="7"/>
  <c r="AC238" i="7"/>
  <c r="AC682" i="7"/>
  <c r="AM229" i="7"/>
  <c r="AM238" i="7"/>
  <c r="AM682" i="7"/>
  <c r="AP682" i="7"/>
  <c r="AP229" i="7"/>
  <c r="AP238" i="7"/>
  <c r="Y229" i="7"/>
  <c r="Y238" i="7"/>
  <c r="Y682" i="7"/>
  <c r="AE229" i="7"/>
  <c r="AE238" i="7"/>
  <c r="AE682" i="7"/>
  <c r="AT682" i="7"/>
  <c r="AT229" i="7"/>
  <c r="AT238" i="7"/>
  <c r="I240" i="7"/>
  <c r="N347" i="17"/>
  <c r="Z166" i="17"/>
  <c r="L166" i="17"/>
  <c r="J166" i="17"/>
  <c r="AA166" i="17"/>
  <c r="Y166" i="4"/>
  <c r="P166" i="4"/>
  <c r="Z166" i="4"/>
  <c r="R166" i="4"/>
  <c r="P347" i="17"/>
  <c r="V158" i="17"/>
  <c r="V181" i="17"/>
  <c r="H310" i="17"/>
  <c r="K310" i="17"/>
  <c r="L310" i="17"/>
  <c r="I310" i="17"/>
  <c r="M310" i="17"/>
  <c r="J310" i="17"/>
  <c r="O310" i="17"/>
  <c r="S310" i="17"/>
  <c r="W310" i="17"/>
  <c r="AA310" i="17"/>
  <c r="P310" i="17"/>
  <c r="T310" i="17"/>
  <c r="X310" i="17"/>
  <c r="Q310" i="17"/>
  <c r="U310" i="17"/>
  <c r="Y310" i="17"/>
  <c r="N310" i="17"/>
  <c r="V310" i="17"/>
  <c r="R310" i="17"/>
  <c r="Z310" i="17"/>
  <c r="G309" i="17"/>
  <c r="G311" i="17"/>
  <c r="H308" i="17"/>
  <c r="Y347" i="4"/>
  <c r="Q347" i="4"/>
  <c r="Z347" i="4"/>
  <c r="R347" i="4"/>
  <c r="J347" i="4"/>
  <c r="G315" i="7"/>
  <c r="G317" i="7"/>
  <c r="H314" i="7"/>
  <c r="H317" i="7"/>
  <c r="I314" i="7"/>
  <c r="I317" i="7"/>
  <c r="J314" i="7"/>
  <c r="J317" i="7"/>
  <c r="K314" i="7"/>
  <c r="K317" i="7"/>
  <c r="L314" i="7"/>
  <c r="L317" i="7"/>
  <c r="M314" i="7"/>
  <c r="M317" i="7"/>
  <c r="N314" i="7"/>
  <c r="N317" i="7"/>
  <c r="O314" i="7"/>
  <c r="O317" i="7"/>
  <c r="P314" i="7"/>
  <c r="P317" i="7"/>
  <c r="Q314" i="7"/>
  <c r="Q317" i="7"/>
  <c r="R314" i="7"/>
  <c r="R317" i="7"/>
  <c r="S314" i="7"/>
  <c r="S317" i="7"/>
  <c r="T314" i="7"/>
  <c r="T317" i="7"/>
  <c r="U314" i="7"/>
  <c r="U317" i="7"/>
  <c r="V314" i="7"/>
  <c r="V317" i="7"/>
  <c r="W314" i="7"/>
  <c r="W317" i="7"/>
  <c r="X314" i="7"/>
  <c r="X317" i="7"/>
  <c r="Y314" i="7"/>
  <c r="Y317" i="7"/>
  <c r="Z314" i="7"/>
  <c r="Z317" i="7"/>
  <c r="AA314" i="7"/>
  <c r="AA317" i="7"/>
  <c r="AB314" i="7"/>
  <c r="AB317" i="7"/>
  <c r="AC314" i="7"/>
  <c r="AC317" i="7"/>
  <c r="AD314" i="7"/>
  <c r="AD317" i="7"/>
  <c r="AE314" i="7"/>
  <c r="AE317" i="7"/>
  <c r="AF314" i="7"/>
  <c r="AF317" i="7"/>
  <c r="AG314" i="7"/>
  <c r="AG317" i="7"/>
  <c r="AH314" i="7"/>
  <c r="AH317" i="7"/>
  <c r="AI314" i="7"/>
  <c r="AI317" i="7"/>
  <c r="AJ314" i="7"/>
  <c r="AJ317" i="7"/>
  <c r="AK314" i="7"/>
  <c r="AK317" i="7"/>
  <c r="AL314" i="7"/>
  <c r="AL317" i="7"/>
  <c r="AM314" i="7"/>
  <c r="AM317" i="7"/>
  <c r="AN314" i="7"/>
  <c r="AN317" i="7"/>
  <c r="AO314" i="7"/>
  <c r="AO317" i="7"/>
  <c r="AP314" i="7"/>
  <c r="AP317" i="7"/>
  <c r="AQ314" i="7"/>
  <c r="AQ317" i="7"/>
  <c r="AR314" i="7"/>
  <c r="AR317" i="7"/>
  <c r="AS314" i="7"/>
  <c r="AS317" i="7"/>
  <c r="AT314" i="7"/>
  <c r="AT317" i="7"/>
  <c r="AU314" i="7"/>
  <c r="AU317" i="7"/>
  <c r="AV314" i="7"/>
  <c r="AV317" i="7"/>
  <c r="AW314" i="7"/>
  <c r="AW317" i="7"/>
  <c r="AX314" i="7"/>
  <c r="AX317" i="7"/>
  <c r="AY314" i="7"/>
  <c r="AY317" i="7"/>
  <c r="AZ314" i="7"/>
  <c r="AZ317" i="7"/>
  <c r="BA314" i="7"/>
  <c r="BA317" i="7"/>
  <c r="BB314" i="7"/>
  <c r="BB317" i="7"/>
  <c r="BC314" i="7"/>
  <c r="BC317" i="7"/>
  <c r="BD314" i="7"/>
  <c r="BD317" i="7"/>
  <c r="BE314" i="7"/>
  <c r="BE317" i="7"/>
  <c r="J374" i="7"/>
  <c r="O19" i="9"/>
  <c r="N19" i="9"/>
  <c r="J169" i="7"/>
  <c r="M19" i="9"/>
  <c r="J123" i="7"/>
  <c r="P19" i="9"/>
  <c r="J263" i="7"/>
  <c r="K19" i="9"/>
  <c r="K218" i="7"/>
  <c r="L19" i="9"/>
  <c r="J75" i="7"/>
  <c r="J73" i="7"/>
  <c r="J72" i="7"/>
  <c r="J78" i="7"/>
  <c r="J76" i="7"/>
  <c r="K73" i="7"/>
  <c r="K72" i="7"/>
  <c r="K78" i="7"/>
  <c r="K170" i="7"/>
  <c r="K261" i="7"/>
  <c r="K260" i="7"/>
  <c r="K266" i="7"/>
  <c r="K215" i="7"/>
  <c r="K214" i="7"/>
  <c r="K220" i="7"/>
  <c r="J218" i="7"/>
  <c r="J217" i="7"/>
  <c r="J27" i="7"/>
  <c r="K167" i="7"/>
  <c r="K166" i="7"/>
  <c r="K172" i="7"/>
  <c r="J215" i="7"/>
  <c r="J214" i="7"/>
  <c r="J220" i="7"/>
  <c r="J29" i="7"/>
  <c r="K27" i="7"/>
  <c r="J170" i="7"/>
  <c r="K264" i="7"/>
  <c r="J261" i="7"/>
  <c r="J260" i="7"/>
  <c r="J266" i="7"/>
  <c r="K76" i="7"/>
  <c r="J264" i="7"/>
  <c r="K124" i="7"/>
  <c r="K121" i="7"/>
  <c r="K120" i="7"/>
  <c r="K126" i="7"/>
  <c r="Z154" i="4"/>
  <c r="R154" i="4"/>
  <c r="J154" i="4"/>
  <c r="U154" i="4"/>
  <c r="H154" i="4"/>
  <c r="X95" i="4"/>
  <c r="X234" i="4"/>
  <c r="G254" i="4"/>
  <c r="G256" i="4"/>
  <c r="H253" i="4"/>
  <c r="H255" i="4"/>
  <c r="H256" i="4"/>
  <c r="I253" i="4"/>
  <c r="I256" i="4"/>
  <c r="J253" i="4"/>
  <c r="J256" i="4"/>
  <c r="K253" i="4"/>
  <c r="K256" i="4"/>
  <c r="L253" i="4"/>
  <c r="L256" i="4"/>
  <c r="M253" i="4"/>
  <c r="U72" i="4"/>
  <c r="P76" i="17"/>
  <c r="U76" i="17"/>
  <c r="L76" i="4"/>
  <c r="W76" i="4"/>
  <c r="O76" i="4"/>
  <c r="H76" i="4"/>
  <c r="K72" i="4"/>
  <c r="P213" i="4"/>
  <c r="H72" i="4"/>
  <c r="T72" i="4"/>
  <c r="L72" i="4"/>
  <c r="M76" i="17"/>
  <c r="N94" i="1"/>
  <c r="P255" i="4"/>
  <c r="N255" i="4"/>
  <c r="AA74" i="4"/>
  <c r="S74" i="4"/>
  <c r="H77" i="4"/>
  <c r="V68" i="17"/>
  <c r="V91" i="17"/>
  <c r="U77" i="17"/>
  <c r="J124" i="7"/>
  <c r="I143" i="7"/>
  <c r="I146" i="7"/>
  <c r="P682" i="7"/>
  <c r="P229" i="7"/>
  <c r="P238" i="7"/>
  <c r="O682" i="7"/>
  <c r="O229" i="7"/>
  <c r="O238" i="7"/>
  <c r="AJ229" i="7"/>
  <c r="AJ238" i="7"/>
  <c r="AJ682" i="7"/>
  <c r="U229" i="7"/>
  <c r="U238" i="7"/>
  <c r="U682" i="7"/>
  <c r="AH229" i="7"/>
  <c r="AH238" i="7"/>
  <c r="AH682" i="7"/>
  <c r="AK682" i="7"/>
  <c r="AK229" i="7"/>
  <c r="AK238" i="7"/>
  <c r="AU229" i="7"/>
  <c r="AU238" i="7"/>
  <c r="AU682" i="7"/>
  <c r="AV682" i="7"/>
  <c r="AV229" i="7"/>
  <c r="AV238" i="7"/>
  <c r="AS229" i="7"/>
  <c r="AS238" i="7"/>
  <c r="AS682" i="7"/>
  <c r="AY682" i="7"/>
  <c r="AY229" i="7"/>
  <c r="AY238" i="7"/>
  <c r="AA191" i="7"/>
  <c r="AE97" i="7"/>
  <c r="N832" i="7"/>
  <c r="N222" i="7"/>
  <c r="AG145" i="7"/>
  <c r="P214" i="17"/>
  <c r="Q211" i="17"/>
  <c r="Q214" i="17"/>
  <c r="R211" i="17"/>
  <c r="R214" i="17"/>
  <c r="S211" i="17"/>
  <c r="S214" i="17"/>
  <c r="T211" i="17"/>
  <c r="T214" i="17"/>
  <c r="U211" i="17"/>
  <c r="U214" i="17"/>
  <c r="V211" i="17"/>
  <c r="V214" i="17"/>
  <c r="W211" i="17"/>
  <c r="W214" i="17"/>
  <c r="X211" i="17"/>
  <c r="X214" i="17"/>
  <c r="Y211" i="17"/>
  <c r="Y214" i="17"/>
  <c r="Z211" i="17"/>
  <c r="Z214" i="17"/>
  <c r="AA211" i="17"/>
  <c r="AA214" i="17"/>
  <c r="H75" i="4"/>
  <c r="N44" i="1"/>
  <c r="L40" i="16"/>
  <c r="H165" i="17"/>
  <c r="I74" i="17"/>
  <c r="K146" i="7"/>
  <c r="K141" i="7"/>
  <c r="K147" i="7"/>
  <c r="Z163" i="17"/>
  <c r="R163" i="17"/>
  <c r="P167" i="17"/>
  <c r="V72" i="4"/>
  <c r="K74" i="17"/>
  <c r="J71" i="16"/>
  <c r="O167" i="4"/>
  <c r="P167" i="4"/>
  <c r="Y163" i="4"/>
  <c r="I163" i="4"/>
  <c r="J167" i="17"/>
  <c r="Z167" i="17"/>
  <c r="P214" i="4"/>
  <c r="Q211" i="4"/>
  <c r="Q214" i="4"/>
  <c r="R211" i="4"/>
  <c r="R214" i="4"/>
  <c r="S211" i="4"/>
  <c r="S214" i="4"/>
  <c r="T211" i="4"/>
  <c r="T214" i="4"/>
  <c r="U211" i="4"/>
  <c r="U214" i="4"/>
  <c r="V211" i="4"/>
  <c r="V214" i="4"/>
  <c r="W211" i="4"/>
  <c r="W214" i="4"/>
  <c r="X211" i="4"/>
  <c r="X214" i="4"/>
  <c r="Y211" i="4"/>
  <c r="Y214" i="4"/>
  <c r="Z211" i="4"/>
  <c r="Z214" i="4"/>
  <c r="AA211" i="4"/>
  <c r="AA214" i="4"/>
  <c r="Y164" i="17"/>
  <c r="P234" i="17"/>
  <c r="P95" i="17"/>
  <c r="H73" i="17"/>
  <c r="K234" i="17"/>
  <c r="K95" i="17"/>
  <c r="K167" i="4"/>
  <c r="AA289" i="4"/>
  <c r="AA185" i="4"/>
  <c r="T289" i="4"/>
  <c r="T185" i="4"/>
  <c r="H165" i="4"/>
  <c r="P162" i="4"/>
  <c r="H162" i="4"/>
  <c r="Q74" i="17"/>
  <c r="K235" i="7"/>
  <c r="K241" i="7"/>
  <c r="K240" i="7"/>
  <c r="J167" i="4"/>
  <c r="S163" i="17"/>
  <c r="H166" i="17"/>
  <c r="M163" i="17"/>
  <c r="L163" i="17"/>
  <c r="I167" i="4"/>
  <c r="T167" i="17"/>
  <c r="S167" i="17"/>
  <c r="O163" i="4"/>
  <c r="H166" i="4"/>
  <c r="X164" i="17"/>
  <c r="T164" i="17"/>
  <c r="Y234" i="17"/>
  <c r="Y95" i="17"/>
  <c r="W234" i="17"/>
  <c r="W95" i="17"/>
  <c r="H234" i="17"/>
  <c r="H95" i="17"/>
  <c r="W167" i="17"/>
  <c r="V235" i="4"/>
  <c r="W232" i="4"/>
  <c r="W235" i="4"/>
  <c r="X232" i="4"/>
  <c r="X235" i="4"/>
  <c r="Y232" i="4"/>
  <c r="Y235" i="4"/>
  <c r="Z232" i="4"/>
  <c r="Z235" i="4"/>
  <c r="AA232" i="4"/>
  <c r="AA235" i="4"/>
  <c r="M255" i="4"/>
  <c r="M95" i="4"/>
  <c r="L68" i="4"/>
  <c r="L91" i="4"/>
  <c r="J235" i="7"/>
  <c r="J241" i="7"/>
  <c r="J240" i="7"/>
  <c r="K192" i="7"/>
  <c r="K187" i="7"/>
  <c r="K193" i="7"/>
  <c r="K281" i="7"/>
  <c r="K287" i="7"/>
  <c r="K286" i="7"/>
  <c r="L20" i="9"/>
  <c r="K75" i="7"/>
  <c r="M20" i="9"/>
  <c r="K123" i="7"/>
  <c r="N20" i="9"/>
  <c r="K169" i="7"/>
  <c r="K20" i="9"/>
  <c r="K29" i="7"/>
  <c r="P20" i="9"/>
  <c r="K263" i="7"/>
  <c r="O20" i="9"/>
  <c r="K217" i="7"/>
  <c r="H311" i="17"/>
  <c r="I308" i="17"/>
  <c r="I311" i="17"/>
  <c r="J308" i="17"/>
  <c r="J311" i="17"/>
  <c r="K308" i="17"/>
  <c r="K311" i="17"/>
  <c r="L308" i="17"/>
  <c r="L311" i="17"/>
  <c r="M308" i="17"/>
  <c r="M311" i="17"/>
  <c r="N308" i="17"/>
  <c r="N311" i="17"/>
  <c r="O308" i="17"/>
  <c r="O311" i="17"/>
  <c r="P308" i="17"/>
  <c r="P311" i="17"/>
  <c r="Q308" i="17"/>
  <c r="Q311" i="17"/>
  <c r="R308" i="17"/>
  <c r="R311" i="17"/>
  <c r="S308" i="17"/>
  <c r="S311" i="17"/>
  <c r="T308" i="17"/>
  <c r="T311" i="17"/>
  <c r="U308" i="17"/>
  <c r="U311" i="17"/>
  <c r="V308" i="17"/>
  <c r="V311" i="17"/>
  <c r="W308" i="17"/>
  <c r="W311" i="17"/>
  <c r="X308" i="17"/>
  <c r="X311" i="17"/>
  <c r="Y308" i="17"/>
  <c r="Y311" i="17"/>
  <c r="Z308" i="17"/>
  <c r="Z311" i="17"/>
  <c r="AA308" i="17"/>
  <c r="AA311" i="17"/>
  <c r="O163" i="17"/>
  <c r="V163" i="17"/>
  <c r="N163" i="17"/>
  <c r="K163" i="17"/>
  <c r="V75" i="8"/>
  <c r="P25" i="18"/>
  <c r="P23" i="18"/>
  <c r="J74" i="17"/>
  <c r="AA164" i="4"/>
  <c r="S164" i="4"/>
  <c r="V164" i="4"/>
  <c r="N74" i="17"/>
  <c r="X167" i="4"/>
  <c r="W167" i="4"/>
  <c r="Z163" i="4"/>
  <c r="T163" i="4"/>
  <c r="J163" i="4"/>
  <c r="Q163" i="4"/>
  <c r="U163" i="4"/>
  <c r="M163" i="4"/>
  <c r="L124" i="7"/>
  <c r="AA164" i="17"/>
  <c r="S164" i="17"/>
  <c r="V164" i="17"/>
  <c r="U164" i="17"/>
  <c r="V234" i="17"/>
  <c r="V95" i="17"/>
  <c r="X234" i="17"/>
  <c r="X95" i="17"/>
  <c r="Q234" i="17"/>
  <c r="Q95" i="17"/>
  <c r="N234" i="17"/>
  <c r="N95" i="17"/>
  <c r="O95" i="17"/>
  <c r="O234" i="17"/>
  <c r="V167" i="4"/>
  <c r="U167" i="4"/>
  <c r="L167" i="17"/>
  <c r="V167" i="17"/>
  <c r="I167" i="17"/>
  <c r="H74" i="17"/>
  <c r="H240" i="7"/>
  <c r="P74" i="4"/>
  <c r="M256" i="4"/>
  <c r="N253" i="4"/>
  <c r="N256" i="4"/>
  <c r="O253" i="4"/>
  <c r="O256" i="4"/>
  <c r="P253" i="4"/>
  <c r="P256" i="4"/>
  <c r="Q253" i="4"/>
  <c r="Q256" i="4"/>
  <c r="R253" i="4"/>
  <c r="R256" i="4"/>
  <c r="S253" i="4"/>
  <c r="S256" i="4"/>
  <c r="T253" i="4"/>
  <c r="T256" i="4"/>
  <c r="U253" i="4"/>
  <c r="U256" i="4"/>
  <c r="V253" i="4"/>
  <c r="V256" i="4"/>
  <c r="W253" i="4"/>
  <c r="W256" i="4"/>
  <c r="X253" i="4"/>
  <c r="X256" i="4"/>
  <c r="Y253" i="4"/>
  <c r="Y256" i="4"/>
  <c r="Z253" i="4"/>
  <c r="Z256" i="4"/>
  <c r="AA253" i="4"/>
  <c r="AA256" i="4"/>
  <c r="H167" i="17"/>
  <c r="K93" i="7"/>
  <c r="K99" i="7"/>
  <c r="K98" i="7"/>
  <c r="W163" i="17"/>
  <c r="I163" i="17"/>
  <c r="W164" i="4"/>
  <c r="Z164" i="4"/>
  <c r="H167" i="4"/>
  <c r="P74" i="17"/>
  <c r="P163" i="4"/>
  <c r="L163" i="4"/>
  <c r="X163" i="4"/>
  <c r="H163" i="4"/>
  <c r="P68" i="4"/>
  <c r="P91" i="4"/>
  <c r="W164" i="17"/>
  <c r="Z164" i="17"/>
  <c r="AA158" i="17"/>
  <c r="AA181" i="17"/>
  <c r="J234" i="17"/>
  <c r="J95" i="17"/>
  <c r="L234" i="17"/>
  <c r="L95" i="17"/>
  <c r="T234" i="17"/>
  <c r="T95" i="17"/>
  <c r="S234" i="17"/>
  <c r="S95" i="17"/>
  <c r="N167" i="4"/>
  <c r="Z162" i="4"/>
  <c r="U289" i="4"/>
  <c r="U185" i="4"/>
  <c r="O289" i="4"/>
  <c r="O162" i="4"/>
  <c r="K74" i="4"/>
  <c r="W68" i="4"/>
  <c r="W91" i="4"/>
  <c r="J93" i="7"/>
  <c r="J99" i="7"/>
  <c r="J98" i="7"/>
  <c r="Z167" i="4"/>
  <c r="Y167" i="4"/>
  <c r="U163" i="17"/>
  <c r="T163" i="17"/>
  <c r="J163" i="17"/>
  <c r="N167" i="17"/>
  <c r="Y164" i="4"/>
  <c r="X164" i="4"/>
  <c r="L167" i="4"/>
  <c r="AA167" i="4"/>
  <c r="M167" i="4"/>
  <c r="N95" i="4"/>
  <c r="O74" i="17"/>
  <c r="V163" i="4"/>
  <c r="W163" i="4"/>
  <c r="X68" i="4"/>
  <c r="X91" i="4"/>
  <c r="M74" i="17"/>
  <c r="H235" i="17"/>
  <c r="I232" i="17"/>
  <c r="I234" i="17"/>
  <c r="I95" i="17"/>
  <c r="R234" i="17"/>
  <c r="R95" i="17"/>
  <c r="X167" i="17"/>
  <c r="N49" i="1"/>
  <c r="N51" i="1"/>
  <c r="L42" i="16"/>
  <c r="T68" i="4"/>
  <c r="T91" i="4"/>
  <c r="P95" i="4"/>
  <c r="L74" i="17"/>
  <c r="L33" i="16"/>
  <c r="J281" i="7"/>
  <c r="J287" i="7"/>
  <c r="J286" i="7"/>
  <c r="S158" i="17"/>
  <c r="S181" i="17"/>
  <c r="R167" i="4"/>
  <c r="Q167" i="4"/>
  <c r="AA163" i="17"/>
  <c r="H163" i="17"/>
  <c r="Y163" i="17"/>
  <c r="Q163" i="17"/>
  <c r="X163" i="17"/>
  <c r="P163" i="17"/>
  <c r="U164" i="4"/>
  <c r="T164" i="4"/>
  <c r="T167" i="4"/>
  <c r="S167" i="4"/>
  <c r="K167" i="17"/>
  <c r="R167" i="17"/>
  <c r="I256" i="17"/>
  <c r="J253" i="17"/>
  <c r="J256" i="17"/>
  <c r="K253" i="17"/>
  <c r="K256" i="17"/>
  <c r="L253" i="17"/>
  <c r="L256" i="17"/>
  <c r="M253" i="17"/>
  <c r="M256" i="17"/>
  <c r="N253" i="17"/>
  <c r="N256" i="17"/>
  <c r="O253" i="17"/>
  <c r="O256" i="17"/>
  <c r="P253" i="17"/>
  <c r="P256" i="17"/>
  <c r="Q253" i="17"/>
  <c r="Q256" i="17"/>
  <c r="R253" i="17"/>
  <c r="R256" i="17"/>
  <c r="S253" i="17"/>
  <c r="S256" i="17"/>
  <c r="T253" i="17"/>
  <c r="T256" i="17"/>
  <c r="U253" i="17"/>
  <c r="U256" i="17"/>
  <c r="V253" i="17"/>
  <c r="V256" i="17"/>
  <c r="W253" i="17"/>
  <c r="W256" i="17"/>
  <c r="X253" i="17"/>
  <c r="X256" i="17"/>
  <c r="Y253" i="17"/>
  <c r="Y256" i="17"/>
  <c r="Z253" i="17"/>
  <c r="Z256" i="17"/>
  <c r="AA253" i="17"/>
  <c r="AA256" i="17"/>
  <c r="H311" i="4"/>
  <c r="I308" i="4"/>
  <c r="I311" i="4"/>
  <c r="J308" i="4"/>
  <c r="J311" i="4"/>
  <c r="K308" i="4"/>
  <c r="K311" i="4"/>
  <c r="L308" i="4"/>
  <c r="L311" i="4"/>
  <c r="M308" i="4"/>
  <c r="M311" i="4"/>
  <c r="N308" i="4"/>
  <c r="N311" i="4"/>
  <c r="O308" i="4"/>
  <c r="O311" i="4"/>
  <c r="P308" i="4"/>
  <c r="P311" i="4"/>
  <c r="Q308" i="4"/>
  <c r="Q311" i="4"/>
  <c r="R308" i="4"/>
  <c r="R311" i="4"/>
  <c r="S308" i="4"/>
  <c r="S311" i="4"/>
  <c r="T308" i="4"/>
  <c r="T311" i="4"/>
  <c r="U308" i="4"/>
  <c r="U311" i="4"/>
  <c r="V308" i="4"/>
  <c r="V311" i="4"/>
  <c r="W308" i="4"/>
  <c r="W311" i="4"/>
  <c r="X308" i="4"/>
  <c r="X311" i="4"/>
  <c r="Y308" i="4"/>
  <c r="Y311" i="4"/>
  <c r="Z308" i="4"/>
  <c r="Z311" i="4"/>
  <c r="AA308" i="4"/>
  <c r="AA311" i="4"/>
  <c r="N163" i="4"/>
  <c r="R163" i="4"/>
  <c r="AA163" i="4"/>
  <c r="S163" i="4"/>
  <c r="K163" i="4"/>
  <c r="Z234" i="17"/>
  <c r="Z95" i="17"/>
  <c r="U234" i="17"/>
  <c r="U95" i="17"/>
  <c r="AA95" i="17"/>
  <c r="AA234" i="17"/>
  <c r="M234" i="17"/>
  <c r="M95" i="17"/>
  <c r="J158" i="17"/>
  <c r="J181" i="17"/>
  <c r="AA167" i="17"/>
  <c r="I235" i="17"/>
  <c r="J232" i="17"/>
  <c r="J235" i="17"/>
  <c r="K232" i="17"/>
  <c r="K235" i="17"/>
  <c r="L232" i="17"/>
  <c r="L235" i="17"/>
  <c r="M232" i="17"/>
  <c r="M235" i="17"/>
  <c r="N232" i="17"/>
  <c r="N235" i="17"/>
  <c r="O232" i="17"/>
  <c r="O235" i="17"/>
  <c r="P232" i="17"/>
  <c r="P235" i="17"/>
  <c r="Q232" i="17"/>
  <c r="Q235" i="17"/>
  <c r="R232" i="17"/>
  <c r="R235" i="17"/>
  <c r="S232" i="17"/>
  <c r="S235" i="17"/>
  <c r="T232" i="17"/>
  <c r="T235" i="17"/>
  <c r="U232" i="17"/>
  <c r="O289" i="17"/>
  <c r="I289" i="17"/>
  <c r="AA289" i="17"/>
  <c r="AA185" i="17"/>
  <c r="H289" i="4"/>
  <c r="H290" i="4"/>
  <c r="I287" i="4"/>
  <c r="H185" i="4"/>
  <c r="N73" i="17"/>
  <c r="M331" i="4"/>
  <c r="L331" i="4"/>
  <c r="R331" i="4"/>
  <c r="Q331" i="4"/>
  <c r="J331" i="4"/>
  <c r="H331" i="4"/>
  <c r="H332" i="4"/>
  <c r="I329" i="4"/>
  <c r="P331" i="4"/>
  <c r="N331" i="4"/>
  <c r="I331" i="4"/>
  <c r="K331" i="4"/>
  <c r="L289" i="4"/>
  <c r="L185" i="4"/>
  <c r="K73" i="17"/>
  <c r="L289" i="17"/>
  <c r="X185" i="17"/>
  <c r="X289" i="17"/>
  <c r="Y289" i="17"/>
  <c r="Y185" i="17"/>
  <c r="Z289" i="17"/>
  <c r="Z185" i="17"/>
  <c r="V289" i="17"/>
  <c r="V185" i="17"/>
  <c r="S289" i="17"/>
  <c r="S185" i="17"/>
  <c r="K185" i="17"/>
  <c r="K289" i="17"/>
  <c r="X185" i="4"/>
  <c r="X289" i="4"/>
  <c r="K289" i="4"/>
  <c r="H75" i="17"/>
  <c r="AA73" i="17"/>
  <c r="K21" i="9"/>
  <c r="N21" i="9"/>
  <c r="O21" i="9"/>
  <c r="P21" i="9"/>
  <c r="M21" i="9"/>
  <c r="L123" i="7"/>
  <c r="L21" i="9"/>
  <c r="M73" i="7"/>
  <c r="M72" i="7"/>
  <c r="M78" i="7"/>
  <c r="M76" i="7"/>
  <c r="L29" i="7"/>
  <c r="M170" i="7"/>
  <c r="L218" i="7"/>
  <c r="M121" i="7"/>
  <c r="M120" i="7"/>
  <c r="M126" i="7"/>
  <c r="L263" i="7"/>
  <c r="M167" i="7"/>
  <c r="M166" i="7"/>
  <c r="M172" i="7"/>
  <c r="M264" i="7"/>
  <c r="M124" i="7"/>
  <c r="L217" i="7"/>
  <c r="L169" i="7"/>
  <c r="L27" i="7"/>
  <c r="L215" i="7"/>
  <c r="L214" i="7"/>
  <c r="L220" i="7"/>
  <c r="L261" i="7"/>
  <c r="L260" i="7"/>
  <c r="L266" i="7"/>
  <c r="L170" i="7"/>
  <c r="L76" i="7"/>
  <c r="L264" i="7"/>
  <c r="L121" i="7"/>
  <c r="L120" i="7"/>
  <c r="L126" i="7"/>
  <c r="L73" i="7"/>
  <c r="L72" i="7"/>
  <c r="L78" i="7"/>
  <c r="L167" i="7"/>
  <c r="L166" i="7"/>
  <c r="L172" i="7"/>
  <c r="M261" i="7"/>
  <c r="M260" i="7"/>
  <c r="M266" i="7"/>
  <c r="M27" i="7"/>
  <c r="Q162" i="4"/>
  <c r="Z73" i="17"/>
  <c r="J162" i="4"/>
  <c r="U73" i="17"/>
  <c r="O73" i="17"/>
  <c r="H331" i="17"/>
  <c r="H332" i="17"/>
  <c r="I329" i="17"/>
  <c r="J331" i="17"/>
  <c r="K331" i="17"/>
  <c r="R331" i="17"/>
  <c r="L331" i="17"/>
  <c r="P331" i="17"/>
  <c r="Q331" i="17"/>
  <c r="N331" i="17"/>
  <c r="M331" i="17"/>
  <c r="I331" i="17"/>
  <c r="O331" i="17"/>
  <c r="Z289" i="4"/>
  <c r="Z185" i="4"/>
  <c r="Q73" i="17"/>
  <c r="R73" i="17"/>
  <c r="Q289" i="4"/>
  <c r="Q185" i="4"/>
  <c r="W162" i="4"/>
  <c r="P185" i="4"/>
  <c r="P289" i="4"/>
  <c r="N289" i="17"/>
  <c r="J289" i="4"/>
  <c r="V73" i="17"/>
  <c r="Y73" i="17"/>
  <c r="W73" i="17"/>
  <c r="X73" i="17"/>
  <c r="V289" i="4"/>
  <c r="V185" i="4"/>
  <c r="S73" i="17"/>
  <c r="U235" i="17"/>
  <c r="V232" i="17"/>
  <c r="V235" i="17"/>
  <c r="W232" i="17"/>
  <c r="W235" i="17"/>
  <c r="X232" i="17"/>
  <c r="X235" i="17"/>
  <c r="Y232" i="17"/>
  <c r="Y235" i="17"/>
  <c r="Z232" i="17"/>
  <c r="Z235" i="17"/>
  <c r="AA232" i="17"/>
  <c r="AA235" i="17"/>
  <c r="J289" i="17"/>
  <c r="Y185" i="4"/>
  <c r="Y289" i="4"/>
  <c r="J73" i="17"/>
  <c r="M73" i="17"/>
  <c r="I73" i="17"/>
  <c r="I289" i="4"/>
  <c r="I185" i="4"/>
  <c r="S289" i="4"/>
  <c r="S185" i="4"/>
  <c r="P73" i="17"/>
  <c r="P289" i="17"/>
  <c r="U185" i="17"/>
  <c r="U289" i="17"/>
  <c r="R289" i="17"/>
  <c r="M289" i="17"/>
  <c r="M185" i="17"/>
  <c r="M289" i="4"/>
  <c r="M185" i="4"/>
  <c r="W185" i="4"/>
  <c r="W289" i="4"/>
  <c r="L73" i="17"/>
  <c r="R289" i="4"/>
  <c r="Q185" i="17"/>
  <c r="Q289" i="17"/>
  <c r="W289" i="17"/>
  <c r="W185" i="17"/>
  <c r="H289" i="17"/>
  <c r="H290" i="17"/>
  <c r="I287" i="17"/>
  <c r="T185" i="17"/>
  <c r="T289" i="17"/>
  <c r="N289" i="4"/>
  <c r="N185" i="4"/>
  <c r="T73" i="17"/>
  <c r="M218" i="7"/>
  <c r="J75" i="16"/>
  <c r="L135" i="1"/>
  <c r="H185" i="17"/>
  <c r="J185" i="17"/>
  <c r="I290" i="17"/>
  <c r="J287" i="17"/>
  <c r="J290" i="17"/>
  <c r="K287" i="17"/>
  <c r="K290" i="17"/>
  <c r="L287" i="17"/>
  <c r="L290" i="17"/>
  <c r="M287" i="17"/>
  <c r="M290" i="17"/>
  <c r="N287" i="17"/>
  <c r="N290" i="17"/>
  <c r="O287" i="17"/>
  <c r="O290" i="17"/>
  <c r="P287" i="17"/>
  <c r="P290" i="17"/>
  <c r="Q287" i="17"/>
  <c r="Q290" i="17"/>
  <c r="R287" i="17"/>
  <c r="R290" i="17"/>
  <c r="S287" i="17"/>
  <c r="S290" i="17"/>
  <c r="T287" i="17"/>
  <c r="T290" i="17"/>
  <c r="U287" i="17"/>
  <c r="U290" i="17"/>
  <c r="V287" i="17"/>
  <c r="V290" i="17"/>
  <c r="W287" i="17"/>
  <c r="W290" i="17"/>
  <c r="X287" i="17"/>
  <c r="X290" i="17"/>
  <c r="Y287" i="17"/>
  <c r="Y290" i="17"/>
  <c r="Z287" i="17"/>
  <c r="Z290" i="17"/>
  <c r="AA287" i="17"/>
  <c r="AA290" i="17"/>
  <c r="K162" i="17"/>
  <c r="L141" i="7"/>
  <c r="L147" i="7"/>
  <c r="L146" i="7"/>
  <c r="I185" i="17"/>
  <c r="AA162" i="4"/>
  <c r="N185" i="17"/>
  <c r="O164" i="17"/>
  <c r="L164" i="17"/>
  <c r="L93" i="7"/>
  <c r="L99" i="7"/>
  <c r="L98" i="7"/>
  <c r="P22" i="9"/>
  <c r="M263" i="7"/>
  <c r="K22" i="9"/>
  <c r="M29" i="7"/>
  <c r="L22" i="9"/>
  <c r="M75" i="7"/>
  <c r="O22" i="9"/>
  <c r="M217" i="7"/>
  <c r="N22" i="9"/>
  <c r="M169" i="7"/>
  <c r="M22" i="9"/>
  <c r="N170" i="7"/>
  <c r="M215" i="7"/>
  <c r="M214" i="7"/>
  <c r="M220" i="7"/>
  <c r="L162" i="4"/>
  <c r="W162" i="17"/>
  <c r="L164" i="4"/>
  <c r="N164" i="4"/>
  <c r="I290" i="4"/>
  <c r="J287" i="4"/>
  <c r="J290" i="4"/>
  <c r="K287" i="4"/>
  <c r="K290" i="4"/>
  <c r="L287" i="4"/>
  <c r="L290" i="4"/>
  <c r="M287" i="4"/>
  <c r="M290" i="4"/>
  <c r="N287" i="4"/>
  <c r="N290" i="4"/>
  <c r="O287" i="4"/>
  <c r="O290" i="4"/>
  <c r="P287" i="4"/>
  <c r="P290" i="4"/>
  <c r="Q287" i="4"/>
  <c r="Q290" i="4"/>
  <c r="R287" i="4"/>
  <c r="R290" i="4"/>
  <c r="S287" i="4"/>
  <c r="S290" i="4"/>
  <c r="T287" i="4"/>
  <c r="T290" i="4"/>
  <c r="U287" i="4"/>
  <c r="U290" i="4"/>
  <c r="V287" i="4"/>
  <c r="V290" i="4"/>
  <c r="W287" i="4"/>
  <c r="W290" i="4"/>
  <c r="X287" i="4"/>
  <c r="X290" i="4"/>
  <c r="Y287" i="4"/>
  <c r="Y290" i="4"/>
  <c r="Z287" i="4"/>
  <c r="Z290" i="4"/>
  <c r="AA287" i="4"/>
  <c r="AA290" i="4"/>
  <c r="N162" i="4"/>
  <c r="I332" i="17"/>
  <c r="J329" i="17"/>
  <c r="J332" i="17"/>
  <c r="K329" i="17"/>
  <c r="K332" i="17"/>
  <c r="L329" i="17"/>
  <c r="L332" i="17"/>
  <c r="M329" i="17"/>
  <c r="M332" i="17"/>
  <c r="N329" i="17"/>
  <c r="N332" i="17"/>
  <c r="O329" i="17"/>
  <c r="O332" i="17"/>
  <c r="P329" i="17"/>
  <c r="P332" i="17"/>
  <c r="Q329" i="17"/>
  <c r="Q332" i="17"/>
  <c r="R329" i="17"/>
  <c r="R332" i="17"/>
  <c r="S329" i="17"/>
  <c r="S332" i="17"/>
  <c r="T329" i="17"/>
  <c r="T332" i="17"/>
  <c r="U329" i="17"/>
  <c r="U332" i="17"/>
  <c r="V329" i="17"/>
  <c r="V332" i="17"/>
  <c r="W329" i="17"/>
  <c r="W332" i="17"/>
  <c r="X329" i="17"/>
  <c r="X332" i="17"/>
  <c r="Y329" i="17"/>
  <c r="Y332" i="17"/>
  <c r="Z329" i="17"/>
  <c r="Z332" i="17"/>
  <c r="AA329" i="17"/>
  <c r="AA332" i="17"/>
  <c r="O331" i="4"/>
  <c r="O185" i="4"/>
  <c r="O162" i="17"/>
  <c r="M162" i="4"/>
  <c r="P164" i="17"/>
  <c r="H164" i="17"/>
  <c r="K162" i="4"/>
  <c r="Q162" i="17"/>
  <c r="X162" i="17"/>
  <c r="P162" i="17"/>
  <c r="R164" i="17"/>
  <c r="V162" i="4"/>
  <c r="M286" i="7"/>
  <c r="M281" i="7"/>
  <c r="M287" i="7"/>
  <c r="M146" i="7"/>
  <c r="M141" i="7"/>
  <c r="M147" i="7"/>
  <c r="M98" i="7"/>
  <c r="M93" i="7"/>
  <c r="M99" i="7"/>
  <c r="K185" i="4"/>
  <c r="L185" i="17"/>
  <c r="M164" i="4"/>
  <c r="O185" i="17"/>
  <c r="S162" i="17"/>
  <c r="L162" i="17"/>
  <c r="I162" i="17"/>
  <c r="K164" i="17"/>
  <c r="L192" i="7"/>
  <c r="L187" i="7"/>
  <c r="L193" i="7"/>
  <c r="L240" i="7"/>
  <c r="L235" i="7"/>
  <c r="L241" i="7"/>
  <c r="M187" i="7"/>
  <c r="M193" i="7"/>
  <c r="M192" i="7"/>
  <c r="U162" i="4"/>
  <c r="R162" i="4"/>
  <c r="I162" i="4"/>
  <c r="S162" i="4"/>
  <c r="N162" i="17"/>
  <c r="I164" i="17"/>
  <c r="Y162" i="17"/>
  <c r="Y162" i="4"/>
  <c r="H162" i="17"/>
  <c r="Q164" i="17"/>
  <c r="T162" i="4"/>
  <c r="T162" i="17"/>
  <c r="R185" i="4"/>
  <c r="R185" i="17"/>
  <c r="P185" i="17"/>
  <c r="H60" i="4"/>
  <c r="H62" i="4"/>
  <c r="H66" i="4"/>
  <c r="H70" i="4"/>
  <c r="H79" i="4"/>
  <c r="T60" i="4"/>
  <c r="T62" i="4"/>
  <c r="T66" i="4"/>
  <c r="T70" i="4"/>
  <c r="T79" i="4"/>
  <c r="V60" i="4"/>
  <c r="V62" i="4"/>
  <c r="V66" i="4"/>
  <c r="V70" i="4"/>
  <c r="V79" i="4"/>
  <c r="U60" i="4"/>
  <c r="U62" i="4"/>
  <c r="U66" i="4"/>
  <c r="U70" i="4"/>
  <c r="U79" i="4"/>
  <c r="X60" i="4"/>
  <c r="X62" i="4"/>
  <c r="X66" i="4"/>
  <c r="X70" i="4"/>
  <c r="X79" i="4"/>
  <c r="AA60" i="4"/>
  <c r="AA62" i="4"/>
  <c r="AA66" i="4"/>
  <c r="AA70" i="4"/>
  <c r="AA79" i="4"/>
  <c r="Q60" i="4"/>
  <c r="Q62" i="4"/>
  <c r="Q66" i="4"/>
  <c r="Q70" i="4"/>
  <c r="Q79" i="4"/>
  <c r="Y60" i="4"/>
  <c r="Y62" i="4"/>
  <c r="Y66" i="4"/>
  <c r="Y70" i="4"/>
  <c r="Y79" i="4"/>
  <c r="S60" i="4"/>
  <c r="S62" i="4"/>
  <c r="S66" i="4"/>
  <c r="S70" i="4"/>
  <c r="S79" i="4"/>
  <c r="M60" i="4"/>
  <c r="M62" i="4"/>
  <c r="M66" i="4"/>
  <c r="M70" i="4"/>
  <c r="M79" i="4"/>
  <c r="R60" i="4"/>
  <c r="R62" i="4"/>
  <c r="R66" i="4"/>
  <c r="R70" i="4"/>
  <c r="R79" i="4"/>
  <c r="P60" i="4"/>
  <c r="P62" i="4"/>
  <c r="P66" i="4"/>
  <c r="P70" i="4"/>
  <c r="P79" i="4"/>
  <c r="L60" i="4"/>
  <c r="L62" i="4"/>
  <c r="L66" i="4"/>
  <c r="L70" i="4"/>
  <c r="L79" i="4"/>
  <c r="I60" i="4"/>
  <c r="I62" i="4"/>
  <c r="I66" i="4"/>
  <c r="I70" i="4"/>
  <c r="I79" i="4"/>
  <c r="N60" i="4"/>
  <c r="N62" i="4"/>
  <c r="N66" i="4"/>
  <c r="N70" i="4"/>
  <c r="N79" i="4"/>
  <c r="W60" i="4"/>
  <c r="W62" i="4"/>
  <c r="W66" i="4"/>
  <c r="W70" i="4"/>
  <c r="W79" i="4"/>
  <c r="Z60" i="4"/>
  <c r="Z62" i="4"/>
  <c r="Z66" i="4"/>
  <c r="Z70" i="4"/>
  <c r="Z79" i="4"/>
  <c r="K60" i="4"/>
  <c r="K62" i="4"/>
  <c r="K66" i="4"/>
  <c r="K70" i="4"/>
  <c r="K79" i="4"/>
  <c r="J60" i="4"/>
  <c r="J62" i="4"/>
  <c r="J66" i="4"/>
  <c r="J70" i="4"/>
  <c r="J79" i="4"/>
  <c r="O60" i="4"/>
  <c r="O62" i="4"/>
  <c r="O66" i="4"/>
  <c r="O70" i="4"/>
  <c r="O79" i="4"/>
  <c r="X162" i="4"/>
  <c r="J185" i="4"/>
  <c r="AA162" i="17"/>
  <c r="U162" i="17"/>
  <c r="V162" i="17"/>
  <c r="M162" i="17"/>
  <c r="R162" i="17"/>
  <c r="M164" i="17"/>
  <c r="N164" i="17"/>
  <c r="J164" i="17"/>
  <c r="L281" i="7"/>
  <c r="L287" i="7"/>
  <c r="L286" i="7"/>
  <c r="M123" i="7"/>
  <c r="N121" i="7"/>
  <c r="N120" i="7"/>
  <c r="N126" i="7"/>
  <c r="Z162" i="17"/>
  <c r="J162" i="17"/>
  <c r="R164" i="4"/>
  <c r="I164" i="4"/>
  <c r="I332" i="4"/>
  <c r="J329" i="4"/>
  <c r="J332" i="4"/>
  <c r="K329" i="4"/>
  <c r="K332" i="4"/>
  <c r="L329" i="4"/>
  <c r="L332" i="4"/>
  <c r="M329" i="4"/>
  <c r="M332" i="4"/>
  <c r="N329" i="4"/>
  <c r="N332" i="4"/>
  <c r="O329" i="4"/>
  <c r="O332" i="4"/>
  <c r="P329" i="4"/>
  <c r="P332" i="4"/>
  <c r="Q329" i="4"/>
  <c r="Q332" i="4"/>
  <c r="R329" i="4"/>
  <c r="R332" i="4"/>
  <c r="S329" i="4"/>
  <c r="S332" i="4"/>
  <c r="T329" i="4"/>
  <c r="T332" i="4"/>
  <c r="U329" i="4"/>
  <c r="U332" i="4"/>
  <c r="V329" i="4"/>
  <c r="V332" i="4"/>
  <c r="W329" i="4"/>
  <c r="W332" i="4"/>
  <c r="X329" i="4"/>
  <c r="X332" i="4"/>
  <c r="Y329" i="4"/>
  <c r="Y332" i="4"/>
  <c r="Z329" i="4"/>
  <c r="Z332" i="4"/>
  <c r="AA329" i="4"/>
  <c r="AA332" i="4"/>
  <c r="K164" i="4"/>
  <c r="Z81" i="4"/>
  <c r="Z83" i="4"/>
  <c r="Z90" i="4"/>
  <c r="Z97" i="4"/>
  <c r="H81" i="4"/>
  <c r="H83" i="4"/>
  <c r="H90" i="4"/>
  <c r="H97" i="4"/>
  <c r="O81" i="4"/>
  <c r="O83" i="4"/>
  <c r="O90" i="4"/>
  <c r="O97" i="4"/>
  <c r="W81" i="4"/>
  <c r="W83" i="4"/>
  <c r="W90" i="4"/>
  <c r="W97" i="4"/>
  <c r="P81" i="4"/>
  <c r="P83" i="4"/>
  <c r="P90" i="4"/>
  <c r="P97" i="4"/>
  <c r="Y81" i="4"/>
  <c r="Y83" i="4"/>
  <c r="Y90" i="4"/>
  <c r="Y97" i="4"/>
  <c r="U81" i="4"/>
  <c r="U83" i="4"/>
  <c r="U90" i="4"/>
  <c r="U97" i="4"/>
  <c r="Q164" i="4"/>
  <c r="H164" i="4"/>
  <c r="P23" i="9"/>
  <c r="K23" i="9"/>
  <c r="N29" i="7"/>
  <c r="L23" i="9"/>
  <c r="O23" i="9"/>
  <c r="M23" i="9"/>
  <c r="N123" i="7"/>
  <c r="N23" i="9"/>
  <c r="N169" i="7"/>
  <c r="O76" i="7"/>
  <c r="N76" i="7"/>
  <c r="O215" i="7"/>
  <c r="O214" i="7"/>
  <c r="O220" i="7"/>
  <c r="N75" i="7"/>
  <c r="N264" i="7"/>
  <c r="O27" i="7"/>
  <c r="N124" i="7"/>
  <c r="O121" i="7"/>
  <c r="O120" i="7"/>
  <c r="O126" i="7"/>
  <c r="O264" i="7"/>
  <c r="N263" i="7"/>
  <c r="O261" i="7"/>
  <c r="O260" i="7"/>
  <c r="O266" i="7"/>
  <c r="O73" i="7"/>
  <c r="O72" i="7"/>
  <c r="O78" i="7"/>
  <c r="N217" i="7"/>
  <c r="O218" i="7"/>
  <c r="O124" i="7"/>
  <c r="N261" i="7"/>
  <c r="N260" i="7"/>
  <c r="N266" i="7"/>
  <c r="N27" i="7"/>
  <c r="N218" i="7"/>
  <c r="N215" i="7"/>
  <c r="N214" i="7"/>
  <c r="N220" i="7"/>
  <c r="N73" i="7"/>
  <c r="N72" i="7"/>
  <c r="N78" i="7"/>
  <c r="O170" i="7"/>
  <c r="N167" i="7"/>
  <c r="N166" i="7"/>
  <c r="N172" i="7"/>
  <c r="X81" i="4"/>
  <c r="X83" i="4"/>
  <c r="X90" i="4"/>
  <c r="X97" i="4"/>
  <c r="J81" i="4"/>
  <c r="J83" i="4"/>
  <c r="J90" i="4"/>
  <c r="J97" i="4"/>
  <c r="Q81" i="4"/>
  <c r="Q83" i="4"/>
  <c r="Q90" i="4"/>
  <c r="Q97" i="4"/>
  <c r="T60" i="17"/>
  <c r="T62" i="17"/>
  <c r="T66" i="17"/>
  <c r="T70" i="17"/>
  <c r="T79" i="17"/>
  <c r="P60" i="17"/>
  <c r="P62" i="17"/>
  <c r="P66" i="17"/>
  <c r="P70" i="17"/>
  <c r="P79" i="17"/>
  <c r="K60" i="17"/>
  <c r="K62" i="17"/>
  <c r="K66" i="17"/>
  <c r="K70" i="17"/>
  <c r="K79" i="17"/>
  <c r="Q60" i="17"/>
  <c r="Q62" i="17"/>
  <c r="Q66" i="17"/>
  <c r="Q70" i="17"/>
  <c r="Q79" i="17"/>
  <c r="W60" i="17"/>
  <c r="W62" i="17"/>
  <c r="W66" i="17"/>
  <c r="W70" i="17"/>
  <c r="W79" i="17"/>
  <c r="U60" i="17"/>
  <c r="U62" i="17"/>
  <c r="U66" i="17"/>
  <c r="U70" i="17"/>
  <c r="U79" i="17"/>
  <c r="V60" i="17"/>
  <c r="V62" i="17"/>
  <c r="V66" i="17"/>
  <c r="V70" i="17"/>
  <c r="V79" i="17"/>
  <c r="S60" i="17"/>
  <c r="S62" i="17"/>
  <c r="S66" i="17"/>
  <c r="S70" i="17"/>
  <c r="S79" i="17"/>
  <c r="H60" i="17"/>
  <c r="H62" i="17"/>
  <c r="H66" i="17"/>
  <c r="H70" i="17"/>
  <c r="H79" i="17"/>
  <c r="O60" i="17"/>
  <c r="O62" i="17"/>
  <c r="O66" i="17"/>
  <c r="O70" i="17"/>
  <c r="O79" i="17"/>
  <c r="X60" i="17"/>
  <c r="X62" i="17"/>
  <c r="X66" i="17"/>
  <c r="X70" i="17"/>
  <c r="X79" i="17"/>
  <c r="M60" i="17"/>
  <c r="M62" i="17"/>
  <c r="M66" i="17"/>
  <c r="M70" i="17"/>
  <c r="M79" i="17"/>
  <c r="J60" i="17"/>
  <c r="J62" i="17"/>
  <c r="J66" i="17"/>
  <c r="J70" i="17"/>
  <c r="J79" i="17"/>
  <c r="L60" i="17"/>
  <c r="L62" i="17"/>
  <c r="L66" i="17"/>
  <c r="L70" i="17"/>
  <c r="L79" i="17"/>
  <c r="I60" i="17"/>
  <c r="I62" i="17"/>
  <c r="I66" i="17"/>
  <c r="I70" i="17"/>
  <c r="I79" i="17"/>
  <c r="N60" i="17"/>
  <c r="N62" i="17"/>
  <c r="N66" i="17"/>
  <c r="N70" i="17"/>
  <c r="N79" i="17"/>
  <c r="R60" i="17"/>
  <c r="R62" i="17"/>
  <c r="R66" i="17"/>
  <c r="R70" i="17"/>
  <c r="R79" i="17"/>
  <c r="AA60" i="17"/>
  <c r="AA62" i="17"/>
  <c r="AA66" i="17"/>
  <c r="AA70" i="17"/>
  <c r="AA79" i="17"/>
  <c r="Y60" i="17"/>
  <c r="Y62" i="17"/>
  <c r="Y66" i="17"/>
  <c r="Y70" i="17"/>
  <c r="Y79" i="17"/>
  <c r="Z60" i="17"/>
  <c r="Z62" i="17"/>
  <c r="Z66" i="17"/>
  <c r="Z70" i="17"/>
  <c r="Z79" i="17"/>
  <c r="L81" i="4"/>
  <c r="L83" i="4"/>
  <c r="L90" i="4"/>
  <c r="L97" i="4"/>
  <c r="S81" i="4"/>
  <c r="S83" i="4"/>
  <c r="S90" i="4"/>
  <c r="S97" i="4"/>
  <c r="O164" i="4"/>
  <c r="M235" i="7"/>
  <c r="M241" i="7"/>
  <c r="M240" i="7"/>
  <c r="N81" i="4"/>
  <c r="N83" i="4"/>
  <c r="N90" i="4"/>
  <c r="N97" i="4"/>
  <c r="R81" i="4"/>
  <c r="R83" i="4"/>
  <c r="R90" i="4"/>
  <c r="R97" i="4"/>
  <c r="V81" i="4"/>
  <c r="V83" i="4"/>
  <c r="V90" i="4"/>
  <c r="V97" i="4"/>
  <c r="N141" i="7"/>
  <c r="N147" i="7"/>
  <c r="N146" i="7"/>
  <c r="K81" i="4"/>
  <c r="K83" i="4"/>
  <c r="K90" i="4"/>
  <c r="K97" i="4"/>
  <c r="I81" i="4"/>
  <c r="I83" i="4"/>
  <c r="I90" i="4"/>
  <c r="I97" i="4"/>
  <c r="M81" i="4"/>
  <c r="M83" i="4"/>
  <c r="M90" i="4"/>
  <c r="M97" i="4"/>
  <c r="AA81" i="4"/>
  <c r="AA83" i="4"/>
  <c r="AA90" i="4"/>
  <c r="AA97" i="4"/>
  <c r="T81" i="4"/>
  <c r="T83" i="4"/>
  <c r="T90" i="4"/>
  <c r="T97" i="4"/>
  <c r="P164" i="4"/>
  <c r="J164" i="4"/>
  <c r="V150" i="17"/>
  <c r="V152" i="17"/>
  <c r="V156" i="17"/>
  <c r="V160" i="17"/>
  <c r="V169" i="17"/>
  <c r="G99" i="4"/>
  <c r="L150" i="17"/>
  <c r="L152" i="17"/>
  <c r="L156" i="17"/>
  <c r="L160" i="17"/>
  <c r="L169" i="17"/>
  <c r="AA150" i="17"/>
  <c r="AA152" i="17"/>
  <c r="AA156" i="17"/>
  <c r="AA160" i="17"/>
  <c r="AA169" i="17"/>
  <c r="R81" i="17"/>
  <c r="R83" i="17"/>
  <c r="R90" i="17"/>
  <c r="R97" i="17"/>
  <c r="T81" i="17"/>
  <c r="T83" i="17"/>
  <c r="T90" i="17"/>
  <c r="T97" i="17"/>
  <c r="N281" i="7"/>
  <c r="N287" i="7"/>
  <c r="N286" i="7"/>
  <c r="Z81" i="17"/>
  <c r="Z83" i="17"/>
  <c r="Z90" i="17"/>
  <c r="Z97" i="17"/>
  <c r="Q81" i="17"/>
  <c r="Q83" i="17"/>
  <c r="Q90" i="17"/>
  <c r="Q97" i="17"/>
  <c r="H81" i="17"/>
  <c r="H83" i="17"/>
  <c r="H90" i="17"/>
  <c r="H97" i="17"/>
  <c r="M81" i="17"/>
  <c r="M83" i="17"/>
  <c r="M90" i="17"/>
  <c r="M97" i="17"/>
  <c r="Y81" i="17"/>
  <c r="Y83" i="17"/>
  <c r="Y90" i="17"/>
  <c r="Y97" i="17"/>
  <c r="K81" i="17"/>
  <c r="K83" i="17"/>
  <c r="K90" i="17"/>
  <c r="K97" i="17"/>
  <c r="O281" i="7"/>
  <c r="O287" i="7"/>
  <c r="O286" i="7"/>
  <c r="O240" i="7"/>
  <c r="O235" i="7"/>
  <c r="O241" i="7"/>
  <c r="P24" i="9"/>
  <c r="O263" i="7"/>
  <c r="O24" i="9"/>
  <c r="M24" i="9"/>
  <c r="L24" i="9"/>
  <c r="O75" i="7"/>
  <c r="N24" i="9"/>
  <c r="O169" i="7"/>
  <c r="K24" i="9"/>
  <c r="O29" i="7"/>
  <c r="P170" i="7"/>
  <c r="J81" i="17"/>
  <c r="J83" i="17"/>
  <c r="J90" i="17"/>
  <c r="J97" i="17"/>
  <c r="W81" i="17"/>
  <c r="W83" i="17"/>
  <c r="W90" i="17"/>
  <c r="W97" i="17"/>
  <c r="N187" i="7"/>
  <c r="N193" i="7"/>
  <c r="N192" i="7"/>
  <c r="N98" i="7"/>
  <c r="N93" i="7"/>
  <c r="N99" i="7"/>
  <c r="O141" i="7"/>
  <c r="O147" i="7"/>
  <c r="O146" i="7"/>
  <c r="N81" i="17"/>
  <c r="N83" i="17"/>
  <c r="N90" i="17"/>
  <c r="N97" i="17"/>
  <c r="S81" i="17"/>
  <c r="S83" i="17"/>
  <c r="S90" i="17"/>
  <c r="S97" i="17"/>
  <c r="I81" i="17"/>
  <c r="I83" i="17"/>
  <c r="I90" i="17"/>
  <c r="I97" i="17"/>
  <c r="X81" i="17"/>
  <c r="X83" i="17"/>
  <c r="X90" i="17"/>
  <c r="X97" i="17"/>
  <c r="V81" i="17"/>
  <c r="V83" i="17"/>
  <c r="V90" i="17"/>
  <c r="V97" i="17"/>
  <c r="N235" i="7"/>
  <c r="N241" i="7"/>
  <c r="N240" i="7"/>
  <c r="AA81" i="17"/>
  <c r="AA83" i="17"/>
  <c r="AA90" i="17"/>
  <c r="AA97" i="17"/>
  <c r="L81" i="17"/>
  <c r="L83" i="17"/>
  <c r="L90" i="17"/>
  <c r="L97" i="17"/>
  <c r="O81" i="17"/>
  <c r="O83" i="17"/>
  <c r="O90" i="17"/>
  <c r="O97" i="17"/>
  <c r="U81" i="17"/>
  <c r="U83" i="17"/>
  <c r="U90" i="17"/>
  <c r="U97" i="17"/>
  <c r="P81" i="17"/>
  <c r="P83" i="17"/>
  <c r="P90" i="17"/>
  <c r="P97" i="17"/>
  <c r="O98" i="7"/>
  <c r="O93" i="7"/>
  <c r="O99" i="7"/>
  <c r="O217" i="7"/>
  <c r="O167" i="7"/>
  <c r="O166" i="7"/>
  <c r="O172" i="7"/>
  <c r="S150" i="17"/>
  <c r="S152" i="17"/>
  <c r="S156" i="17"/>
  <c r="S160" i="17"/>
  <c r="S169" i="17"/>
  <c r="P150" i="17"/>
  <c r="P152" i="17"/>
  <c r="P156" i="17"/>
  <c r="P160" i="17"/>
  <c r="P169" i="17"/>
  <c r="P171" i="17"/>
  <c r="P173" i="17"/>
  <c r="P180" i="17"/>
  <c r="P187" i="17"/>
  <c r="U150" i="17"/>
  <c r="U152" i="17"/>
  <c r="U156" i="17"/>
  <c r="U160" i="17"/>
  <c r="U169" i="17"/>
  <c r="I150" i="17"/>
  <c r="I152" i="17"/>
  <c r="I156" i="17"/>
  <c r="I160" i="17"/>
  <c r="I169" i="17"/>
  <c r="I171" i="17"/>
  <c r="I173" i="17"/>
  <c r="I180" i="17"/>
  <c r="I187" i="17"/>
  <c r="M150" i="17"/>
  <c r="M152" i="17"/>
  <c r="M156" i="17"/>
  <c r="M160" i="17"/>
  <c r="M169" i="17"/>
  <c r="W150" i="17"/>
  <c r="W152" i="17"/>
  <c r="W156" i="17"/>
  <c r="W160" i="17"/>
  <c r="W169" i="17"/>
  <c r="K150" i="17"/>
  <c r="K152" i="17"/>
  <c r="K156" i="17"/>
  <c r="K160" i="17"/>
  <c r="K169" i="17"/>
  <c r="J150" i="17"/>
  <c r="J152" i="17"/>
  <c r="J156" i="17"/>
  <c r="J160" i="17"/>
  <c r="J169" i="17"/>
  <c r="T150" i="17"/>
  <c r="T152" i="17"/>
  <c r="T156" i="17"/>
  <c r="T160" i="17"/>
  <c r="T169" i="17"/>
  <c r="T171" i="17"/>
  <c r="T173" i="17"/>
  <c r="T180" i="17"/>
  <c r="T187" i="17"/>
  <c r="Q150" i="17"/>
  <c r="Q152" i="17"/>
  <c r="Q156" i="17"/>
  <c r="Q160" i="17"/>
  <c r="Q169" i="17"/>
  <c r="Q171" i="17"/>
  <c r="Q173" i="17"/>
  <c r="Q180" i="17"/>
  <c r="Q187" i="17"/>
  <c r="N150" i="17"/>
  <c r="N152" i="17"/>
  <c r="N156" i="17"/>
  <c r="N160" i="17"/>
  <c r="N169" i="17"/>
  <c r="Z150" i="17"/>
  <c r="Z152" i="17"/>
  <c r="Z156" i="17"/>
  <c r="Z160" i="17"/>
  <c r="Z169" i="17"/>
  <c r="Z171" i="17"/>
  <c r="Z173" i="17"/>
  <c r="Z180" i="17"/>
  <c r="Z187" i="17"/>
  <c r="H150" i="17"/>
  <c r="H152" i="17"/>
  <c r="H156" i="17"/>
  <c r="H160" i="17"/>
  <c r="H169" i="17"/>
  <c r="H171" i="17"/>
  <c r="H173" i="17"/>
  <c r="H180" i="17"/>
  <c r="H187" i="17"/>
  <c r="R150" i="17"/>
  <c r="R152" i="17"/>
  <c r="R156" i="17"/>
  <c r="R160" i="17"/>
  <c r="R169" i="17"/>
  <c r="R171" i="17"/>
  <c r="R173" i="17"/>
  <c r="R180" i="17"/>
  <c r="R187" i="17"/>
  <c r="Y150" i="17"/>
  <c r="Y152" i="17"/>
  <c r="Y156" i="17"/>
  <c r="Y160" i="17"/>
  <c r="Y169" i="17"/>
  <c r="X150" i="17"/>
  <c r="X152" i="17"/>
  <c r="X156" i="17"/>
  <c r="X160" i="17"/>
  <c r="X169" i="17"/>
  <c r="X171" i="17"/>
  <c r="X173" i="17"/>
  <c r="X180" i="17"/>
  <c r="X187" i="17"/>
  <c r="O150" i="17"/>
  <c r="O152" i="17"/>
  <c r="O156" i="17"/>
  <c r="O160" i="17"/>
  <c r="O169" i="17"/>
  <c r="O192" i="7"/>
  <c r="O187" i="7"/>
  <c r="O193" i="7"/>
  <c r="N171" i="17"/>
  <c r="N173" i="17"/>
  <c r="N180" i="17"/>
  <c r="N187" i="17"/>
  <c r="L146" i="1"/>
  <c r="M25" i="9"/>
  <c r="L25" i="9"/>
  <c r="P25" i="9"/>
  <c r="P263" i="7"/>
  <c r="O25" i="9"/>
  <c r="K25" i="9"/>
  <c r="P29" i="7"/>
  <c r="N25" i="9"/>
  <c r="Q170" i="7"/>
  <c r="P169" i="7"/>
  <c r="P123" i="7"/>
  <c r="Q215" i="7"/>
  <c r="Q214" i="7"/>
  <c r="Q220" i="7"/>
  <c r="P124" i="7"/>
  <c r="Q124" i="7"/>
  <c r="Q73" i="7"/>
  <c r="Q72" i="7"/>
  <c r="Q78" i="7"/>
  <c r="P121" i="7"/>
  <c r="P120" i="7"/>
  <c r="P126" i="7"/>
  <c r="P217" i="7"/>
  <c r="Q27" i="7"/>
  <c r="P76" i="7"/>
  <c r="Q121" i="7"/>
  <c r="Q120" i="7"/>
  <c r="Q126" i="7"/>
  <c r="P167" i="7"/>
  <c r="P166" i="7"/>
  <c r="P172" i="7"/>
  <c r="P27" i="7"/>
  <c r="Q76" i="7"/>
  <c r="P264" i="7"/>
  <c r="Q261" i="7"/>
  <c r="Q260" i="7"/>
  <c r="Q266" i="7"/>
  <c r="P215" i="7"/>
  <c r="P214" i="7"/>
  <c r="P220" i="7"/>
  <c r="P73" i="7"/>
  <c r="P72" i="7"/>
  <c r="P78" i="7"/>
  <c r="P75" i="7"/>
  <c r="P218" i="7"/>
  <c r="P261" i="7"/>
  <c r="P260" i="7"/>
  <c r="P266" i="7"/>
  <c r="Q264" i="7"/>
  <c r="Q167" i="7"/>
  <c r="Q166" i="7"/>
  <c r="Q172" i="7"/>
  <c r="Y150" i="4"/>
  <c r="Y152" i="4"/>
  <c r="Y156" i="4"/>
  <c r="Y160" i="4"/>
  <c r="Y169" i="4"/>
  <c r="U150" i="4"/>
  <c r="U152" i="4"/>
  <c r="U156" i="4"/>
  <c r="U160" i="4"/>
  <c r="U169" i="4"/>
  <c r="X150" i="4"/>
  <c r="X152" i="4"/>
  <c r="X156" i="4"/>
  <c r="X160" i="4"/>
  <c r="X169" i="4"/>
  <c r="Z150" i="4"/>
  <c r="Z152" i="4"/>
  <c r="Z156" i="4"/>
  <c r="Z160" i="4"/>
  <c r="Z169" i="4"/>
  <c r="O150" i="4"/>
  <c r="O152" i="4"/>
  <c r="O156" i="4"/>
  <c r="O160" i="4"/>
  <c r="O169" i="4"/>
  <c r="N150" i="4"/>
  <c r="N152" i="4"/>
  <c r="N156" i="4"/>
  <c r="N160" i="4"/>
  <c r="N169" i="4"/>
  <c r="W150" i="4"/>
  <c r="W152" i="4"/>
  <c r="W156" i="4"/>
  <c r="W160" i="4"/>
  <c r="W169" i="4"/>
  <c r="K150" i="4"/>
  <c r="K152" i="4"/>
  <c r="K156" i="4"/>
  <c r="K160" i="4"/>
  <c r="K169" i="4"/>
  <c r="R150" i="4"/>
  <c r="R152" i="4"/>
  <c r="R156" i="4"/>
  <c r="R160" i="4"/>
  <c r="R169" i="4"/>
  <c r="T150" i="4"/>
  <c r="T152" i="4"/>
  <c r="T156" i="4"/>
  <c r="T160" i="4"/>
  <c r="T169" i="4"/>
  <c r="I150" i="4"/>
  <c r="I152" i="4"/>
  <c r="I156" i="4"/>
  <c r="I160" i="4"/>
  <c r="I169" i="4"/>
  <c r="M150" i="4"/>
  <c r="M152" i="4"/>
  <c r="M156" i="4"/>
  <c r="M160" i="4"/>
  <c r="M169" i="4"/>
  <c r="S150" i="4"/>
  <c r="S152" i="4"/>
  <c r="S156" i="4"/>
  <c r="S160" i="4"/>
  <c r="S169" i="4"/>
  <c r="P150" i="4"/>
  <c r="P152" i="4"/>
  <c r="P156" i="4"/>
  <c r="P160" i="4"/>
  <c r="P169" i="4"/>
  <c r="L150" i="4"/>
  <c r="L152" i="4"/>
  <c r="L156" i="4"/>
  <c r="L160" i="4"/>
  <c r="L169" i="4"/>
  <c r="J150" i="4"/>
  <c r="J152" i="4"/>
  <c r="J156" i="4"/>
  <c r="J160" i="4"/>
  <c r="J169" i="4"/>
  <c r="Q150" i="4"/>
  <c r="Q152" i="4"/>
  <c r="Q156" i="4"/>
  <c r="Q160" i="4"/>
  <c r="Q169" i="4"/>
  <c r="V150" i="4"/>
  <c r="V152" i="4"/>
  <c r="V156" i="4"/>
  <c r="V160" i="4"/>
  <c r="V169" i="4"/>
  <c r="AA150" i="4"/>
  <c r="AA152" i="4"/>
  <c r="AA156" i="4"/>
  <c r="AA160" i="4"/>
  <c r="AA169" i="4"/>
  <c r="H150" i="4"/>
  <c r="H152" i="4"/>
  <c r="H156" i="4"/>
  <c r="H160" i="4"/>
  <c r="H169" i="4"/>
  <c r="Y171" i="17"/>
  <c r="Y173" i="17"/>
  <c r="Y180" i="17"/>
  <c r="Y187" i="17"/>
  <c r="V171" i="17"/>
  <c r="V173" i="17"/>
  <c r="V180" i="17"/>
  <c r="V187" i="17"/>
  <c r="G99" i="17"/>
  <c r="AA171" i="17"/>
  <c r="AA173" i="17"/>
  <c r="AA180" i="17"/>
  <c r="AA187" i="17"/>
  <c r="L171" i="17"/>
  <c r="L173" i="17"/>
  <c r="L180" i="17"/>
  <c r="L187" i="17"/>
  <c r="S171" i="17"/>
  <c r="S173" i="17"/>
  <c r="S180" i="17"/>
  <c r="S187" i="17"/>
  <c r="U171" i="17"/>
  <c r="U173" i="17"/>
  <c r="U180" i="17"/>
  <c r="U187" i="17"/>
  <c r="W171" i="17"/>
  <c r="W173" i="17"/>
  <c r="W180" i="17"/>
  <c r="W187" i="17"/>
  <c r="K171" i="17"/>
  <c r="K173" i="17"/>
  <c r="K180" i="17"/>
  <c r="K187" i="17"/>
  <c r="J171" i="17"/>
  <c r="J173" i="17"/>
  <c r="J180" i="17"/>
  <c r="J187" i="17"/>
  <c r="M171" i="17"/>
  <c r="M173" i="17"/>
  <c r="M180" i="17"/>
  <c r="M187" i="17"/>
  <c r="O171" i="17"/>
  <c r="O173" i="17"/>
  <c r="O180" i="17"/>
  <c r="O187" i="17"/>
  <c r="G189" i="17"/>
  <c r="Q171" i="4"/>
  <c r="Q173" i="4"/>
  <c r="Q180" i="4"/>
  <c r="Q187" i="4"/>
  <c r="O171" i="4"/>
  <c r="O173" i="4"/>
  <c r="O180" i="4"/>
  <c r="O187" i="4"/>
  <c r="Q192" i="7"/>
  <c r="Q187" i="7"/>
  <c r="Q193" i="7"/>
  <c r="P240" i="7"/>
  <c r="P235" i="7"/>
  <c r="P241" i="7"/>
  <c r="Q235" i="7"/>
  <c r="Q241" i="7"/>
  <c r="Q240" i="7"/>
  <c r="H171" i="4"/>
  <c r="H173" i="4"/>
  <c r="H180" i="4"/>
  <c r="H187" i="4"/>
  <c r="J171" i="4"/>
  <c r="J173" i="4"/>
  <c r="J180" i="4"/>
  <c r="J187" i="4"/>
  <c r="M171" i="4"/>
  <c r="M173" i="4"/>
  <c r="M180" i="4"/>
  <c r="M187" i="4"/>
  <c r="K171" i="4"/>
  <c r="K173" i="4"/>
  <c r="K180" i="4"/>
  <c r="K187" i="4"/>
  <c r="Z171" i="4"/>
  <c r="Z173" i="4"/>
  <c r="Z180" i="4"/>
  <c r="Z187" i="4"/>
  <c r="Q93" i="7"/>
  <c r="Q99" i="7"/>
  <c r="Q98" i="7"/>
  <c r="S171" i="4"/>
  <c r="S173" i="4"/>
  <c r="S180" i="4"/>
  <c r="S187" i="4"/>
  <c r="R171" i="4"/>
  <c r="R173" i="4"/>
  <c r="R180" i="4"/>
  <c r="R187" i="4"/>
  <c r="Y171" i="4"/>
  <c r="Y173" i="4"/>
  <c r="Y180" i="4"/>
  <c r="Y187" i="4"/>
  <c r="P192" i="7"/>
  <c r="P187" i="7"/>
  <c r="P193" i="7"/>
  <c r="P141" i="7"/>
  <c r="P147" i="7"/>
  <c r="P146" i="7"/>
  <c r="AA171" i="4"/>
  <c r="AA173" i="4"/>
  <c r="AA180" i="4"/>
  <c r="AA187" i="4"/>
  <c r="L171" i="4"/>
  <c r="L173" i="4"/>
  <c r="L180" i="4"/>
  <c r="L187" i="4"/>
  <c r="I171" i="4"/>
  <c r="I173" i="4"/>
  <c r="I180" i="4"/>
  <c r="I187" i="4"/>
  <c r="W171" i="4"/>
  <c r="W173" i="4"/>
  <c r="W180" i="4"/>
  <c r="W187" i="4"/>
  <c r="X171" i="4"/>
  <c r="X173" i="4"/>
  <c r="X180" i="4"/>
  <c r="X187" i="4"/>
  <c r="Q286" i="7"/>
  <c r="Q281" i="7"/>
  <c r="Q287" i="7"/>
  <c r="Q141" i="7"/>
  <c r="Q147" i="7"/>
  <c r="Q146" i="7"/>
  <c r="V171" i="4"/>
  <c r="V173" i="4"/>
  <c r="V180" i="4"/>
  <c r="V187" i="4"/>
  <c r="P171" i="4"/>
  <c r="P173" i="4"/>
  <c r="P180" i="4"/>
  <c r="P187" i="4"/>
  <c r="T171" i="4"/>
  <c r="T173" i="4"/>
  <c r="T180" i="4"/>
  <c r="T187" i="4"/>
  <c r="N171" i="4"/>
  <c r="N173" i="4"/>
  <c r="N180" i="4"/>
  <c r="N187" i="4"/>
  <c r="U171" i="4"/>
  <c r="U173" i="4"/>
  <c r="U180" i="4"/>
  <c r="U187" i="4"/>
  <c r="P281" i="7"/>
  <c r="P287" i="7"/>
  <c r="P286" i="7"/>
  <c r="P98" i="7"/>
  <c r="P93" i="7"/>
  <c r="P99" i="7"/>
  <c r="P26" i="9"/>
  <c r="Q263" i="7"/>
  <c r="N26" i="9"/>
  <c r="Q169" i="7"/>
  <c r="L26" i="9"/>
  <c r="Q75" i="7"/>
  <c r="K26" i="9"/>
  <c r="Q29" i="7"/>
  <c r="M26" i="9"/>
  <c r="O26" i="9"/>
  <c r="Q217" i="7"/>
  <c r="Q123" i="7"/>
  <c r="G189" i="4"/>
  <c r="N27" i="9"/>
  <c r="L27" i="9"/>
  <c r="K27" i="9"/>
  <c r="P27" i="9"/>
  <c r="O27" i="9"/>
  <c r="M27" i="9"/>
  <c r="S27" i="7"/>
  <c r="S167" i="7"/>
  <c r="S166" i="7"/>
  <c r="S172" i="7"/>
  <c r="R121" i="7"/>
  <c r="R120" i="7"/>
  <c r="R126" i="7"/>
  <c r="R264" i="7"/>
  <c r="R261" i="7"/>
  <c r="R260" i="7"/>
  <c r="R266" i="7"/>
  <c r="S76" i="7"/>
  <c r="R76" i="7"/>
  <c r="R170" i="7"/>
  <c r="S73" i="7"/>
  <c r="S72" i="7"/>
  <c r="S78" i="7"/>
  <c r="S261" i="7"/>
  <c r="S260" i="7"/>
  <c r="S266" i="7"/>
  <c r="R215" i="7"/>
  <c r="R214" i="7"/>
  <c r="R220" i="7"/>
  <c r="S264" i="7"/>
  <c r="R75" i="7"/>
  <c r="S215" i="7"/>
  <c r="S214" i="7"/>
  <c r="S220" i="7"/>
  <c r="R123" i="7"/>
  <c r="R263" i="7"/>
  <c r="R218" i="7"/>
  <c r="S124" i="7"/>
  <c r="S170" i="7"/>
  <c r="R73" i="7"/>
  <c r="R72" i="7"/>
  <c r="R78" i="7"/>
  <c r="R124" i="7"/>
  <c r="R27" i="7"/>
  <c r="S121" i="7"/>
  <c r="S120" i="7"/>
  <c r="S126" i="7"/>
  <c r="N146" i="1"/>
  <c r="N147" i="1"/>
  <c r="R146" i="7"/>
  <c r="R141" i="7"/>
  <c r="R147" i="7"/>
  <c r="S146" i="7"/>
  <c r="S141" i="7"/>
  <c r="S147" i="7"/>
  <c r="R240" i="7"/>
  <c r="R235" i="7"/>
  <c r="R241" i="7"/>
  <c r="S281" i="7"/>
  <c r="S287" i="7"/>
  <c r="S286" i="7"/>
  <c r="R286" i="7"/>
  <c r="R281" i="7"/>
  <c r="R287" i="7"/>
  <c r="S192" i="7"/>
  <c r="S187" i="7"/>
  <c r="S193" i="7"/>
  <c r="P28" i="9"/>
  <c r="O28" i="9"/>
  <c r="N28" i="9"/>
  <c r="K28" i="9"/>
  <c r="L28" i="9"/>
  <c r="M28" i="9"/>
  <c r="R98" i="7"/>
  <c r="R93" i="7"/>
  <c r="R99" i="7"/>
  <c r="S98" i="7"/>
  <c r="S93" i="7"/>
  <c r="S99" i="7"/>
  <c r="S240" i="7"/>
  <c r="S235" i="7"/>
  <c r="S241" i="7"/>
  <c r="L68" i="16"/>
  <c r="N29" i="9"/>
  <c r="L29" i="9"/>
  <c r="O29" i="9"/>
  <c r="P29" i="9"/>
  <c r="M29" i="9"/>
  <c r="K29" i="9"/>
  <c r="M30" i="9"/>
  <c r="O30" i="9"/>
  <c r="L30" i="9"/>
  <c r="K30" i="9"/>
  <c r="P30" i="9"/>
  <c r="N30" i="9"/>
  <c r="L31" i="9"/>
  <c r="M31" i="9"/>
  <c r="N31" i="9"/>
  <c r="K31" i="9"/>
  <c r="P31" i="9"/>
  <c r="O31" i="9"/>
  <c r="O32" i="9"/>
  <c r="L32" i="9"/>
  <c r="N32" i="9"/>
  <c r="M32" i="9"/>
  <c r="P32" i="9"/>
  <c r="K32" i="9"/>
  <c r="P33" i="9"/>
  <c r="K33" i="9"/>
  <c r="N33" i="9"/>
  <c r="L33" i="9"/>
  <c r="O33" i="9"/>
  <c r="M33" i="9"/>
  <c r="O34" i="9"/>
  <c r="K34" i="9"/>
  <c r="P34" i="9"/>
  <c r="N34" i="9"/>
  <c r="M34" i="9"/>
  <c r="L34" i="9"/>
  <c r="L35" i="9"/>
  <c r="M35" i="9"/>
  <c r="N35" i="9"/>
  <c r="P35" i="9"/>
  <c r="O35" i="9"/>
  <c r="K35" i="9"/>
  <c r="L74" i="16"/>
  <c r="P36" i="9"/>
  <c r="M36" i="9"/>
  <c r="O36" i="9"/>
  <c r="L36" i="9"/>
  <c r="N36" i="9"/>
  <c r="K36" i="9"/>
  <c r="L75" i="16"/>
  <c r="N135" i="1"/>
  <c r="L37" i="9"/>
  <c r="M37" i="9"/>
  <c r="P37" i="9"/>
  <c r="K37" i="9"/>
  <c r="O37" i="9"/>
  <c r="N37" i="9"/>
  <c r="M38" i="9"/>
  <c r="O38" i="9"/>
  <c r="K38" i="9"/>
  <c r="L38" i="9"/>
  <c r="N38" i="9"/>
  <c r="P38" i="9"/>
  <c r="N39" i="9"/>
  <c r="L39" i="9"/>
  <c r="K39" i="9"/>
  <c r="O39" i="9"/>
  <c r="M39" i="9"/>
  <c r="P39" i="9"/>
  <c r="P40" i="9"/>
  <c r="M40" i="9"/>
  <c r="L40" i="9"/>
  <c r="O40" i="9"/>
  <c r="N40" i="9"/>
  <c r="K40" i="9"/>
  <c r="P41" i="9"/>
  <c r="O41" i="9"/>
  <c r="N41" i="9"/>
  <c r="L41" i="9"/>
  <c r="M41" i="9"/>
  <c r="K41" i="9"/>
  <c r="M42" i="9"/>
  <c r="P42" i="9"/>
  <c r="O42" i="9"/>
  <c r="L42" i="9"/>
  <c r="K42" i="9"/>
  <c r="N42" i="9"/>
  <c r="L43" i="9"/>
  <c r="M43" i="9"/>
  <c r="N43" i="9"/>
  <c r="O43" i="9"/>
  <c r="P43" i="9"/>
  <c r="K43" i="9"/>
  <c r="N44" i="9"/>
  <c r="L44" i="9"/>
  <c r="K44" i="9"/>
  <c r="P44" i="9"/>
  <c r="M44" i="9"/>
  <c r="O44" i="9"/>
  <c r="O45" i="9"/>
  <c r="M45" i="9"/>
  <c r="P45" i="9"/>
  <c r="L45" i="9"/>
  <c r="N45" i="9"/>
  <c r="K45" i="9"/>
  <c r="O46" i="9"/>
  <c r="M46" i="9"/>
  <c r="N46" i="9"/>
  <c r="P46" i="9"/>
  <c r="L46" i="9"/>
  <c r="K46" i="9"/>
  <c r="P47" i="9"/>
  <c r="K47" i="9"/>
  <c r="L47" i="9"/>
  <c r="M47" i="9"/>
  <c r="N47" i="9"/>
  <c r="O47" i="9"/>
  <c r="P48" i="9"/>
  <c r="M48" i="9"/>
  <c r="O48" i="9"/>
  <c r="L48" i="9"/>
  <c r="K48" i="9"/>
  <c r="N48" i="9"/>
  <c r="L49" i="9"/>
  <c r="N49" i="9"/>
  <c r="O49" i="9"/>
  <c r="M49" i="9"/>
  <c r="K49" i="9"/>
  <c r="P49" i="9"/>
  <c r="O50" i="9"/>
  <c r="L50" i="9"/>
  <c r="K50" i="9"/>
  <c r="N50" i="9"/>
  <c r="P50" i="9"/>
  <c r="M50" i="9"/>
  <c r="N51" i="9"/>
  <c r="P51" i="9"/>
  <c r="K51" i="9"/>
  <c r="L51" i="9"/>
  <c r="M51" i="9"/>
  <c r="O51" i="9"/>
  <c r="M52" i="9"/>
  <c r="P52" i="9"/>
  <c r="O52" i="9"/>
  <c r="L52" i="9"/>
  <c r="K52" i="9"/>
  <c r="N52" i="9"/>
  <c r="N53" i="9"/>
  <c r="L53" i="9"/>
  <c r="M53" i="9"/>
  <c r="O53" i="9"/>
  <c r="K53" i="9"/>
  <c r="P53" i="9"/>
  <c r="L54" i="9"/>
  <c r="N54" i="9"/>
  <c r="O54" i="9"/>
  <c r="P54" i="9"/>
  <c r="M54" i="9"/>
  <c r="K54" i="9"/>
  <c r="L55" i="9"/>
  <c r="N55" i="9"/>
  <c r="M55" i="9"/>
  <c r="O55" i="9"/>
  <c r="K55" i="9"/>
  <c r="P55" i="9"/>
  <c r="P56" i="9"/>
  <c r="M56" i="9"/>
  <c r="O56" i="9"/>
  <c r="L56" i="9"/>
  <c r="K56" i="9"/>
  <c r="N56" i="9"/>
  <c r="L75" i="7"/>
  <c r="AE263" i="7"/>
  <c r="AQ123" i="7"/>
  <c r="R167" i="7"/>
  <c r="R166" i="7"/>
  <c r="R172" i="7"/>
  <c r="BD217" i="7"/>
  <c r="AD169" i="7"/>
  <c r="AX167" i="7"/>
  <c r="AX166" i="7"/>
  <c r="AX172" i="7"/>
  <c r="Q218" i="7"/>
  <c r="W121" i="7"/>
  <c r="W120" i="7"/>
  <c r="W126" i="7"/>
  <c r="AZ76" i="7"/>
  <c r="AQ263" i="7"/>
  <c r="BC124" i="7"/>
  <c r="AR121" i="7"/>
  <c r="AR120" i="7"/>
  <c r="AR126" i="7"/>
  <c r="AA123" i="7"/>
  <c r="AJ123" i="7"/>
  <c r="AN75" i="7"/>
  <c r="U215" i="7"/>
  <c r="U214" i="7"/>
  <c r="U220" i="7"/>
  <c r="Y217" i="7"/>
  <c r="AV76" i="7"/>
  <c r="O123" i="7"/>
  <c r="AV121" i="7"/>
  <c r="AV120" i="7"/>
  <c r="AV126" i="7"/>
  <c r="AP169" i="7"/>
  <c r="AJ217" i="7"/>
  <c r="AN124" i="7"/>
  <c r="AE123" i="7"/>
  <c r="BE218" i="7"/>
  <c r="AH261" i="7"/>
  <c r="AH260" i="7"/>
  <c r="AH266" i="7"/>
  <c r="AE75" i="7"/>
  <c r="AE76" i="7"/>
  <c r="AO123" i="7"/>
  <c r="X27" i="7"/>
  <c r="Y27" i="7"/>
  <c r="AM169" i="7"/>
  <c r="X76" i="7"/>
  <c r="AU264" i="7"/>
  <c r="AO261" i="7"/>
  <c r="AO260" i="7"/>
  <c r="AO266" i="7"/>
  <c r="BD121" i="7"/>
  <c r="BD120" i="7"/>
  <c r="BD126" i="7"/>
  <c r="AQ124" i="7"/>
  <c r="T76" i="7"/>
  <c r="X261" i="7"/>
  <c r="X260" i="7"/>
  <c r="X266" i="7"/>
  <c r="T217" i="7"/>
  <c r="AQ76" i="7"/>
  <c r="AA124" i="7"/>
  <c r="R217" i="7"/>
  <c r="AL215" i="7"/>
  <c r="AL214" i="7"/>
  <c r="AL220" i="7"/>
  <c r="AX261" i="7"/>
  <c r="AX260" i="7"/>
  <c r="AX266" i="7"/>
  <c r="R29" i="7"/>
  <c r="AJ124" i="7"/>
  <c r="AF261" i="7"/>
  <c r="AF260" i="7"/>
  <c r="AF266" i="7"/>
  <c r="BD123" i="7"/>
  <c r="AR264" i="7"/>
  <c r="V76" i="7"/>
  <c r="BA217" i="7"/>
  <c r="AX123" i="7"/>
  <c r="AC263" i="7"/>
  <c r="AZ170" i="7"/>
  <c r="AV170" i="7"/>
  <c r="AC124" i="7"/>
  <c r="AG75" i="7"/>
  <c r="Z167" i="7"/>
  <c r="Z166" i="7"/>
  <c r="Z172" i="7"/>
  <c r="AP170" i="7"/>
  <c r="AV217" i="7"/>
  <c r="AM167" i="7"/>
  <c r="AM166" i="7"/>
  <c r="AM172" i="7"/>
  <c r="AM73" i="7"/>
  <c r="AM72" i="7"/>
  <c r="AM78" i="7"/>
  <c r="AI215" i="7"/>
  <c r="AI214" i="7"/>
  <c r="AI220" i="7"/>
  <c r="AT27" i="7"/>
  <c r="U264" i="7"/>
  <c r="AS76" i="7"/>
  <c r="S218" i="7"/>
  <c r="BC263" i="7"/>
  <c r="AA29" i="7"/>
  <c r="AY261" i="7"/>
  <c r="AY260" i="7"/>
  <c r="AY266" i="7"/>
  <c r="AM124" i="7"/>
  <c r="U121" i="7"/>
  <c r="U120" i="7"/>
  <c r="U126" i="7"/>
  <c r="AS261" i="7"/>
  <c r="AS260" i="7"/>
  <c r="AS266" i="7"/>
  <c r="AK27" i="7"/>
  <c r="Z76" i="7"/>
  <c r="BD218" i="7"/>
  <c r="AO218" i="7"/>
  <c r="BA261" i="7"/>
  <c r="BA260" i="7"/>
  <c r="BA266" i="7"/>
  <c r="AI121" i="7"/>
  <c r="AI120" i="7"/>
  <c r="AI126" i="7"/>
  <c r="BA73" i="7"/>
  <c r="BA72" i="7"/>
  <c r="BA78" i="7"/>
  <c r="AV123" i="7"/>
  <c r="AK264" i="7"/>
  <c r="AN215" i="7"/>
  <c r="AN214" i="7"/>
  <c r="AN220" i="7"/>
  <c r="BB29" i="7"/>
  <c r="W218" i="7"/>
  <c r="AU123" i="7"/>
  <c r="BC29" i="7"/>
  <c r="BB263" i="7"/>
  <c r="V170" i="7"/>
  <c r="W76" i="7"/>
  <c r="BC217" i="7"/>
  <c r="T167" i="7"/>
  <c r="T166" i="7"/>
  <c r="T172" i="7"/>
  <c r="AK121" i="7"/>
  <c r="AK120" i="7"/>
  <c r="AK126" i="7"/>
  <c r="T261" i="7"/>
  <c r="T260" i="7"/>
  <c r="T266" i="7"/>
  <c r="AW73" i="7"/>
  <c r="AW72" i="7"/>
  <c r="AW78" i="7"/>
  <c r="AS75" i="7"/>
  <c r="AU215" i="7"/>
  <c r="AU214" i="7"/>
  <c r="AU220" i="7"/>
  <c r="V264" i="7"/>
  <c r="AI264" i="7"/>
  <c r="Z170" i="7"/>
  <c r="AH73" i="7"/>
  <c r="AH72" i="7"/>
  <c r="AH78" i="7"/>
  <c r="AX264" i="7"/>
  <c r="AW264" i="7"/>
  <c r="BC27" i="7"/>
  <c r="AZ215" i="7"/>
  <c r="AZ214" i="7"/>
  <c r="AZ220" i="7"/>
  <c r="AQ261" i="7"/>
  <c r="AQ260" i="7"/>
  <c r="AQ266" i="7"/>
  <c r="AJ263" i="7"/>
  <c r="AP261" i="7"/>
  <c r="AP260" i="7"/>
  <c r="AP266" i="7"/>
  <c r="AV167" i="7"/>
  <c r="AV166" i="7"/>
  <c r="AV172" i="7"/>
  <c r="AJ167" i="7"/>
  <c r="AJ166" i="7"/>
  <c r="AJ172" i="7"/>
  <c r="W167" i="7"/>
  <c r="W166" i="7"/>
  <c r="W172" i="7"/>
  <c r="W261" i="7"/>
  <c r="W260" i="7"/>
  <c r="W266" i="7"/>
  <c r="AL263" i="7"/>
  <c r="AP29" i="7"/>
  <c r="AV29" i="7"/>
  <c r="AA73" i="7"/>
  <c r="AA72" i="7"/>
  <c r="AA78" i="7"/>
  <c r="AG29" i="7"/>
  <c r="AB73" i="7"/>
  <c r="AB72" i="7"/>
  <c r="AB78" i="7"/>
  <c r="AD73" i="7"/>
  <c r="AD72" i="7"/>
  <c r="AD78" i="7"/>
  <c r="AT167" i="7"/>
  <c r="AT166" i="7"/>
  <c r="AT172" i="7"/>
  <c r="BE215" i="7"/>
  <c r="BE214" i="7"/>
  <c r="BE220" i="7"/>
  <c r="AR261" i="7"/>
  <c r="AR260" i="7"/>
  <c r="AR266" i="7"/>
  <c r="AQ121" i="7"/>
  <c r="AQ120" i="7"/>
  <c r="AQ126" i="7"/>
  <c r="AG261" i="7"/>
  <c r="AG260" i="7"/>
  <c r="AG266" i="7"/>
  <c r="AK167" i="7"/>
  <c r="AK166" i="7"/>
  <c r="AK172" i="7"/>
  <c r="AP73" i="7"/>
  <c r="AP72" i="7"/>
  <c r="AP78" i="7"/>
  <c r="AI29" i="7"/>
  <c r="AF75" i="7"/>
  <c r="AS263" i="7"/>
  <c r="AE167" i="7"/>
  <c r="AE166" i="7"/>
  <c r="AE172" i="7"/>
  <c r="AD167" i="7"/>
  <c r="AD166" i="7"/>
  <c r="AD172" i="7"/>
  <c r="AK124" i="7"/>
  <c r="T169" i="7"/>
  <c r="AZ169" i="7"/>
  <c r="BD215" i="7"/>
  <c r="BD214" i="7"/>
  <c r="BD220" i="7"/>
  <c r="AB121" i="7"/>
  <c r="AB120" i="7"/>
  <c r="AB126" i="7"/>
  <c r="Z124" i="7"/>
  <c r="BE263" i="7"/>
  <c r="AR27" i="7"/>
  <c r="T264" i="7"/>
  <c r="AH121" i="7"/>
  <c r="AH120" i="7"/>
  <c r="AH126" i="7"/>
  <c r="BE169" i="7"/>
  <c r="AE29" i="7"/>
  <c r="V121" i="7"/>
  <c r="V120" i="7"/>
  <c r="V126" i="7"/>
  <c r="AD76" i="7"/>
  <c r="AV124" i="7"/>
  <c r="W75" i="7"/>
  <c r="W215" i="7"/>
  <c r="W214" i="7"/>
  <c r="W220" i="7"/>
  <c r="AW123" i="7"/>
  <c r="BB169" i="7"/>
  <c r="AT121" i="7"/>
  <c r="AT120" i="7"/>
  <c r="AT126" i="7"/>
  <c r="AD215" i="7"/>
  <c r="AD214" i="7"/>
  <c r="AD220" i="7"/>
  <c r="AL27" i="7"/>
  <c r="AA263" i="7"/>
  <c r="AE217" i="7"/>
  <c r="AL123" i="7"/>
  <c r="R169" i="7"/>
  <c r="AW76" i="7"/>
  <c r="BE76" i="7"/>
  <c r="W124" i="7"/>
  <c r="AX217" i="7"/>
  <c r="S263" i="7"/>
  <c r="AC123" i="7"/>
  <c r="AF215" i="7"/>
  <c r="AF214" i="7"/>
  <c r="AF220" i="7"/>
  <c r="AL167" i="7"/>
  <c r="AL166" i="7"/>
  <c r="AL172" i="7"/>
  <c r="AB261" i="7"/>
  <c r="AB260" i="7"/>
  <c r="AB266" i="7"/>
  <c r="AP27" i="7"/>
  <c r="AC27" i="7"/>
  <c r="BE124" i="7"/>
  <c r="AI73" i="7"/>
  <c r="AI72" i="7"/>
  <c r="AI78" i="7"/>
  <c r="AS27" i="7"/>
  <c r="AO169" i="7"/>
  <c r="AM76" i="7"/>
  <c r="AF264" i="7"/>
  <c r="AC218" i="7"/>
  <c r="AA76" i="7"/>
  <c r="AF263" i="7"/>
  <c r="AS167" i="7"/>
  <c r="AS166" i="7"/>
  <c r="AS172" i="7"/>
  <c r="AD261" i="7"/>
  <c r="AD260" i="7"/>
  <c r="AD266" i="7"/>
  <c r="AE218" i="7"/>
  <c r="AS217" i="7"/>
  <c r="V124" i="7"/>
  <c r="AQ167" i="7"/>
  <c r="AQ166" i="7"/>
  <c r="AQ172" i="7"/>
  <c r="U261" i="7"/>
  <c r="U260" i="7"/>
  <c r="U266" i="7"/>
  <c r="S75" i="7"/>
  <c r="AB264" i="7"/>
  <c r="AY218" i="7"/>
  <c r="AA264" i="7"/>
  <c r="V215" i="7"/>
  <c r="V214" i="7"/>
  <c r="V220" i="7"/>
  <c r="AZ27" i="7"/>
  <c r="BC73" i="7"/>
  <c r="BC72" i="7"/>
  <c r="BC78" i="7"/>
  <c r="AT76" i="7"/>
  <c r="AF169" i="7"/>
  <c r="AB170" i="7"/>
  <c r="AI167" i="7"/>
  <c r="AI166" i="7"/>
  <c r="AI172" i="7"/>
  <c r="Z169" i="7"/>
  <c r="BE27" i="7"/>
  <c r="AP121" i="7"/>
  <c r="AP120" i="7"/>
  <c r="AP126" i="7"/>
  <c r="AL29" i="7"/>
  <c r="AH123" i="7"/>
  <c r="AG73" i="7"/>
  <c r="AG72" i="7"/>
  <c r="AG78" i="7"/>
  <c r="Y218" i="7"/>
  <c r="AC264" i="7"/>
  <c r="AZ217" i="7"/>
  <c r="AU29" i="7"/>
  <c r="AS121" i="7"/>
  <c r="AS120" i="7"/>
  <c r="AS126" i="7"/>
  <c r="AU261" i="7"/>
  <c r="AU260" i="7"/>
  <c r="AU266" i="7"/>
  <c r="AO217" i="7"/>
  <c r="BA264" i="7"/>
  <c r="AK169" i="7"/>
  <c r="AX218" i="7"/>
  <c r="AR75" i="7"/>
  <c r="AX27" i="7"/>
  <c r="AJ169" i="7"/>
  <c r="AZ123" i="7"/>
  <c r="AC75" i="7"/>
  <c r="AJ264" i="7"/>
  <c r="AW124" i="7"/>
  <c r="AM29" i="7"/>
  <c r="AT73" i="7"/>
  <c r="AT72" i="7"/>
  <c r="AT78" i="7"/>
  <c r="U73" i="7"/>
  <c r="U72" i="7"/>
  <c r="U78" i="7"/>
  <c r="AA218" i="7"/>
  <c r="AH169" i="7"/>
  <c r="AC76" i="7"/>
  <c r="BE170" i="7"/>
  <c r="AG263" i="7"/>
  <c r="AU73" i="7"/>
  <c r="AU72" i="7"/>
  <c r="AU78" i="7"/>
  <c r="AL264" i="7"/>
  <c r="AF73" i="7"/>
  <c r="AF72" i="7"/>
  <c r="AF78" i="7"/>
  <c r="BC75" i="7"/>
  <c r="AX73" i="7"/>
  <c r="AX72" i="7"/>
  <c r="AX78" i="7"/>
  <c r="U167" i="7"/>
  <c r="U166" i="7"/>
  <c r="U172" i="7"/>
  <c r="AA75" i="7"/>
  <c r="AB167" i="7"/>
  <c r="AB166" i="7"/>
  <c r="AB172" i="7"/>
  <c r="Z264" i="7"/>
  <c r="AX263" i="7"/>
  <c r="BB215" i="7"/>
  <c r="BB214" i="7"/>
  <c r="BB220" i="7"/>
  <c r="AB75" i="7"/>
  <c r="BB121" i="7"/>
  <c r="BB120" i="7"/>
  <c r="BB126" i="7"/>
  <c r="AD217" i="7"/>
  <c r="AZ261" i="7"/>
  <c r="AZ260" i="7"/>
  <c r="AZ266" i="7"/>
  <c r="AZ29" i="7"/>
  <c r="AV73" i="7"/>
  <c r="AV72" i="7"/>
  <c r="AV78" i="7"/>
  <c r="Z263" i="7"/>
  <c r="AH75" i="7"/>
  <c r="AU169" i="7"/>
  <c r="V29" i="7"/>
  <c r="AY263" i="7"/>
  <c r="BC261" i="7"/>
  <c r="BC260" i="7"/>
  <c r="BC266" i="7"/>
  <c r="AU170" i="7"/>
  <c r="AB215" i="7"/>
  <c r="AB214" i="7"/>
  <c r="AB220" i="7"/>
  <c r="AE169" i="7"/>
  <c r="AC29" i="7"/>
  <c r="Z75" i="7"/>
  <c r="AE121" i="7"/>
  <c r="AE120" i="7"/>
  <c r="AE126" i="7"/>
  <c r="U124" i="7"/>
  <c r="V27" i="7"/>
  <c r="AI169" i="7"/>
  <c r="Y215" i="7"/>
  <c r="Y214" i="7"/>
  <c r="Y220" i="7"/>
  <c r="AD124" i="7"/>
  <c r="V75" i="7"/>
  <c r="AX29" i="7"/>
  <c r="AN121" i="7"/>
  <c r="AN120" i="7"/>
  <c r="AN126" i="7"/>
  <c r="AL121" i="7"/>
  <c r="AL120" i="7"/>
  <c r="AL126" i="7"/>
  <c r="AC73" i="7"/>
  <c r="AC72" i="7"/>
  <c r="AC78" i="7"/>
  <c r="AY170" i="7"/>
  <c r="T218" i="7"/>
  <c r="AK215" i="7"/>
  <c r="AK214" i="7"/>
  <c r="AK220" i="7"/>
  <c r="AO75" i="7"/>
  <c r="AH76" i="7"/>
  <c r="AY121" i="7"/>
  <c r="AY120" i="7"/>
  <c r="AY126" i="7"/>
  <c r="AN123" i="7"/>
  <c r="AL75" i="7"/>
  <c r="AT261" i="7"/>
  <c r="AT260" i="7"/>
  <c r="AT266" i="7"/>
  <c r="AH167" i="7"/>
  <c r="AH166" i="7"/>
  <c r="AH172" i="7"/>
  <c r="W264" i="7"/>
  <c r="AC217" i="7"/>
  <c r="BE123" i="7"/>
  <c r="S217" i="7"/>
  <c r="BA75" i="7"/>
  <c r="AM261" i="7"/>
  <c r="AM260" i="7"/>
  <c r="AM266" i="7"/>
  <c r="BE121" i="7"/>
  <c r="BE120" i="7"/>
  <c r="BE126" i="7"/>
  <c r="BE75" i="7"/>
  <c r="AE215" i="7"/>
  <c r="AE214" i="7"/>
  <c r="AE220" i="7"/>
  <c r="AZ264" i="7"/>
  <c r="AJ73" i="7"/>
  <c r="AJ72" i="7"/>
  <c r="AJ78" i="7"/>
  <c r="V263" i="7"/>
  <c r="AK75" i="7"/>
  <c r="BB261" i="7"/>
  <c r="BB260" i="7"/>
  <c r="BB266" i="7"/>
  <c r="AW215" i="7"/>
  <c r="AW214" i="7"/>
  <c r="AW220" i="7"/>
  <c r="Z123" i="7"/>
  <c r="Z27" i="7"/>
  <c r="AF217" i="7"/>
  <c r="AY76" i="7"/>
  <c r="BE73" i="7"/>
  <c r="BE72" i="7"/>
  <c r="BE78" i="7"/>
  <c r="AE124" i="7"/>
  <c r="AP76" i="7"/>
  <c r="AI76" i="7"/>
  <c r="AV263" i="7"/>
  <c r="AO263" i="7"/>
  <c r="AL124" i="7"/>
  <c r="BB217" i="7"/>
  <c r="AB29" i="7"/>
  <c r="V217" i="7"/>
  <c r="AV75" i="7"/>
  <c r="T73" i="7"/>
  <c r="T72" i="7"/>
  <c r="T78" i="7"/>
  <c r="AM217" i="7"/>
  <c r="AD218" i="7"/>
  <c r="AI263" i="7"/>
  <c r="AO27" i="7"/>
  <c r="AJ215" i="7"/>
  <c r="AJ214" i="7"/>
  <c r="AJ220" i="7"/>
  <c r="S123" i="7"/>
  <c r="AR124" i="7"/>
  <c r="AW217" i="7"/>
  <c r="AV264" i="7"/>
  <c r="AN218" i="7"/>
  <c r="AV27" i="7"/>
  <c r="Y123" i="7"/>
  <c r="AG169" i="7"/>
  <c r="AR263" i="7"/>
  <c r="AO76" i="7"/>
  <c r="AU121" i="7"/>
  <c r="AU120" i="7"/>
  <c r="AU126" i="7"/>
  <c r="AN27" i="7"/>
  <c r="AL76" i="7"/>
  <c r="AR76" i="7"/>
  <c r="AL73" i="7"/>
  <c r="AL72" i="7"/>
  <c r="AL78" i="7"/>
  <c r="AV218" i="7"/>
  <c r="X124" i="7"/>
  <c r="AA121" i="7"/>
  <c r="AA120" i="7"/>
  <c r="AA126" i="7"/>
  <c r="BD264" i="7"/>
  <c r="AH218" i="7"/>
  <c r="AA27" i="7"/>
  <c r="AT124" i="7"/>
  <c r="AJ121" i="7"/>
  <c r="AJ120" i="7"/>
  <c r="AJ126" i="7"/>
  <c r="AM75" i="7"/>
  <c r="BA170" i="7"/>
  <c r="AB123" i="7"/>
  <c r="BC218" i="7"/>
  <c r="Y263" i="7"/>
  <c r="U27" i="7"/>
  <c r="AG218" i="7"/>
  <c r="W170" i="7"/>
  <c r="AF167" i="7"/>
  <c r="AF166" i="7"/>
  <c r="AF172" i="7"/>
  <c r="AN170" i="7"/>
  <c r="U263" i="7"/>
  <c r="AW261" i="7"/>
  <c r="AW260" i="7"/>
  <c r="AW266" i="7"/>
  <c r="AQ169" i="7"/>
  <c r="X217" i="7"/>
  <c r="AP263" i="7"/>
  <c r="AZ73" i="7"/>
  <c r="AZ72" i="7"/>
  <c r="AZ78" i="7"/>
  <c r="AX121" i="7"/>
  <c r="AX120" i="7"/>
  <c r="AX126" i="7"/>
  <c r="S29" i="7"/>
  <c r="Y264" i="7"/>
  <c r="AH264" i="7"/>
  <c r="V169" i="7"/>
  <c r="T263" i="7"/>
  <c r="AM123" i="7"/>
  <c r="AD121" i="7"/>
  <c r="AD120" i="7"/>
  <c r="AD126" i="7"/>
  <c r="X167" i="7"/>
  <c r="X166" i="7"/>
  <c r="X172" i="7"/>
  <c r="AE264" i="7"/>
  <c r="BC170" i="7"/>
  <c r="Y73" i="7"/>
  <c r="Y72" i="7"/>
  <c r="Y78" i="7"/>
  <c r="W73" i="7"/>
  <c r="W72" i="7"/>
  <c r="W78" i="7"/>
  <c r="AS123" i="7"/>
  <c r="AC169" i="7"/>
  <c r="AU75" i="7"/>
  <c r="Z121" i="7"/>
  <c r="Z120" i="7"/>
  <c r="Z126" i="7"/>
  <c r="AD263" i="7"/>
  <c r="AC170" i="7"/>
  <c r="Z218" i="7"/>
  <c r="Y29" i="7"/>
  <c r="AT218" i="7"/>
  <c r="BE264" i="7"/>
  <c r="AZ124" i="7"/>
  <c r="X169" i="7"/>
  <c r="AP75" i="7"/>
  <c r="AK170" i="7"/>
  <c r="AI27" i="7"/>
  <c r="BD29" i="7"/>
  <c r="BA27" i="7"/>
  <c r="T215" i="7"/>
  <c r="T214" i="7"/>
  <c r="T220" i="7"/>
  <c r="W217" i="7"/>
  <c r="AI218" i="7"/>
  <c r="AR170" i="7"/>
  <c r="BC76" i="7"/>
  <c r="AM27" i="7"/>
  <c r="V123" i="7"/>
  <c r="AR167" i="7"/>
  <c r="AR166" i="7"/>
  <c r="AR172" i="7"/>
  <c r="AF27" i="7"/>
  <c r="V218" i="7"/>
  <c r="BB73" i="7"/>
  <c r="BB72" i="7"/>
  <c r="BB78" i="7"/>
  <c r="AN264" i="7"/>
  <c r="AY123" i="7"/>
  <c r="AM264" i="7"/>
  <c r="AY29" i="7"/>
  <c r="U170" i="7"/>
  <c r="AT169" i="7"/>
  <c r="BA76" i="7"/>
  <c r="Y121" i="7"/>
  <c r="Y120" i="7"/>
  <c r="Y126" i="7"/>
  <c r="AF124" i="7"/>
  <c r="AW27" i="7"/>
  <c r="AU76" i="7"/>
  <c r="AU263" i="7"/>
  <c r="BA124" i="7"/>
  <c r="AS170" i="7"/>
  <c r="AF76" i="7"/>
  <c r="AO73" i="7"/>
  <c r="AO72" i="7"/>
  <c r="AO78" i="7"/>
  <c r="Y167" i="7"/>
  <c r="Y166" i="7"/>
  <c r="Y172" i="7"/>
  <c r="AP218" i="7"/>
  <c r="AP123" i="7"/>
  <c r="AB124" i="7"/>
  <c r="AR218" i="7"/>
  <c r="AX75" i="7"/>
  <c r="T123" i="7"/>
  <c r="Z217" i="7"/>
  <c r="AB217" i="7"/>
  <c r="AJ170" i="7"/>
  <c r="AP124" i="7"/>
  <c r="AE170" i="7"/>
  <c r="AH217" i="7"/>
  <c r="AH215" i="7"/>
  <c r="AH214" i="7"/>
  <c r="AH220" i="7"/>
  <c r="BD170" i="7"/>
  <c r="AS169" i="7"/>
  <c r="BB75" i="7"/>
  <c r="AN261" i="7"/>
  <c r="AN260" i="7"/>
  <c r="AN266" i="7"/>
  <c r="AK217" i="7"/>
  <c r="AN76" i="7"/>
  <c r="AD27" i="7"/>
  <c r="AI75" i="7"/>
  <c r="U29" i="7"/>
  <c r="BA215" i="7"/>
  <c r="BA214" i="7"/>
  <c r="BA220" i="7"/>
  <c r="AE73" i="7"/>
  <c r="AE72" i="7"/>
  <c r="AE78" i="7"/>
  <c r="BB76" i="7"/>
  <c r="AF170" i="7"/>
  <c r="AC261" i="7"/>
  <c r="AC260" i="7"/>
  <c r="AC266" i="7"/>
  <c r="AJ75" i="7"/>
  <c r="AI170" i="7"/>
  <c r="AI124" i="7"/>
  <c r="AU124" i="7"/>
  <c r="AX215" i="7"/>
  <c r="AX214" i="7"/>
  <c r="AX220" i="7"/>
  <c r="AA261" i="7"/>
  <c r="AA260" i="7"/>
  <c r="AA266" i="7"/>
  <c r="BC167" i="7"/>
  <c r="BC166" i="7"/>
  <c r="BC172" i="7"/>
  <c r="AW75" i="7"/>
  <c r="AA170" i="7"/>
  <c r="AG124" i="7"/>
  <c r="W263" i="7"/>
  <c r="AM170" i="7"/>
  <c r="BD124" i="7"/>
  <c r="AG76" i="7"/>
  <c r="BB167" i="7"/>
  <c r="BB166" i="7"/>
  <c r="BB172" i="7"/>
  <c r="U76" i="7"/>
  <c r="AK76" i="7"/>
  <c r="AD170" i="7"/>
  <c r="AL217" i="7"/>
  <c r="V73" i="7"/>
  <c r="V72" i="7"/>
  <c r="V78" i="7"/>
  <c r="AN73" i="7"/>
  <c r="AN72" i="7"/>
  <c r="AN78" i="7"/>
  <c r="BA167" i="7"/>
  <c r="BA166" i="7"/>
  <c r="BA172" i="7"/>
  <c r="AS215" i="7"/>
  <c r="AS214" i="7"/>
  <c r="AS220" i="7"/>
  <c r="AZ121" i="7"/>
  <c r="AZ120" i="7"/>
  <c r="AZ126" i="7"/>
  <c r="AM121" i="7"/>
  <c r="AM120" i="7"/>
  <c r="AM126" i="7"/>
  <c r="X218" i="7"/>
  <c r="AT170" i="7"/>
  <c r="BD263" i="7"/>
  <c r="AB27" i="7"/>
  <c r="AB218" i="7"/>
  <c r="AO170" i="7"/>
  <c r="AX170" i="7"/>
  <c r="BD167" i="7"/>
  <c r="BD166" i="7"/>
  <c r="BD172" i="7"/>
  <c r="BE167" i="7"/>
  <c r="BE166" i="7"/>
  <c r="BE172" i="7"/>
  <c r="T27" i="7"/>
  <c r="AQ27" i="7"/>
  <c r="AG123" i="7"/>
  <c r="AF218" i="7"/>
  <c r="AN167" i="7"/>
  <c r="AN166" i="7"/>
  <c r="AN172" i="7"/>
  <c r="AM218" i="7"/>
  <c r="AN263" i="7"/>
  <c r="AT29" i="7"/>
  <c r="AE27" i="7"/>
  <c r="AS73" i="7"/>
  <c r="AS72" i="7"/>
  <c r="AS78" i="7"/>
  <c r="T29" i="7"/>
  <c r="AK218" i="7"/>
  <c r="T124" i="7"/>
  <c r="AG264" i="7"/>
  <c r="AV261" i="7"/>
  <c r="AV260" i="7"/>
  <c r="AV266" i="7"/>
  <c r="Z215" i="7"/>
  <c r="Z214" i="7"/>
  <c r="Z220" i="7"/>
  <c r="AJ76" i="7"/>
  <c r="AT264" i="7"/>
  <c r="T170" i="7"/>
  <c r="AH170" i="7"/>
  <c r="AO121" i="7"/>
  <c r="AO120" i="7"/>
  <c r="AO126" i="7"/>
  <c r="AD29" i="7"/>
  <c r="AN29" i="7"/>
  <c r="AZ218" i="7"/>
  <c r="AS124" i="7"/>
  <c r="V167" i="7"/>
  <c r="V166" i="7"/>
  <c r="V172" i="7"/>
  <c r="AU27" i="7"/>
  <c r="AO167" i="7"/>
  <c r="AO166" i="7"/>
  <c r="AO172" i="7"/>
  <c r="AZ167" i="7"/>
  <c r="AZ166" i="7"/>
  <c r="AZ172" i="7"/>
  <c r="AW263" i="7"/>
  <c r="AY27" i="7"/>
  <c r="X264" i="7"/>
  <c r="U75" i="7"/>
  <c r="BE29" i="7"/>
  <c r="AE261" i="7"/>
  <c r="AE260" i="7"/>
  <c r="AE266" i="7"/>
  <c r="AA169" i="7"/>
  <c r="AY215" i="7"/>
  <c r="AY214" i="7"/>
  <c r="AY220" i="7"/>
  <c r="X73" i="7"/>
  <c r="X72" i="7"/>
  <c r="X78" i="7"/>
  <c r="AN217" i="7"/>
  <c r="AA215" i="7"/>
  <c r="AA214" i="7"/>
  <c r="AA220" i="7"/>
  <c r="W27" i="7"/>
  <c r="AJ261" i="7"/>
  <c r="AJ260" i="7"/>
  <c r="AJ266" i="7"/>
  <c r="AY167" i="7"/>
  <c r="AY166" i="7"/>
  <c r="AY172" i="7"/>
  <c r="AV169" i="7"/>
  <c r="AQ29" i="7"/>
  <c r="AB263" i="7"/>
  <c r="AG170" i="7"/>
  <c r="AN169" i="7"/>
  <c r="AF123" i="7"/>
  <c r="BA218" i="7"/>
  <c r="AU167" i="7"/>
  <c r="AU166" i="7"/>
  <c r="AU172" i="7"/>
  <c r="AO124" i="7"/>
  <c r="AK123" i="7"/>
  <c r="BD169" i="7"/>
  <c r="AI123" i="7"/>
  <c r="AC121" i="7"/>
  <c r="AC120" i="7"/>
  <c r="AC126" i="7"/>
  <c r="AJ218" i="7"/>
  <c r="AH263" i="7"/>
  <c r="BC123" i="7"/>
  <c r="X123" i="7"/>
  <c r="U218" i="7"/>
  <c r="AD123" i="7"/>
  <c r="BA123" i="7"/>
  <c r="AY169" i="7"/>
  <c r="BD261" i="7"/>
  <c r="BD260" i="7"/>
  <c r="BD266" i="7"/>
  <c r="AO264" i="7"/>
  <c r="W169" i="7"/>
  <c r="AC167" i="7"/>
  <c r="AC166" i="7"/>
  <c r="AC172" i="7"/>
  <c r="AW121" i="7"/>
  <c r="AW120" i="7"/>
  <c r="AW126" i="7"/>
  <c r="AS29" i="7"/>
  <c r="AV215" i="7"/>
  <c r="AV214" i="7"/>
  <c r="AV220" i="7"/>
  <c r="AQ217" i="7"/>
  <c r="AG167" i="7"/>
  <c r="AG166" i="7"/>
  <c r="AG172" i="7"/>
  <c r="BC215" i="7"/>
  <c r="BC214" i="7"/>
  <c r="BC220" i="7"/>
  <c r="V261" i="7"/>
  <c r="V260" i="7"/>
  <c r="V266" i="7"/>
  <c r="BA29" i="7"/>
  <c r="AX169" i="7"/>
  <c r="AR73" i="7"/>
  <c r="AR72" i="7"/>
  <c r="AR78" i="7"/>
  <c r="AT217" i="7"/>
  <c r="AC215" i="7"/>
  <c r="AC214" i="7"/>
  <c r="AC220" i="7"/>
  <c r="U169" i="7"/>
  <c r="AG121" i="7"/>
  <c r="AG120" i="7"/>
  <c r="AG126" i="7"/>
  <c r="AL169" i="7"/>
  <c r="AL170" i="7"/>
  <c r="AI261" i="7"/>
  <c r="AI260" i="7"/>
  <c r="AI266" i="7"/>
  <c r="AJ29" i="7"/>
  <c r="AM263" i="7"/>
  <c r="AY75" i="7"/>
  <c r="AF121" i="7"/>
  <c r="AF120" i="7"/>
  <c r="AF126" i="7"/>
  <c r="AW167" i="7"/>
  <c r="AW166" i="7"/>
  <c r="AW172" i="7"/>
  <c r="AJ27" i="7"/>
  <c r="BA169" i="7"/>
  <c r="Y261" i="7"/>
  <c r="Y260" i="7"/>
  <c r="Y266" i="7"/>
  <c r="BE261" i="7"/>
  <c r="BE260" i="7"/>
  <c r="BE266" i="7"/>
  <c r="AP264" i="7"/>
  <c r="T121" i="7"/>
  <c r="T120" i="7"/>
  <c r="T126" i="7"/>
  <c r="AI217" i="7"/>
  <c r="BB218" i="7"/>
  <c r="AG215" i="7"/>
  <c r="AG214" i="7"/>
  <c r="AG220" i="7"/>
  <c r="AZ75" i="7"/>
  <c r="AB169" i="7"/>
  <c r="Z29" i="7"/>
  <c r="AH124" i="7"/>
  <c r="AR217" i="7"/>
  <c r="W123" i="7"/>
  <c r="U217" i="7"/>
  <c r="AR123" i="7"/>
  <c r="AF29" i="7"/>
  <c r="BB264" i="7"/>
  <c r="AP167" i="7"/>
  <c r="AP166" i="7"/>
  <c r="AP172" i="7"/>
  <c r="U123" i="7"/>
  <c r="AX124" i="7"/>
  <c r="BC264" i="7"/>
  <c r="AY124" i="7"/>
  <c r="AU218" i="7"/>
  <c r="AQ75" i="7"/>
  <c r="AQ73" i="7"/>
  <c r="AQ72" i="7"/>
  <c r="AQ78" i="7"/>
  <c r="AY217" i="7"/>
  <c r="Y170" i="7"/>
  <c r="AL261" i="7"/>
  <c r="AL260" i="7"/>
  <c r="AL266" i="7"/>
  <c r="AQ170" i="7"/>
  <c r="Y75" i="7"/>
  <c r="AT215" i="7"/>
  <c r="AT214" i="7"/>
  <c r="AT220" i="7"/>
  <c r="AU217" i="7"/>
  <c r="BB27" i="7"/>
  <c r="X215" i="7"/>
  <c r="X214" i="7"/>
  <c r="X220" i="7"/>
  <c r="AK29" i="7"/>
  <c r="Y76" i="7"/>
  <c r="BA263" i="7"/>
  <c r="BD75" i="7"/>
  <c r="BC121" i="7"/>
  <c r="BC120" i="7"/>
  <c r="BC126" i="7"/>
  <c r="X121" i="7"/>
  <c r="X120" i="7"/>
  <c r="X126" i="7"/>
  <c r="AA217" i="7"/>
  <c r="T75" i="7"/>
  <c r="BB124" i="7"/>
  <c r="AB76" i="7"/>
  <c r="AS264" i="7"/>
  <c r="AY73" i="7"/>
  <c r="AY72" i="7"/>
  <c r="AY78" i="7"/>
  <c r="X263" i="7"/>
  <c r="BD76" i="7"/>
  <c r="AR169" i="7"/>
  <c r="AH27" i="7"/>
  <c r="AQ264" i="7"/>
  <c r="AS218" i="7"/>
  <c r="AQ215" i="7"/>
  <c r="AQ214" i="7"/>
  <c r="AQ220" i="7"/>
  <c r="AM215" i="7"/>
  <c r="AM214" i="7"/>
  <c r="AM220" i="7"/>
  <c r="AR215" i="7"/>
  <c r="AR214" i="7"/>
  <c r="AR220" i="7"/>
  <c r="AT123" i="7"/>
  <c r="X170" i="7"/>
  <c r="AK73" i="7"/>
  <c r="AK72" i="7"/>
  <c r="AK78" i="7"/>
  <c r="AT75" i="7"/>
  <c r="BD73" i="7"/>
  <c r="BD72" i="7"/>
  <c r="BD78" i="7"/>
  <c r="AG27" i="7"/>
  <c r="AW29" i="7"/>
  <c r="Z261" i="7"/>
  <c r="Z260" i="7"/>
  <c r="Z266" i="7"/>
  <c r="AW170" i="7"/>
  <c r="S169" i="7"/>
  <c r="AP217" i="7"/>
  <c r="BE217" i="7"/>
  <c r="AH29" i="7"/>
  <c r="AW169" i="7"/>
  <c r="Y169" i="7"/>
  <c r="W29" i="7"/>
  <c r="Y124" i="7"/>
  <c r="Z73" i="7"/>
  <c r="Z72" i="7"/>
  <c r="Z78" i="7"/>
  <c r="AA167" i="7"/>
  <c r="AA166" i="7"/>
  <c r="AA172" i="7"/>
  <c r="AL218" i="7"/>
  <c r="AK261" i="7"/>
  <c r="AK260" i="7"/>
  <c r="AK266" i="7"/>
  <c r="AQ218" i="7"/>
  <c r="AO215" i="7"/>
  <c r="AO214" i="7"/>
  <c r="AO220" i="7"/>
  <c r="BB123" i="7"/>
  <c r="AD264" i="7"/>
  <c r="AO29" i="7"/>
  <c r="AW218" i="7"/>
  <c r="AR29" i="7"/>
  <c r="X75" i="7"/>
  <c r="AT263" i="7"/>
  <c r="X29" i="7"/>
  <c r="AG217" i="7"/>
  <c r="AZ263" i="7"/>
  <c r="BB170" i="7"/>
  <c r="AY264" i="7"/>
  <c r="BD27" i="7"/>
  <c r="AK263" i="7"/>
  <c r="AD75" i="7"/>
  <c r="BA121" i="7"/>
  <c r="BA120" i="7"/>
  <c r="BA126" i="7"/>
  <c r="AP215" i="7"/>
  <c r="AP214" i="7"/>
  <c r="AP220" i="7"/>
  <c r="AX76" i="7"/>
  <c r="BC169" i="7"/>
  <c r="Z286" i="7"/>
  <c r="Z281" i="7"/>
  <c r="Z287" i="7"/>
  <c r="AC187" i="7"/>
  <c r="AC193" i="7"/>
  <c r="AC192" i="7"/>
  <c r="AY235" i="7"/>
  <c r="AY241" i="7"/>
  <c r="AY240" i="7"/>
  <c r="AN192" i="7"/>
  <c r="AN187" i="7"/>
  <c r="AN193" i="7"/>
  <c r="AZ141" i="7"/>
  <c r="AZ147" i="7"/>
  <c r="AZ146" i="7"/>
  <c r="AC286" i="7"/>
  <c r="AC281" i="7"/>
  <c r="AC287" i="7"/>
  <c r="AO98" i="7"/>
  <c r="AO93" i="7"/>
  <c r="AO99" i="7"/>
  <c r="BB93" i="7"/>
  <c r="BB99" i="7"/>
  <c r="BB98" i="7"/>
  <c r="X192" i="7"/>
  <c r="X187" i="7"/>
  <c r="X193" i="7"/>
  <c r="AU141" i="7"/>
  <c r="AU147" i="7"/>
  <c r="AU146" i="7"/>
  <c r="AK240" i="7"/>
  <c r="AK235" i="7"/>
  <c r="AK241" i="7"/>
  <c r="AV93" i="7"/>
  <c r="AV99" i="7"/>
  <c r="AV98" i="7"/>
  <c r="AX93" i="7"/>
  <c r="AX99" i="7"/>
  <c r="AX98" i="7"/>
  <c r="U98" i="7"/>
  <c r="U93" i="7"/>
  <c r="U99" i="7"/>
  <c r="AD240" i="7"/>
  <c r="AD235" i="7"/>
  <c r="AD241" i="7"/>
  <c r="BD235" i="7"/>
  <c r="BD241" i="7"/>
  <c r="BD240" i="7"/>
  <c r="AQ141" i="7"/>
  <c r="AQ147" i="7"/>
  <c r="AQ146" i="7"/>
  <c r="AP281" i="7"/>
  <c r="AP287" i="7"/>
  <c r="AP286" i="7"/>
  <c r="AY281" i="7"/>
  <c r="AY287" i="7"/>
  <c r="AY286" i="7"/>
  <c r="Z192" i="7"/>
  <c r="Z187" i="7"/>
  <c r="Z193" i="7"/>
  <c r="AF286" i="7"/>
  <c r="AF281" i="7"/>
  <c r="AF287" i="7"/>
  <c r="AX187" i="7"/>
  <c r="AX193" i="7"/>
  <c r="AX192" i="7"/>
  <c r="AT235" i="7"/>
  <c r="AT241" i="7"/>
  <c r="AT240" i="7"/>
  <c r="AW187" i="7"/>
  <c r="AW193" i="7"/>
  <c r="AW192" i="7"/>
  <c r="V281" i="7"/>
  <c r="V287" i="7"/>
  <c r="V286" i="7"/>
  <c r="AA235" i="7"/>
  <c r="AA241" i="7"/>
  <c r="AA240" i="7"/>
  <c r="Z235" i="7"/>
  <c r="Z241" i="7"/>
  <c r="Z240" i="7"/>
  <c r="BB192" i="7"/>
  <c r="BB187" i="7"/>
  <c r="BB193" i="7"/>
  <c r="AP240" i="7"/>
  <c r="AP235" i="7"/>
  <c r="AP241" i="7"/>
  <c r="AO235" i="7"/>
  <c r="AO241" i="7"/>
  <c r="AO240" i="7"/>
  <c r="AA187" i="7"/>
  <c r="AA193" i="7"/>
  <c r="AA192" i="7"/>
  <c r="BD93" i="7"/>
  <c r="BD99" i="7"/>
  <c r="BD98" i="7"/>
  <c r="AQ240" i="7"/>
  <c r="AQ235" i="7"/>
  <c r="AQ241" i="7"/>
  <c r="AP187" i="7"/>
  <c r="AP193" i="7"/>
  <c r="AP192" i="7"/>
  <c r="AC235" i="7"/>
  <c r="AC241" i="7"/>
  <c r="AC240" i="7"/>
  <c r="AG192" i="7"/>
  <c r="AG187" i="7"/>
  <c r="AG193" i="7"/>
  <c r="AW141" i="7"/>
  <c r="AW147" i="7"/>
  <c r="AW146" i="7"/>
  <c r="BD281" i="7"/>
  <c r="BD287" i="7"/>
  <c r="BD286" i="7"/>
  <c r="AJ286" i="7"/>
  <c r="AJ281" i="7"/>
  <c r="AJ287" i="7"/>
  <c r="X98" i="7"/>
  <c r="X93" i="7"/>
  <c r="X99" i="7"/>
  <c r="V187" i="7"/>
  <c r="V193" i="7"/>
  <c r="V192" i="7"/>
  <c r="AS98" i="7"/>
  <c r="AS93" i="7"/>
  <c r="AS99" i="7"/>
  <c r="AM141" i="7"/>
  <c r="AM147" i="7"/>
  <c r="AM146" i="7"/>
  <c r="AN93" i="7"/>
  <c r="AN99" i="7"/>
  <c r="AN98" i="7"/>
  <c r="AX235" i="7"/>
  <c r="AX241" i="7"/>
  <c r="AX240" i="7"/>
  <c r="AE98" i="7"/>
  <c r="AE93" i="7"/>
  <c r="AE99" i="7"/>
  <c r="Y187" i="7"/>
  <c r="Y193" i="7"/>
  <c r="Y192" i="7"/>
  <c r="AR192" i="7"/>
  <c r="AR187" i="7"/>
  <c r="AR193" i="7"/>
  <c r="AJ146" i="7"/>
  <c r="AJ141" i="7"/>
  <c r="AJ147" i="7"/>
  <c r="AL98" i="7"/>
  <c r="AL93" i="7"/>
  <c r="AL99" i="7"/>
  <c r="AJ235" i="7"/>
  <c r="AJ241" i="7"/>
  <c r="AJ240" i="7"/>
  <c r="BB281" i="7"/>
  <c r="BB287" i="7"/>
  <c r="BB286" i="7"/>
  <c r="AM281" i="7"/>
  <c r="AM287" i="7"/>
  <c r="AM286" i="7"/>
  <c r="AC93" i="7"/>
  <c r="AC99" i="7"/>
  <c r="AC98" i="7"/>
  <c r="AE146" i="7"/>
  <c r="AE141" i="7"/>
  <c r="AE147" i="7"/>
  <c r="U187" i="7"/>
  <c r="U193" i="7"/>
  <c r="U192" i="7"/>
  <c r="AS141" i="7"/>
  <c r="AS147" i="7"/>
  <c r="AS146" i="7"/>
  <c r="AI187" i="7"/>
  <c r="AI193" i="7"/>
  <c r="AI192" i="7"/>
  <c r="BC93" i="7"/>
  <c r="BC99" i="7"/>
  <c r="BC98" i="7"/>
  <c r="AQ192" i="7"/>
  <c r="AQ187" i="7"/>
  <c r="AQ193" i="7"/>
  <c r="AI93" i="7"/>
  <c r="AI99" i="7"/>
  <c r="AI98" i="7"/>
  <c r="AB281" i="7"/>
  <c r="AB287" i="7"/>
  <c r="AB286" i="7"/>
  <c r="AB141" i="7"/>
  <c r="AB147" i="7"/>
  <c r="AB146" i="7"/>
  <c r="AG281" i="7"/>
  <c r="AG287" i="7"/>
  <c r="AG286" i="7"/>
  <c r="AV187" i="7"/>
  <c r="AV193" i="7"/>
  <c r="AV192" i="7"/>
  <c r="AZ235" i="7"/>
  <c r="AZ241" i="7"/>
  <c r="AZ240" i="7"/>
  <c r="AH98" i="7"/>
  <c r="AH93" i="7"/>
  <c r="AH99" i="7"/>
  <c r="AU235" i="7"/>
  <c r="AU241" i="7"/>
  <c r="AU240" i="7"/>
  <c r="AK141" i="7"/>
  <c r="AK147" i="7"/>
  <c r="AK146" i="7"/>
  <c r="BA281" i="7"/>
  <c r="BA287" i="7"/>
  <c r="BA286" i="7"/>
  <c r="AI240" i="7"/>
  <c r="AI235" i="7"/>
  <c r="AI241" i="7"/>
  <c r="AX286" i="7"/>
  <c r="AX281" i="7"/>
  <c r="AX287" i="7"/>
  <c r="R187" i="7"/>
  <c r="R193" i="7"/>
  <c r="R192" i="7"/>
  <c r="Z98" i="7"/>
  <c r="Z93" i="7"/>
  <c r="Z99" i="7"/>
  <c r="X146" i="7"/>
  <c r="X141" i="7"/>
  <c r="X147" i="7"/>
  <c r="AQ93" i="7"/>
  <c r="AQ99" i="7"/>
  <c r="AQ98" i="7"/>
  <c r="BE281" i="7"/>
  <c r="BE287" i="7"/>
  <c r="BE286" i="7"/>
  <c r="AC146" i="7"/>
  <c r="AC141" i="7"/>
  <c r="AC147" i="7"/>
  <c r="AZ192" i="7"/>
  <c r="AZ187" i="7"/>
  <c r="AZ193" i="7"/>
  <c r="AO141" i="7"/>
  <c r="AO147" i="7"/>
  <c r="AO146" i="7"/>
  <c r="V98" i="7"/>
  <c r="V93" i="7"/>
  <c r="V99" i="7"/>
  <c r="BA240" i="7"/>
  <c r="BA235" i="7"/>
  <c r="BA241" i="7"/>
  <c r="Y146" i="7"/>
  <c r="Y141" i="7"/>
  <c r="Y147" i="7"/>
  <c r="Z141" i="7"/>
  <c r="Z147" i="7"/>
  <c r="Z146" i="7"/>
  <c r="W93" i="7"/>
  <c r="W99" i="7"/>
  <c r="W98" i="7"/>
  <c r="AA141" i="7"/>
  <c r="AA147" i="7"/>
  <c r="AA146" i="7"/>
  <c r="BE93" i="7"/>
  <c r="BE99" i="7"/>
  <c r="BE98" i="7"/>
  <c r="AE240" i="7"/>
  <c r="AE235" i="7"/>
  <c r="AE241" i="7"/>
  <c r="AL146" i="7"/>
  <c r="AL141" i="7"/>
  <c r="AL147" i="7"/>
  <c r="AB240" i="7"/>
  <c r="AB235" i="7"/>
  <c r="AB241" i="7"/>
  <c r="BB146" i="7"/>
  <c r="BB141" i="7"/>
  <c r="BB147" i="7"/>
  <c r="AU98" i="7"/>
  <c r="AU93" i="7"/>
  <c r="AU99" i="7"/>
  <c r="AP141" i="7"/>
  <c r="AP147" i="7"/>
  <c r="AP146" i="7"/>
  <c r="AD286" i="7"/>
  <c r="AD281" i="7"/>
  <c r="AD287" i="7"/>
  <c r="AL187" i="7"/>
  <c r="AL193" i="7"/>
  <c r="AL192" i="7"/>
  <c r="AD187" i="7"/>
  <c r="AD193" i="7"/>
  <c r="AD192" i="7"/>
  <c r="AT187" i="7"/>
  <c r="AT193" i="7"/>
  <c r="AT192" i="7"/>
  <c r="AA98" i="7"/>
  <c r="AA93" i="7"/>
  <c r="AA99" i="7"/>
  <c r="W286" i="7"/>
  <c r="W281" i="7"/>
  <c r="W287" i="7"/>
  <c r="AS286" i="7"/>
  <c r="AS281" i="7"/>
  <c r="AS287" i="7"/>
  <c r="AM93" i="7"/>
  <c r="AM99" i="7"/>
  <c r="AM98" i="7"/>
  <c r="AL235" i="7"/>
  <c r="AL241" i="7"/>
  <c r="AL240" i="7"/>
  <c r="AH286" i="7"/>
  <c r="AH281" i="7"/>
  <c r="AH287" i="7"/>
  <c r="BA141" i="7"/>
  <c r="BA147" i="7"/>
  <c r="BA146" i="7"/>
  <c r="AK281" i="7"/>
  <c r="AK287" i="7"/>
  <c r="AK286" i="7"/>
  <c r="AR235" i="7"/>
  <c r="AR241" i="7"/>
  <c r="AR240" i="7"/>
  <c r="BC141" i="7"/>
  <c r="BC147" i="7"/>
  <c r="BC146" i="7"/>
  <c r="AL286" i="7"/>
  <c r="AL281" i="7"/>
  <c r="AL287" i="7"/>
  <c r="T146" i="7"/>
  <c r="T141" i="7"/>
  <c r="T147" i="7"/>
  <c r="AG146" i="7"/>
  <c r="AG141" i="7"/>
  <c r="AG147" i="7"/>
  <c r="AR98" i="7"/>
  <c r="AR93" i="7"/>
  <c r="AR99" i="7"/>
  <c r="AV235" i="7"/>
  <c r="AV241" i="7"/>
  <c r="AV240" i="7"/>
  <c r="AO187" i="7"/>
  <c r="AO193" i="7"/>
  <c r="AO192" i="7"/>
  <c r="BE187" i="7"/>
  <c r="BE193" i="7"/>
  <c r="BE192" i="7"/>
  <c r="AS235" i="7"/>
  <c r="AS241" i="7"/>
  <c r="AS240" i="7"/>
  <c r="BC187" i="7"/>
  <c r="BC193" i="7"/>
  <c r="BC192" i="7"/>
  <c r="Y98" i="7"/>
  <c r="Y93" i="7"/>
  <c r="Y99" i="7"/>
  <c r="AD141" i="7"/>
  <c r="AD147" i="7"/>
  <c r="AD146" i="7"/>
  <c r="AX146" i="7"/>
  <c r="AX141" i="7"/>
  <c r="AX147" i="7"/>
  <c r="AF187" i="7"/>
  <c r="AF193" i="7"/>
  <c r="AF192" i="7"/>
  <c r="T93" i="7"/>
  <c r="T99" i="7"/>
  <c r="T98" i="7"/>
  <c r="AH187" i="7"/>
  <c r="AH193" i="7"/>
  <c r="AH192" i="7"/>
  <c r="AY146" i="7"/>
  <c r="AY141" i="7"/>
  <c r="AY147" i="7"/>
  <c r="AN141" i="7"/>
  <c r="AN147" i="7"/>
  <c r="AN146" i="7"/>
  <c r="Y235" i="7"/>
  <c r="Y241" i="7"/>
  <c r="Y240" i="7"/>
  <c r="AB187" i="7"/>
  <c r="AB193" i="7"/>
  <c r="AB192" i="7"/>
  <c r="AT98" i="7"/>
  <c r="AT93" i="7"/>
  <c r="AT99" i="7"/>
  <c r="AG98" i="7"/>
  <c r="AG93" i="7"/>
  <c r="AG99" i="7"/>
  <c r="V235" i="7"/>
  <c r="V241" i="7"/>
  <c r="V240" i="7"/>
  <c r="AS187" i="7"/>
  <c r="AS193" i="7"/>
  <c r="AS192" i="7"/>
  <c r="AF235" i="7"/>
  <c r="AF241" i="7"/>
  <c r="AF240" i="7"/>
  <c r="AT146" i="7"/>
  <c r="AT141" i="7"/>
  <c r="AT147" i="7"/>
  <c r="W240" i="7"/>
  <c r="W235" i="7"/>
  <c r="W241" i="7"/>
  <c r="V141" i="7"/>
  <c r="V147" i="7"/>
  <c r="V146" i="7"/>
  <c r="AE187" i="7"/>
  <c r="AE193" i="7"/>
  <c r="AE192" i="7"/>
  <c r="AP98" i="7"/>
  <c r="AP93" i="7"/>
  <c r="AP99" i="7"/>
  <c r="AR286" i="7"/>
  <c r="AR281" i="7"/>
  <c r="AR287" i="7"/>
  <c r="AD93" i="7"/>
  <c r="AD99" i="7"/>
  <c r="AD98" i="7"/>
  <c r="W187" i="7"/>
  <c r="W193" i="7"/>
  <c r="W192" i="7"/>
  <c r="AW98" i="7"/>
  <c r="AW93" i="7"/>
  <c r="AW99" i="7"/>
  <c r="T187" i="7"/>
  <c r="T193" i="7"/>
  <c r="T192" i="7"/>
  <c r="BA98" i="7"/>
  <c r="BA93" i="7"/>
  <c r="BA99" i="7"/>
  <c r="AM187" i="7"/>
  <c r="AM193" i="7"/>
  <c r="AM192" i="7"/>
  <c r="BD141" i="7"/>
  <c r="BD147" i="7"/>
  <c r="BD146" i="7"/>
  <c r="AK98" i="7"/>
  <c r="AK93" i="7"/>
  <c r="AK99" i="7"/>
  <c r="AM235" i="7"/>
  <c r="AM241" i="7"/>
  <c r="AM240" i="7"/>
  <c r="AY98" i="7"/>
  <c r="AY93" i="7"/>
  <c r="AY99" i="7"/>
  <c r="X240" i="7"/>
  <c r="X235" i="7"/>
  <c r="X241" i="7"/>
  <c r="AG240" i="7"/>
  <c r="AG235" i="7"/>
  <c r="AG241" i="7"/>
  <c r="Y281" i="7"/>
  <c r="Y287" i="7"/>
  <c r="Y286" i="7"/>
  <c r="AF146" i="7"/>
  <c r="AF141" i="7"/>
  <c r="AF147" i="7"/>
  <c r="AI281" i="7"/>
  <c r="AI287" i="7"/>
  <c r="AI286" i="7"/>
  <c r="BC240" i="7"/>
  <c r="BC235" i="7"/>
  <c r="BC241" i="7"/>
  <c r="AU187" i="7"/>
  <c r="AU193" i="7"/>
  <c r="AU192" i="7"/>
  <c r="AY187" i="7"/>
  <c r="AY193" i="7"/>
  <c r="AY192" i="7"/>
  <c r="AE281" i="7"/>
  <c r="AE287" i="7"/>
  <c r="AE286" i="7"/>
  <c r="AV281" i="7"/>
  <c r="AV287" i="7"/>
  <c r="AV286" i="7"/>
  <c r="BD187" i="7"/>
  <c r="BD193" i="7"/>
  <c r="BD192" i="7"/>
  <c r="BA187" i="7"/>
  <c r="BA193" i="7"/>
  <c r="BA192" i="7"/>
  <c r="AA281" i="7"/>
  <c r="AA287" i="7"/>
  <c r="AA286" i="7"/>
  <c r="AN281" i="7"/>
  <c r="AN287" i="7"/>
  <c r="AN286" i="7"/>
  <c r="AH240" i="7"/>
  <c r="AH235" i="7"/>
  <c r="AH241" i="7"/>
  <c r="T240" i="7"/>
  <c r="T235" i="7"/>
  <c r="T241" i="7"/>
  <c r="AZ98" i="7"/>
  <c r="AZ93" i="7"/>
  <c r="AZ99" i="7"/>
  <c r="AW281" i="7"/>
  <c r="AW287" i="7"/>
  <c r="AW286" i="7"/>
  <c r="AW240" i="7"/>
  <c r="AW235" i="7"/>
  <c r="AW241" i="7"/>
  <c r="AJ93" i="7"/>
  <c r="AJ99" i="7"/>
  <c r="AJ98" i="7"/>
  <c r="BE141" i="7"/>
  <c r="BE147" i="7"/>
  <c r="BE146" i="7"/>
  <c r="AT281" i="7"/>
  <c r="AT287" i="7"/>
  <c r="AT286" i="7"/>
  <c r="BC286" i="7"/>
  <c r="BC281" i="7"/>
  <c r="BC287" i="7"/>
  <c r="AZ281" i="7"/>
  <c r="AZ287" i="7"/>
  <c r="AZ286" i="7"/>
  <c r="BB240" i="7"/>
  <c r="BB235" i="7"/>
  <c r="BB241" i="7"/>
  <c r="AF93" i="7"/>
  <c r="AF99" i="7"/>
  <c r="AF98" i="7"/>
  <c r="AU281" i="7"/>
  <c r="AU287" i="7"/>
  <c r="AU286" i="7"/>
  <c r="U281" i="7"/>
  <c r="U287" i="7"/>
  <c r="U286" i="7"/>
  <c r="AH141" i="7"/>
  <c r="AH147" i="7"/>
  <c r="AH146" i="7"/>
  <c r="AK192" i="7"/>
  <c r="AK187" i="7"/>
  <c r="AK193" i="7"/>
  <c r="BE240" i="7"/>
  <c r="BE235" i="7"/>
  <c r="BE241" i="7"/>
  <c r="AB93" i="7"/>
  <c r="AB99" i="7"/>
  <c r="AB98" i="7"/>
  <c r="AJ192" i="7"/>
  <c r="AJ187" i="7"/>
  <c r="AJ193" i="7"/>
  <c r="AQ286" i="7"/>
  <c r="AQ281" i="7"/>
  <c r="AQ287" i="7"/>
  <c r="T281" i="7"/>
  <c r="T287" i="7"/>
  <c r="T286" i="7"/>
  <c r="AN235" i="7"/>
  <c r="AN241" i="7"/>
  <c r="AN240" i="7"/>
  <c r="AI141" i="7"/>
  <c r="AI147" i="7"/>
  <c r="AI146" i="7"/>
  <c r="U141" i="7"/>
  <c r="U147" i="7"/>
  <c r="U146" i="7"/>
  <c r="X286" i="7"/>
  <c r="X281" i="7"/>
  <c r="X287" i="7"/>
  <c r="AO286" i="7"/>
  <c r="AO281" i="7"/>
  <c r="AO287" i="7"/>
  <c r="AV141" i="7"/>
  <c r="AV147" i="7"/>
  <c r="AV146" i="7"/>
  <c r="U240" i="7"/>
  <c r="U235" i="7"/>
  <c r="U241" i="7"/>
  <c r="AR141" i="7"/>
  <c r="AR147" i="7"/>
  <c r="AR146" i="7"/>
  <c r="W146" i="7"/>
  <c r="W141" i="7"/>
  <c r="W147" i="7"/>
  <c r="P52" i="18"/>
  <c r="N148" i="1"/>
  <c r="N52" i="18"/>
  <c r="L148" i="1"/>
  <c r="N124" i="1"/>
  <c r="N149" i="1"/>
  <c r="N74" i="1"/>
  <c r="N75" i="1"/>
  <c r="N76" i="1"/>
  <c r="L124" i="1"/>
  <c r="L149" i="1"/>
  <c r="N143" i="1"/>
  <c r="J78" i="16"/>
  <c r="L134" i="1"/>
  <c r="N134" i="1"/>
  <c r="L78" i="16"/>
  <c r="N132" i="1"/>
  <c r="N139" i="1"/>
  <c r="L132" i="1"/>
</calcChain>
</file>

<file path=xl/comments1.xml><?xml version="1.0" encoding="utf-8"?>
<comments xmlns="http://schemas.openxmlformats.org/spreadsheetml/2006/main">
  <authors>
    <author>Mehmet</author>
  </authors>
  <commentList>
    <comment ref="H39" authorId="0">
      <text>
        <r>
          <rPr>
            <sz val="9"/>
            <color indexed="81"/>
            <rFont val="Tahoma"/>
            <family val="2"/>
          </rPr>
          <t>includes front-end fees for loans only.</t>
        </r>
      </text>
    </comment>
    <comment ref="H40" authorId="0">
      <text>
        <r>
          <rPr>
            <sz val="9"/>
            <color indexed="81"/>
            <rFont val="Tahoma"/>
            <family val="2"/>
          </rPr>
          <t xml:space="preserve">includes front end fee and guarantee fee for guarantee coverage. Front-end fee is only included in Year 1. </t>
        </r>
      </text>
    </comment>
    <comment ref="H41" authorId="0">
      <text>
        <r>
          <rPr>
            <sz val="9"/>
            <color indexed="81"/>
            <rFont val="Tahoma"/>
            <family val="2"/>
          </rPr>
          <t xml:space="preserve">includes front-end fee and annual risk insurance premium. Front end fee is only included in Year 1. </t>
        </r>
      </text>
    </comment>
    <comment ref="H85" authorId="0">
      <text>
        <r>
          <rPr>
            <sz val="9"/>
            <color indexed="81"/>
            <rFont val="Tahoma"/>
            <family val="2"/>
          </rPr>
          <t>includes front-end fees for loans only.</t>
        </r>
      </text>
    </comment>
    <comment ref="H86" authorId="0">
      <text>
        <r>
          <rPr>
            <sz val="9"/>
            <color indexed="81"/>
            <rFont val="Tahoma"/>
            <family val="2"/>
          </rPr>
          <t xml:space="preserve">includes front end fee and guarantee fee for guarantee coverage. Front-end fee is only included in Year 1. </t>
        </r>
      </text>
    </comment>
    <comment ref="H87" authorId="0">
      <text>
        <r>
          <rPr>
            <sz val="9"/>
            <color indexed="81"/>
            <rFont val="Tahoma"/>
            <family val="2"/>
          </rPr>
          <t xml:space="preserve">includes front-end fee and annual risk insurance premium. Front end fee is only included in Year 1. </t>
        </r>
      </text>
    </comment>
    <comment ref="H133" authorId="0">
      <text>
        <r>
          <rPr>
            <sz val="9"/>
            <color indexed="81"/>
            <rFont val="Tahoma"/>
            <family val="2"/>
          </rPr>
          <t>includes front-end fees for loans only.</t>
        </r>
      </text>
    </comment>
    <comment ref="H134" authorId="0">
      <text>
        <r>
          <rPr>
            <sz val="9"/>
            <color indexed="81"/>
            <rFont val="Tahoma"/>
            <family val="2"/>
          </rPr>
          <t xml:space="preserve">includes front end fee and guarantee fee for guarantee coverage. Front-end fee is only included in Year 1. </t>
        </r>
      </text>
    </comment>
    <comment ref="H135" authorId="0">
      <text>
        <r>
          <rPr>
            <sz val="9"/>
            <color indexed="81"/>
            <rFont val="Tahoma"/>
            <family val="2"/>
          </rPr>
          <t xml:space="preserve">includes front-end fee and annual risk insurance premium. Front end fee is only included in Year 1. </t>
        </r>
      </text>
    </comment>
    <comment ref="H179" authorId="0">
      <text>
        <r>
          <rPr>
            <sz val="9"/>
            <color indexed="81"/>
            <rFont val="Tahoma"/>
            <family val="2"/>
          </rPr>
          <t>includes front-end fees for loans only.</t>
        </r>
      </text>
    </comment>
    <comment ref="H180" authorId="0">
      <text>
        <r>
          <rPr>
            <sz val="9"/>
            <color indexed="81"/>
            <rFont val="Tahoma"/>
            <family val="2"/>
          </rPr>
          <t xml:space="preserve">includes front end fee and guarantee fee for guarantee coverage. Front-end fee is only included in Year 1. </t>
        </r>
      </text>
    </comment>
    <comment ref="H181" authorId="0">
      <text>
        <r>
          <rPr>
            <sz val="9"/>
            <color indexed="81"/>
            <rFont val="Tahoma"/>
            <family val="2"/>
          </rPr>
          <t xml:space="preserve">includes front-end fee and annual risk insurance premium. Front end fee is only included in Year 1. </t>
        </r>
      </text>
    </comment>
    <comment ref="H227" authorId="0">
      <text>
        <r>
          <rPr>
            <sz val="9"/>
            <color indexed="81"/>
            <rFont val="Tahoma"/>
            <family val="2"/>
          </rPr>
          <t>includes front-end fees for loans only.</t>
        </r>
      </text>
    </comment>
    <comment ref="H228" authorId="0">
      <text>
        <r>
          <rPr>
            <sz val="9"/>
            <color indexed="81"/>
            <rFont val="Tahoma"/>
            <family val="2"/>
          </rPr>
          <t xml:space="preserve">includes front end fee and guarantee fee for guarantee coverage. Front-end fee is only included in Year 1. </t>
        </r>
      </text>
    </comment>
    <comment ref="H229" authorId="0">
      <text>
        <r>
          <rPr>
            <sz val="9"/>
            <color indexed="81"/>
            <rFont val="Tahoma"/>
            <family val="2"/>
          </rPr>
          <t xml:space="preserve">includes front-end fee and annual risk insurance premium. Front end fee is only included in Year 1. </t>
        </r>
      </text>
    </comment>
    <comment ref="H273" authorId="0">
      <text>
        <r>
          <rPr>
            <sz val="9"/>
            <color indexed="81"/>
            <rFont val="Tahoma"/>
            <family val="2"/>
          </rPr>
          <t>includes front-end fees for loans only.</t>
        </r>
      </text>
    </comment>
    <comment ref="H274" authorId="0">
      <text>
        <r>
          <rPr>
            <sz val="9"/>
            <color indexed="81"/>
            <rFont val="Tahoma"/>
            <family val="2"/>
          </rPr>
          <t xml:space="preserve">includes front end fee and guarantee fee for guarantee coverage. Front-end fee is only included in Year 1. </t>
        </r>
      </text>
    </comment>
    <comment ref="H275" authorId="0">
      <text>
        <r>
          <rPr>
            <sz val="9"/>
            <color indexed="81"/>
            <rFont val="Tahoma"/>
            <family val="2"/>
          </rPr>
          <t xml:space="preserve">includes front-end fee and annual risk insurance premium. Front end fee is only included in Year 1. </t>
        </r>
      </text>
    </comment>
  </commentList>
</comments>
</file>

<file path=xl/comments2.xml><?xml version="1.0" encoding="utf-8"?>
<comments xmlns="http://schemas.openxmlformats.org/spreadsheetml/2006/main">
  <authors>
    <author>Mehmet</author>
  </authors>
  <commentList>
    <comment ref="H31" authorId="0">
      <text>
        <r>
          <rPr>
            <sz val="9"/>
            <color indexed="81"/>
            <rFont val="Tahoma"/>
            <family val="2"/>
          </rPr>
          <t>includes front-end fees for loans only.</t>
        </r>
      </text>
    </comment>
    <comment ref="H32" authorId="0">
      <text>
        <r>
          <rPr>
            <sz val="9"/>
            <color indexed="81"/>
            <rFont val="Tahoma"/>
            <family val="2"/>
          </rPr>
          <t xml:space="preserve">includes front end fee and guarantee fee for guarantee coverage. Front-end fee is only included in Year 1. </t>
        </r>
      </text>
    </comment>
    <comment ref="H33" authorId="0">
      <text>
        <r>
          <rPr>
            <sz val="9"/>
            <color indexed="81"/>
            <rFont val="Tahoma"/>
            <family val="2"/>
          </rPr>
          <t xml:space="preserve">includes front-end fee and annual risk insurance premium. Front end fee is only included in Year 1. </t>
        </r>
      </text>
    </comment>
    <comment ref="H121" authorId="0">
      <text>
        <r>
          <rPr>
            <sz val="9"/>
            <color indexed="81"/>
            <rFont val="Tahoma"/>
            <family val="2"/>
          </rPr>
          <t>includes front-end fees for loans only.</t>
        </r>
      </text>
    </comment>
    <comment ref="H122" authorId="0">
      <text>
        <r>
          <rPr>
            <sz val="9"/>
            <color indexed="81"/>
            <rFont val="Tahoma"/>
            <family val="2"/>
          </rPr>
          <t xml:space="preserve">includes front end fee and guarantee fee for guarantee coverage. Front-end fee is only included in Year 1. </t>
        </r>
      </text>
    </comment>
    <comment ref="H123" authorId="0">
      <text>
        <r>
          <rPr>
            <sz val="9"/>
            <color indexed="81"/>
            <rFont val="Tahoma"/>
            <family val="2"/>
          </rPr>
          <t xml:space="preserve">includes front-end fee and annual risk insurance premium. Front end fee is only included in Year 1. </t>
        </r>
      </text>
    </comment>
  </commentList>
</comments>
</file>

<file path=xl/comments3.xml><?xml version="1.0" encoding="utf-8"?>
<comments xmlns="http://schemas.openxmlformats.org/spreadsheetml/2006/main">
  <authors>
    <author>Mehmet</author>
  </authors>
  <commentList>
    <comment ref="H31" authorId="0">
      <text>
        <r>
          <rPr>
            <sz val="9"/>
            <color indexed="81"/>
            <rFont val="Tahoma"/>
            <family val="2"/>
          </rPr>
          <t>includes front-end fees for loans only.</t>
        </r>
      </text>
    </comment>
    <comment ref="H32" authorId="0">
      <text>
        <r>
          <rPr>
            <sz val="9"/>
            <color indexed="81"/>
            <rFont val="Tahoma"/>
            <family val="2"/>
          </rPr>
          <t xml:space="preserve">includes front end fee and guarantee fee for guarantee coverage. Front-end fee is only included in Year 1. </t>
        </r>
      </text>
    </comment>
    <comment ref="H33" authorId="0">
      <text>
        <r>
          <rPr>
            <sz val="9"/>
            <color indexed="81"/>
            <rFont val="Tahoma"/>
            <family val="2"/>
          </rPr>
          <t xml:space="preserve">includes front-end fee and annual risk insurance premium. Front end fee is only included in Year 1. </t>
        </r>
      </text>
    </comment>
    <comment ref="H121" authorId="0">
      <text>
        <r>
          <rPr>
            <sz val="9"/>
            <color indexed="81"/>
            <rFont val="Tahoma"/>
            <family val="2"/>
          </rPr>
          <t>includes front-end fees for loans only.</t>
        </r>
      </text>
    </comment>
    <comment ref="H122" authorId="0">
      <text>
        <r>
          <rPr>
            <sz val="9"/>
            <color indexed="81"/>
            <rFont val="Tahoma"/>
            <family val="2"/>
          </rPr>
          <t xml:space="preserve">includes front end fee and guarantee fee for guarantee coverage. Front-end fee is only included in Year 1. </t>
        </r>
      </text>
    </comment>
    <comment ref="H123" authorId="0">
      <text>
        <r>
          <rPr>
            <sz val="9"/>
            <color indexed="81"/>
            <rFont val="Tahoma"/>
            <family val="2"/>
          </rPr>
          <t xml:space="preserve">includes front-end fee and annual risk insurance premium. Front end fee is only included in Year 1. </t>
        </r>
      </text>
    </comment>
  </commentList>
</comments>
</file>

<file path=xl/sharedStrings.xml><?xml version="1.0" encoding="utf-8"?>
<sst xmlns="http://schemas.openxmlformats.org/spreadsheetml/2006/main" count="3175" uniqueCount="694">
  <si>
    <t>Social Acceptance Risk</t>
  </si>
  <si>
    <t>Counterparty Risk</t>
  </si>
  <si>
    <t>Financial Sector Risk</t>
  </si>
  <si>
    <t>Political Risk</t>
  </si>
  <si>
    <t>Cost of Equity</t>
  </si>
  <si>
    <t>Strengthening utility's management &amp; operational performance for existing operations</t>
  </si>
  <si>
    <t>Y</t>
  </si>
  <si>
    <t>N</t>
  </si>
  <si>
    <t>Selection</t>
  </si>
  <si>
    <t>Time Effect</t>
  </si>
  <si>
    <t>Effectiveness (Equity)</t>
  </si>
  <si>
    <t>Effectiveness (Debt)</t>
  </si>
  <si>
    <t>Instrument Selection (Y/N)</t>
  </si>
  <si>
    <t>Availability</t>
  </si>
  <si>
    <t xml:space="preserve">Investment Cost </t>
  </si>
  <si>
    <t>MW</t>
  </si>
  <si>
    <t>%</t>
  </si>
  <si>
    <t>Effective Tax Rate</t>
  </si>
  <si>
    <t xml:space="preserve">Non-depreciable </t>
  </si>
  <si>
    <t>hours/annum</t>
  </si>
  <si>
    <t>years</t>
  </si>
  <si>
    <t>Depreciation Allocation</t>
  </si>
  <si>
    <t>$</t>
  </si>
  <si>
    <t>O&amp;M Costing Method</t>
  </si>
  <si>
    <t>Model Default</t>
  </si>
  <si>
    <t>User-defined, inflation adjusted</t>
  </si>
  <si>
    <t>Capital Structure</t>
  </si>
  <si>
    <t>% Debt</t>
  </si>
  <si>
    <t>% Equity</t>
  </si>
  <si>
    <t>Loan Tenor</t>
  </si>
  <si>
    <t>bps</t>
  </si>
  <si>
    <t>Hydro</t>
  </si>
  <si>
    <t>Geothermal</t>
  </si>
  <si>
    <t xml:space="preserve">Generation Mix </t>
  </si>
  <si>
    <t>System Efficiencies</t>
  </si>
  <si>
    <t>Full Load Hours</t>
  </si>
  <si>
    <t>Load Factor</t>
  </si>
  <si>
    <t>Plant Size</t>
  </si>
  <si>
    <t xml:space="preserve">Fuel Cost </t>
  </si>
  <si>
    <t>Natural Gas</t>
  </si>
  <si>
    <t>Heavy Fuel Oil</t>
  </si>
  <si>
    <t>Fuel Cost</t>
  </si>
  <si>
    <t>User-defined, annually adjusted</t>
  </si>
  <si>
    <t>Operations &amp; Maintenance Expense, year 1</t>
  </si>
  <si>
    <t>Operations &amp; Maintenance Expense (excl. fuel)</t>
  </si>
  <si>
    <t>Operations &amp; Maintenance Expense, annual increase</t>
  </si>
  <si>
    <t>Target Installed Capacity</t>
  </si>
  <si>
    <t xml:space="preserve">WIND MODEL - PREDERISKING </t>
  </si>
  <si>
    <t>Resource &amp; Technology Risk</t>
  </si>
  <si>
    <t>Power Market Risk</t>
  </si>
  <si>
    <t>WIND MODEL - POST DERISKING</t>
  </si>
  <si>
    <t>Prederisking</t>
  </si>
  <si>
    <t xml:space="preserve"> </t>
  </si>
  <si>
    <t xml:space="preserve">Cost of Capital </t>
  </si>
  <si>
    <t xml:space="preserve">Cost of Debt </t>
  </si>
  <si>
    <t>Financial Derisking Instruments</t>
  </si>
  <si>
    <t>Technology</t>
  </si>
  <si>
    <t>Straight Line</t>
  </si>
  <si>
    <t>Year</t>
  </si>
  <si>
    <t>Straight Line depreciation schedule</t>
  </si>
  <si>
    <t>Non-depreciable</t>
  </si>
  <si>
    <t>Allocation</t>
  </si>
  <si>
    <t>Depreciation Base</t>
  </si>
  <si>
    <t>Annual depreciation expense</t>
  </si>
  <si>
    <t>Life of Asset</t>
  </si>
  <si>
    <t>Loan Amortization Schedule</t>
  </si>
  <si>
    <t>Ending balance</t>
  </si>
  <si>
    <t>Debt Service</t>
  </si>
  <si>
    <t xml:space="preserve">   - Loan Amount</t>
  </si>
  <si>
    <t xml:space="preserve">   - Loan Tenor</t>
  </si>
  <si>
    <t xml:space="preserve">   - Interest Rate</t>
  </si>
  <si>
    <t>Fees</t>
  </si>
  <si>
    <t xml:space="preserve">   Principal Payment</t>
  </si>
  <si>
    <t xml:space="preserve">   Interest Payment</t>
  </si>
  <si>
    <t xml:space="preserve">Total Debt Service </t>
  </si>
  <si>
    <t xml:space="preserve">   Beginning balance</t>
  </si>
  <si>
    <t xml:space="preserve">   Drawdowns</t>
  </si>
  <si>
    <t xml:space="preserve">   Loan repayment</t>
  </si>
  <si>
    <t>Cost of Capital</t>
  </si>
  <si>
    <t xml:space="preserve">Cost of Equity </t>
  </si>
  <si>
    <t>Difference</t>
  </si>
  <si>
    <t xml:space="preserve">Total </t>
  </si>
  <si>
    <t>Instrument Effectiveness</t>
  </si>
  <si>
    <t>Annual Cost</t>
  </si>
  <si>
    <t xml:space="preserve">   - Equity Investment Covered </t>
  </si>
  <si>
    <t xml:space="preserve">Total Fees for PRI </t>
  </si>
  <si>
    <t>Political Risk Insurance (PRI) for Equity Investment</t>
  </si>
  <si>
    <t xml:space="preserve">Risk Category </t>
  </si>
  <si>
    <t>Political Risk Insurance for Equity Investment</t>
  </si>
  <si>
    <t>Duration        (in years)</t>
  </si>
  <si>
    <t xml:space="preserve">% Debt </t>
  </si>
  <si>
    <t>Period</t>
  </si>
  <si>
    <t>Natural gas</t>
  </si>
  <si>
    <t>Light fuel oil (diesel)</t>
  </si>
  <si>
    <t>Heavy fuel oil</t>
  </si>
  <si>
    <t>Coal</t>
  </si>
  <si>
    <t xml:space="preserve">Public Cost of Capital </t>
  </si>
  <si>
    <t xml:space="preserve">Energy production </t>
  </si>
  <si>
    <t>MWh</t>
  </si>
  <si>
    <t>Operating &amp; Financial Expenses</t>
  </si>
  <si>
    <t>Operations &amp; Maintenance Expenses</t>
  </si>
  <si>
    <t xml:space="preserve">Depreciation </t>
  </si>
  <si>
    <t>Debt Financing Costs (principal and interest payments)</t>
  </si>
  <si>
    <t>Tax benefit of O&amp;M expenses, depreciation, interest expense, and other financial expenses</t>
  </si>
  <si>
    <t>Total costs</t>
  </si>
  <si>
    <t>Cost of equity</t>
  </si>
  <si>
    <t>Net Present Value of total costs</t>
  </si>
  <si>
    <t>Net Present Value of RE generation</t>
  </si>
  <si>
    <t>LCOE (year 1)</t>
  </si>
  <si>
    <t>LCOE (year 1) adjusted for taxes</t>
  </si>
  <si>
    <t>ESTIMATED CASH FLOWS TO EQUITY FROM RENEWABLE ENERGY INVESTMENT - CHECK - NPV = 0 AT THE COE</t>
  </si>
  <si>
    <t xml:space="preserve">Tariff </t>
  </si>
  <si>
    <t>Operating Revenues</t>
  </si>
  <si>
    <t>Operating &amp; Maintenance Expenses</t>
  </si>
  <si>
    <t>EBITDA</t>
  </si>
  <si>
    <t>Depreciation</t>
  </si>
  <si>
    <t>EBIT</t>
  </si>
  <si>
    <t>Taxable Income</t>
  </si>
  <si>
    <t>Taxes (Paid)/Refunded</t>
  </si>
  <si>
    <t>Net Income</t>
  </si>
  <si>
    <t xml:space="preserve">Investment cost </t>
  </si>
  <si>
    <t xml:space="preserve">Net of debt financing </t>
  </si>
  <si>
    <t xml:space="preserve">Equity investment </t>
  </si>
  <si>
    <t>Net income</t>
  </si>
  <si>
    <t xml:space="preserve">  + Depreciation </t>
  </si>
  <si>
    <t xml:space="preserve">  - Capital expenditures</t>
  </si>
  <si>
    <t xml:space="preserve">  - Change in working capital </t>
  </si>
  <si>
    <t xml:space="preserve">  - Principal repayments</t>
  </si>
  <si>
    <t xml:space="preserve">  + Salvage value </t>
  </si>
  <si>
    <t xml:space="preserve">After-tax Cash Flow to Equity </t>
  </si>
  <si>
    <t>Net Present Value</t>
  </si>
  <si>
    <t>InstrumentSelectionMB</t>
  </si>
  <si>
    <t xml:space="preserve">Front-end Fees </t>
  </si>
  <si>
    <t>After-Tax LCOE (Wind, Prederisking)</t>
  </si>
  <si>
    <t>Political Risk Insurance - Fees &amp; Annual Premium Payments</t>
  </si>
  <si>
    <t>HYDRO</t>
  </si>
  <si>
    <t>Plant Operation</t>
  </si>
  <si>
    <t>Operations &amp; Maintenance Expenses, excluding fuel cost</t>
  </si>
  <si>
    <t>Total Fuel Cost</t>
  </si>
  <si>
    <t>GEOTHERMAL</t>
  </si>
  <si>
    <t>CAPITAL STRUCTURE &amp; FINANCING SUMMARY</t>
  </si>
  <si>
    <t xml:space="preserve">Loan Tenor </t>
  </si>
  <si>
    <t>OVERVIEW OF FINANCING</t>
  </si>
  <si>
    <t xml:space="preserve">Equity Financing, Total </t>
  </si>
  <si>
    <t xml:space="preserve">Debt Financing, Total </t>
  </si>
  <si>
    <t>COST OF PUBLIC INSTRUMENTS</t>
  </si>
  <si>
    <t>METRIC 1 - INVESTMENT LEVERAGE RATIO</t>
  </si>
  <si>
    <t>METRIC 2 - SAVINGS LEVERAGE RATIO</t>
  </si>
  <si>
    <t xml:space="preserve">METRIC 4 - CARBON ABATEMENT </t>
  </si>
  <si>
    <t>Light Fuel Oil</t>
  </si>
  <si>
    <t>Debt/Equity Split</t>
  </si>
  <si>
    <t>GENERAL INPUTS</t>
  </si>
  <si>
    <t>Model Country</t>
  </si>
  <si>
    <t>a (increase per annum)</t>
  </si>
  <si>
    <t>b</t>
  </si>
  <si>
    <t>USD</t>
  </si>
  <si>
    <t>Manual Entry</t>
  </si>
  <si>
    <t xml:space="preserve">User-defined, linear function </t>
  </si>
  <si>
    <t>MODEL DEFAULT</t>
  </si>
  <si>
    <t>USER-DEFINED, LINEAR FUNCTION</t>
  </si>
  <si>
    <t>Approach 1 - Model Default</t>
  </si>
  <si>
    <t>Approach 2 - User-defined, annually adjusted</t>
  </si>
  <si>
    <t>Approach 3 - User-defined, linear function</t>
  </si>
  <si>
    <t>Approach 4 - Manual Entry</t>
  </si>
  <si>
    <t>COAL</t>
  </si>
  <si>
    <t>NATURAL GAS</t>
  </si>
  <si>
    <t>LIGHT FUEL OIL</t>
  </si>
  <si>
    <t>HEAVY FUEL OIL</t>
  </si>
  <si>
    <t xml:space="preserve">Check </t>
  </si>
  <si>
    <t>Total</t>
  </si>
  <si>
    <t>tCO2e/MWh</t>
  </si>
  <si>
    <t>Grid Emission Factor</t>
  </si>
  <si>
    <t>Effective Corporate Tax Rate</t>
  </si>
  <si>
    <t>Public Cost of Capital</t>
  </si>
  <si>
    <t>USER-DEFINED, MANUAL ENTRY</t>
  </si>
  <si>
    <t>Total Annual  Energy Production for Target</t>
  </si>
  <si>
    <t>Costing Method</t>
  </si>
  <si>
    <t>Annual Cost Method</t>
  </si>
  <si>
    <t>Lump Sum Method</t>
  </si>
  <si>
    <t>Policy Instrument Costing</t>
  </si>
  <si>
    <t>Commercial loans with public guarantees</t>
  </si>
  <si>
    <t>Commercial loans without public guarantees</t>
  </si>
  <si>
    <t xml:space="preserve">Breakdown of debt products </t>
  </si>
  <si>
    <t>Yes</t>
  </si>
  <si>
    <t>Paid-in Capital Multiplier</t>
  </si>
  <si>
    <t>No</t>
  </si>
  <si>
    <t>If multiplier is not used, please assign 1</t>
  </si>
  <si>
    <t xml:space="preserve">METRIC 3 - END-USER AFFORDABILITY </t>
  </si>
  <si>
    <t>Public Guarantees</t>
  </si>
  <si>
    <t>Interest Expense, commercial loan with public guarantees</t>
  </si>
  <si>
    <t>Interest Expense, commercial loan without public guarantees</t>
  </si>
  <si>
    <t xml:space="preserve">Public Guarantee Fees </t>
  </si>
  <si>
    <t>Permits Risk</t>
  </si>
  <si>
    <t>Resources</t>
  </si>
  <si>
    <t>LCOE by Technology</t>
  </si>
  <si>
    <t>This sheet is organised into two sections.</t>
  </si>
  <si>
    <t>Guidance:</t>
  </si>
  <si>
    <t>(click above to ungroup)</t>
  </si>
  <si>
    <t>Investment</t>
  </si>
  <si>
    <t>Lifetime of Investment</t>
  </si>
  <si>
    <t>Country Inputs</t>
  </si>
  <si>
    <t>Pre-derisking</t>
  </si>
  <si>
    <t>Post-derisking</t>
  </si>
  <si>
    <t>B. Stage 1: Risk Environment</t>
  </si>
  <si>
    <t>C. Stage 2: Public Instruments</t>
  </si>
  <si>
    <t>D. Stage 3: LCOE</t>
  </si>
  <si>
    <t>B. STAGE 1: RISK ENVIRONMENT</t>
  </si>
  <si>
    <t>CAPITAL STRUCTURE &amp; FINANCING INPUTS</t>
  </si>
  <si>
    <t>C. STAGE 2: PUBLIC INSTRUMENTS</t>
  </si>
  <si>
    <t xml:space="preserve">Term of guarantee coverage </t>
  </si>
  <si>
    <t xml:space="preserve">Term of Political Risk Insurance </t>
  </si>
  <si>
    <t xml:space="preserve">Front-end Fee </t>
  </si>
  <si>
    <t xml:space="preserve">Annual Political Risk Insurance Premium </t>
  </si>
  <si>
    <t>C. STAGE 3: LCOE</t>
  </si>
  <si>
    <t>This sheet is organised into four sections.</t>
  </si>
  <si>
    <t>Time Effect Discount</t>
  </si>
  <si>
    <t>TECHNOLOGY &amp; OPERATIONAL INPUTS</t>
  </si>
  <si>
    <t>Technology Inputs</t>
  </si>
  <si>
    <t>Public Loans</t>
  </si>
  <si>
    <t>Public Loan</t>
  </si>
  <si>
    <t>Calculation Methodology</t>
  </si>
  <si>
    <t>D. STAGE 3: LCOE</t>
  </si>
  <si>
    <t xml:space="preserve">Public loans </t>
  </si>
  <si>
    <t>INSTRUMENT SELECTION</t>
  </si>
  <si>
    <t>Lump Sum</t>
  </si>
  <si>
    <t>PV @ Public Cost of Capital</t>
  </si>
  <si>
    <t>Commercial Loan w/out Guarantees</t>
  </si>
  <si>
    <t>Commercial Loan with Guarantees</t>
  </si>
  <si>
    <t>Equity</t>
  </si>
  <si>
    <t>Cost of Instrument</t>
  </si>
  <si>
    <t>Cost of Equity &amp; Cost of Debt</t>
  </si>
  <si>
    <t>Incremental Risk Apportioning to Cost of Equity and Cost of Debt</t>
  </si>
  <si>
    <t>NA</t>
  </si>
  <si>
    <t>Front-end fees, commercial loan without guarantees</t>
  </si>
  <si>
    <t>Front-end fee, commercial loan with guarantees</t>
  </si>
  <si>
    <t>Front-end fee, public loan</t>
  </si>
  <si>
    <t>Guarantee coverage</t>
  </si>
  <si>
    <t>Front-end fee, commercial loans without public guarantees</t>
  </si>
  <si>
    <t xml:space="preserve"> Instrument Impact on                                                                                                  Cost of Equity &amp; Cost of Debt</t>
  </si>
  <si>
    <t>Best-in-Class Country</t>
  </si>
  <si>
    <t>INSTRUMENT EFFECTIVENESS &amp; IMPACT</t>
  </si>
  <si>
    <t>INSTRUMENT COSTING</t>
  </si>
  <si>
    <t>RISK WATERFALL</t>
  </si>
  <si>
    <t>Instrument Selection (Y/ N)</t>
  </si>
  <si>
    <t xml:space="preserve">Total Impact </t>
  </si>
  <si>
    <t>POLICY DERISKING INSTRUMENTS</t>
  </si>
  <si>
    <t>Multiple</t>
  </si>
  <si>
    <t>Operations &amp; Maintenance Calculation Method</t>
  </si>
  <si>
    <t>Sum of all technologies must equal 100%</t>
  </si>
  <si>
    <t>FINANCIAL DERISKING INSTRUMENTS, SELECTION &amp; COSTING</t>
  </si>
  <si>
    <t>PostDeriskingInputMethod</t>
  </si>
  <si>
    <t>Risk Waterfall</t>
  </si>
  <si>
    <t>Manual Entry Method, Financing Assumptions</t>
  </si>
  <si>
    <t xml:space="preserve">If a risk category is not applicable or not relevant, please denote by </t>
  </si>
  <si>
    <t>putting NA in the appropriate cell.</t>
  </si>
  <si>
    <t>See note:</t>
  </si>
  <si>
    <t xml:space="preserve">See note: </t>
  </si>
  <si>
    <t xml:space="preserve">Interest Expense, public loan </t>
  </si>
  <si>
    <t>Public loan</t>
  </si>
  <si>
    <t>C. Depreciation, Supporting Calculations</t>
  </si>
  <si>
    <t>This sheet is organised into three sections.</t>
  </si>
  <si>
    <t>B. FINANCING, SUPPORTING CALCULATIONS</t>
  </si>
  <si>
    <t>C. DEPRECIATION, SUPPORTING CALCULATIONS</t>
  </si>
  <si>
    <t>C. FINANCING, SUPPORTING CALCULATIONS</t>
  </si>
  <si>
    <t>D. DEPRECIATION, SUPPORTING CALCULATIONS</t>
  </si>
  <si>
    <t>D. Depreciation, Supporting Calculations</t>
  </si>
  <si>
    <t>A. FUEL PRICE DATA</t>
  </si>
  <si>
    <t xml:space="preserve">Period </t>
  </si>
  <si>
    <t>Model assumes guarantee fees are paid annually.</t>
  </si>
  <si>
    <t>Baseline model assumes 1MW plant size for each applicable</t>
  </si>
  <si>
    <t>I.</t>
  </si>
  <si>
    <t>II.</t>
  </si>
  <si>
    <t>III.</t>
  </si>
  <si>
    <t>IV.</t>
  </si>
  <si>
    <t>V.</t>
  </si>
  <si>
    <t>VI.</t>
  </si>
  <si>
    <t>DERISKING RENEWABLE ENERGY INVESTMENT</t>
  </si>
  <si>
    <t>Baseline Energy Mix LCOE</t>
  </si>
  <si>
    <t xml:space="preserve">Inputs, Baseline Energy Mix </t>
  </si>
  <si>
    <t>Summary Outputs</t>
  </si>
  <si>
    <t xml:space="preserve">LCOE, Baseline Energy Mix </t>
  </si>
  <si>
    <t>B. TABLE OF CONTENTS</t>
  </si>
  <si>
    <t>C. IMPORTANT GUIDANCE</t>
  </si>
  <si>
    <t>D. DISCLAIMER</t>
  </si>
  <si>
    <t xml:space="preserve"> - Input cells require the user to enter numeric data or to select an option from a drop-down menu.</t>
  </si>
  <si>
    <t xml:space="preserve"> - An output cell consists of a pre-existing formula. Do NOT enter data into an output cell. If the formula is overwritten, this could compromise the financial tool.</t>
  </si>
  <si>
    <t xml:space="preserve">This financial tool is for informational purposes only. UNDP is not responsible and does not accept any liability whatsoever for the accuracy of this financial tool or any data within it. </t>
  </si>
  <si>
    <t>This financial tool does not represent an endorsement by UNDP of any activity or project.</t>
  </si>
  <si>
    <t>WIND, VERSION 1.0 (APRIL 2013)</t>
  </si>
  <si>
    <t>A.  OVERVIEW</t>
  </si>
  <si>
    <t>Additional Data</t>
  </si>
  <si>
    <t>I. SUMMARY OUTPUTS</t>
  </si>
  <si>
    <t>A. BASELINE ENERGY MIX</t>
  </si>
  <si>
    <t>LCOE - Baseline Energy Mix</t>
  </si>
  <si>
    <t xml:space="preserve">Annual Savings Due to Derisking </t>
  </si>
  <si>
    <t xml:space="preserve">Annual Incremental Cost </t>
  </si>
  <si>
    <t xml:space="preserve">Share of Generation Mix by Technology </t>
  </si>
  <si>
    <t xml:space="preserve">Debt </t>
  </si>
  <si>
    <t xml:space="preserve">LCOE AND INCREMENTAL COSTS </t>
  </si>
  <si>
    <t>Commercial Loans with Public Guarantees</t>
  </si>
  <si>
    <t>Commercial Loans without Public Guarantees</t>
  </si>
  <si>
    <t>Public Guarantees for Commercial Loans</t>
  </si>
  <si>
    <t>Direct Financial Incentives</t>
  </si>
  <si>
    <t>PERFORMANCE METRICS</t>
  </si>
  <si>
    <t xml:space="preserve">Policy Derisking Instruments </t>
  </si>
  <si>
    <t>Present Value of:</t>
  </si>
  <si>
    <t>Policy Derisking Costs</t>
  </si>
  <si>
    <t xml:space="preserve">Financial Derisking Costs </t>
  </si>
  <si>
    <t>Incremental Cost</t>
  </si>
  <si>
    <t>% Change in Abatement Costs per t/CO2e</t>
  </si>
  <si>
    <t>II. INPUTS, BASELINE ENERGY MIX</t>
  </si>
  <si>
    <t>A. GENERAL INPUTS, BASELINE ENERGY MIX</t>
  </si>
  <si>
    <t>Please go to UNDP's website to download the report, latest versions of this financial tool and other materials:</t>
  </si>
  <si>
    <t xml:space="preserve">Public Loans </t>
  </si>
  <si>
    <t xml:space="preserve">Pre-derisking </t>
  </si>
  <si>
    <t>A. General Inputs, Baseline Energy Mix</t>
  </si>
  <si>
    <t>Input cells</t>
  </si>
  <si>
    <t>Output cells</t>
  </si>
  <si>
    <t>Guidance comments</t>
  </si>
  <si>
    <t>Checks</t>
  </si>
  <si>
    <t>Protected sheets and cells</t>
  </si>
  <si>
    <t>FINANCIAL DERISKING INSTRUMENTS</t>
  </si>
  <si>
    <t xml:space="preserve">Total Cost </t>
  </si>
  <si>
    <t>POLICY DERISKING INSTRUMENTS (COST TO PUBLIC SECTOR)</t>
  </si>
  <si>
    <t>Public Guarantees to Commercial Loans</t>
  </si>
  <si>
    <t xml:space="preserve">Instrument Description </t>
  </si>
  <si>
    <t>Instrument Description</t>
  </si>
  <si>
    <t xml:space="preserve">On Cost of Equity </t>
  </si>
  <si>
    <t>On Cost of Debt</t>
  </si>
  <si>
    <t>A. LCOE Models by Baseline Technology</t>
  </si>
  <si>
    <t>B. Financing, Supporting Calculations</t>
  </si>
  <si>
    <t>IV. LCOE,  BASELINE ENERGY MIX</t>
  </si>
  <si>
    <t>A. LCOE MODELS BY BASELINE TECHNOLOGY</t>
  </si>
  <si>
    <t>C. Financing, Supporting Calculations</t>
  </si>
  <si>
    <t>Geo-thermal</t>
  </si>
  <si>
    <t xml:space="preserve">installed </t>
  </si>
  <si>
    <t xml:space="preserve">O&amp;M/MW </t>
  </si>
  <si>
    <t>A. Fuel Price Data</t>
  </si>
  <si>
    <t>B. Operations &amp; Maintenance Data, Wind Energy</t>
  </si>
  <si>
    <t>B. OPERATIONS &amp; MAINTENANCE DATA, WIND ENERGY</t>
  </si>
  <si>
    <t>The tool's LCOE calculations are based on the formula used by the Energy research Centre for the Netherlands and is as follows</t>
  </si>
  <si>
    <t>Supplementary Information</t>
  </si>
  <si>
    <t>Political Risk Insurance (PRI) for Equity Providers</t>
  </si>
  <si>
    <t xml:space="preserve"> Post-derisking</t>
  </si>
  <si>
    <t xml:space="preserve"> - To unprotect sheets and cells, go to review &gt; unprotect sheet. The password to unprotect sheets is "energy". </t>
  </si>
  <si>
    <t xml:space="preserve"> - This introductory sheet may not be unprotected.</t>
  </si>
  <si>
    <t>The following modelling conventions are used throughout this tool:</t>
  </si>
  <si>
    <t>Commercial loans with Public Guarantees</t>
  </si>
  <si>
    <t>Commercial loans without Public Guarantees</t>
  </si>
  <si>
    <t>Financial Instrument Reserve Allocation</t>
  </si>
  <si>
    <t>Front End Fees</t>
  </si>
  <si>
    <t>VIII.</t>
  </si>
  <si>
    <r>
      <t xml:space="preserve"> - Output cells are formatted in </t>
    </r>
    <r>
      <rPr>
        <b/>
        <sz val="10"/>
        <rFont val="Arial"/>
        <family val="2"/>
      </rPr>
      <t xml:space="preserve">black </t>
    </r>
    <r>
      <rPr>
        <sz val="10"/>
        <rFont val="Arial"/>
        <family val="2"/>
      </rPr>
      <t>font</t>
    </r>
    <r>
      <rPr>
        <b/>
        <sz val="10"/>
        <rFont val="Arial"/>
        <family val="2"/>
      </rPr>
      <t xml:space="preserve">. </t>
    </r>
  </si>
  <si>
    <t>Guarantee term is set equal to the tenor of the underlying</t>
  </si>
  <si>
    <t>commercial loan.</t>
  </si>
  <si>
    <t>BASELINE</t>
  </si>
  <si>
    <t>BACKUP</t>
  </si>
  <si>
    <r>
      <t xml:space="preserve">This financial tool supports the framework presented in UNDP's </t>
    </r>
    <r>
      <rPr>
        <i/>
        <sz val="10"/>
        <rFont val="Arial"/>
        <family val="2"/>
      </rPr>
      <t xml:space="preserve">Derisking Renewable Energy Investment </t>
    </r>
    <r>
      <rPr>
        <sz val="10"/>
        <rFont val="Arial"/>
        <family val="2"/>
      </rPr>
      <t xml:space="preserve">report to assist policymakers in selecting public instruments to promote </t>
    </r>
  </si>
  <si>
    <t>User Notes</t>
  </si>
  <si>
    <r>
      <t xml:space="preserve"> - Input cells are formatted in </t>
    </r>
    <r>
      <rPr>
        <sz val="10"/>
        <color indexed="12"/>
        <rFont val="Arial"/>
        <family val="2"/>
      </rPr>
      <t xml:space="preserve">blue </t>
    </r>
    <r>
      <rPr>
        <sz val="10"/>
        <rFont val="Arial"/>
        <family val="2"/>
      </rPr>
      <t>font.</t>
    </r>
    <r>
      <rPr>
        <sz val="10"/>
        <color indexed="12"/>
        <rFont val="Arial"/>
        <family val="2"/>
      </rPr>
      <t xml:space="preserve"> </t>
    </r>
    <r>
      <rPr>
        <b/>
        <sz val="10"/>
        <color indexed="12"/>
        <rFont val="Arial"/>
        <family val="2"/>
      </rPr>
      <t xml:space="preserve"> </t>
    </r>
    <r>
      <rPr>
        <sz val="10"/>
        <rFont val="Arial"/>
        <family val="2"/>
      </rPr>
      <t>An example of the format is as follows:</t>
    </r>
  </si>
  <si>
    <r>
      <t xml:space="preserve"> - Sometimes input cells may be formatted in </t>
    </r>
    <r>
      <rPr>
        <sz val="10"/>
        <color rgb="FF7030A0"/>
        <rFont val="Arial"/>
        <family val="2"/>
      </rPr>
      <t>purple</t>
    </r>
    <r>
      <rPr>
        <sz val="10"/>
        <rFont val="Arial"/>
        <family val="2"/>
      </rPr>
      <t xml:space="preserve"> font. This signifies that default input data is inserted to act as a initial guide. Users are invited to input their own data.</t>
    </r>
  </si>
  <si>
    <t xml:space="preserve"> - The input sheets have a column with guidance comments. These comments provide explanatory notes, definitions and address common issues.</t>
  </si>
  <si>
    <t xml:space="preserve"> - The column with guidance comments is initially hidden from view. To view the comments click on the ungroup symbol (which appeas as a "+" sign) in the top right-hand corner of the sheet. </t>
  </si>
  <si>
    <r>
      <t xml:space="preserve"> - Check cells will appear when there is an invalid entry of some sort. Check cells are formatted in </t>
    </r>
    <r>
      <rPr>
        <i/>
        <sz val="10"/>
        <color rgb="FFFF0000"/>
        <rFont val="Arial"/>
        <family val="2"/>
      </rPr>
      <t xml:space="preserve">red font. </t>
    </r>
    <r>
      <rPr>
        <sz val="10"/>
        <rFont val="Arial"/>
        <family val="2"/>
      </rPr>
      <t>If it appears, the check cell provides guidance on how to rectify the invalid entry.</t>
    </r>
  </si>
  <si>
    <t xml:space="preserve"> - In order to ensure that the tool maintains its functionality and formulae are not accidently deleted and/or comprimised, this tool is distributed with sheets and cells in 'protected' mode. </t>
  </si>
  <si>
    <t>A. Baseline Energy Mix</t>
  </si>
  <si>
    <t>Total Public Cost of Policy Derisking Instruments</t>
  </si>
  <si>
    <t>Total Public Cost of Financial Derisking Instruments</t>
  </si>
  <si>
    <t>Mt CO2e</t>
  </si>
  <si>
    <t>Share of Debt Financing</t>
  </si>
  <si>
    <t>Front-end Fee</t>
  </si>
  <si>
    <t>Annual Interest Rate, Public Loans</t>
  </si>
  <si>
    <t>Annual Interest Rate, Commercial Loans with Public Guarantees</t>
  </si>
  <si>
    <t>Front-end Fee, Commercial Loans</t>
  </si>
  <si>
    <t>Loan Tenor, Commercial Loans</t>
  </si>
  <si>
    <t xml:space="preserve">Term of Public Guarantee Coverage </t>
  </si>
  <si>
    <t>Guarantee Coverage, as a % of Commercial Loan Value</t>
  </si>
  <si>
    <t>Front-end Fee, Public Guarantee</t>
  </si>
  <si>
    <t xml:space="preserve">Annual Public Guarantee Fee </t>
  </si>
  <si>
    <t>PRI Coverage, as a % of Total Equity Investment</t>
  </si>
  <si>
    <t>User-Defined, Annually Adjusted (% change yoy)</t>
  </si>
  <si>
    <t>Fuel Cost, Starting Price</t>
  </si>
  <si>
    <t>Fuel Cost, Annual Increase</t>
  </si>
  <si>
    <t>User-Defined, Linear Function (y = ax + b)</t>
  </si>
  <si>
    <t>Operations &amp; Maintenance Expense, Year 1</t>
  </si>
  <si>
    <t>Operations &amp; Maintenance Expense, Annual Increase</t>
  </si>
  <si>
    <t>Check -&gt;</t>
  </si>
  <si>
    <t>technology.</t>
  </si>
  <si>
    <t>Commercial Loans with Public Guarantees as Share of Total Debt Financing</t>
  </si>
  <si>
    <t>Public Loans as Share of Total Debt Financing</t>
  </si>
  <si>
    <t>Straight Line (over the Life Span of Each Investment)</t>
  </si>
  <si>
    <t>Please select one of four calculation methodolologies from the dropdown menu</t>
  </si>
  <si>
    <r>
      <rPr>
        <i/>
        <sz val="10"/>
        <color theme="1"/>
        <rFont val="Arial"/>
        <family val="2"/>
      </rPr>
      <t>Model Default</t>
    </r>
    <r>
      <rPr>
        <sz val="10"/>
        <color theme="1"/>
        <rFont val="Arial"/>
        <family val="2"/>
      </rPr>
      <t>: uses default data pulled from Sheet VI. Additional Data</t>
    </r>
  </si>
  <si>
    <r>
      <rPr>
        <i/>
        <sz val="10"/>
        <color theme="1"/>
        <rFont val="Arial"/>
        <family val="2"/>
      </rPr>
      <t xml:space="preserve">Manual Entry: </t>
    </r>
    <r>
      <rPr>
        <sz val="10"/>
        <color theme="1"/>
        <rFont val="Arial"/>
        <family val="2"/>
      </rPr>
      <t xml:space="preserve">is inputted by the user in Sheet VI. Additional Data </t>
    </r>
  </si>
  <si>
    <r>
      <rPr>
        <i/>
        <sz val="10"/>
        <color theme="1"/>
        <rFont val="Arial"/>
        <family val="2"/>
      </rPr>
      <t xml:space="preserve">User-Defined, Linear Function: </t>
    </r>
    <r>
      <rPr>
        <sz val="10"/>
        <color theme="1"/>
        <rFont val="Arial"/>
        <family val="2"/>
      </rPr>
      <t>is inputted by the user in this sheet</t>
    </r>
  </si>
  <si>
    <r>
      <rPr>
        <i/>
        <sz val="10"/>
        <color theme="1"/>
        <rFont val="Arial"/>
        <family val="2"/>
      </rPr>
      <t xml:space="preserve">User-Defined, Annually Adjusted: </t>
    </r>
    <r>
      <rPr>
        <sz val="10"/>
        <color theme="1"/>
        <rFont val="Arial"/>
        <family val="2"/>
      </rPr>
      <t xml:space="preserve">is inputted by the user in this sheet </t>
    </r>
  </si>
  <si>
    <t>Streamlined process for permits; Establish a dedicated one-stop shop for RE permits; contract enforcement and recourse mechanisms</t>
  </si>
  <si>
    <t>Awareness-raising campaigns targeting communities and end-users; pilot models for community involvement at project sites</t>
  </si>
  <si>
    <t>Share of Debt Financing by Product</t>
  </si>
  <si>
    <t>Check-&gt;</t>
  </si>
  <si>
    <t>Cost of Debt: Public Loans</t>
  </si>
  <si>
    <t>Cost of Debt: Commercial Loans with Public Guarantees</t>
  </si>
  <si>
    <t>Cost of Debt: Commercial Loans without Public Guarantees</t>
  </si>
  <si>
    <r>
      <rPr>
        <i/>
        <sz val="10"/>
        <color theme="1"/>
        <rFont val="Arial"/>
        <family val="2"/>
      </rPr>
      <t xml:space="preserve">Manual Entry: </t>
    </r>
    <r>
      <rPr>
        <sz val="10"/>
        <color theme="1"/>
        <rFont val="Arial"/>
        <family val="2"/>
      </rPr>
      <t>if selected, please input the cost of financing directly below</t>
    </r>
  </si>
  <si>
    <r>
      <rPr>
        <i/>
        <sz val="10"/>
        <color theme="1"/>
        <rFont val="Arial"/>
        <family val="2"/>
      </rPr>
      <t xml:space="preserve">Risk Waterfall: </t>
    </r>
    <r>
      <rPr>
        <sz val="10"/>
        <color theme="1"/>
        <rFont val="Arial"/>
        <family val="2"/>
      </rPr>
      <t>if selected, please input data into the risk waterfall module</t>
    </r>
  </si>
  <si>
    <t>If "incorrect apportioning" appears, the values inputed for risk apportioning do not equal the delta b/w the modelling country and best in class country</t>
  </si>
  <si>
    <r>
      <rPr>
        <i/>
        <sz val="10"/>
        <color theme="1"/>
        <rFont val="Arial"/>
        <family val="2"/>
      </rPr>
      <t xml:space="preserve">Annual Cost: </t>
    </r>
    <r>
      <rPr>
        <sz val="10"/>
        <color theme="1"/>
        <rFont val="Arial"/>
        <family val="2"/>
      </rPr>
      <t xml:space="preserve">This is an automated calculation. The user inputs the annual cost of a policy derisking instrument, the number of years for implementation, and </t>
    </r>
  </si>
  <si>
    <t xml:space="preserve">the public discount rate. </t>
  </si>
  <si>
    <t>Annual Interest Rate, Commercial Loans</t>
  </si>
  <si>
    <t xml:space="preserve">Front-end Fee, Commercial Loans </t>
  </si>
  <si>
    <t>Guarantee coverage, as a % of Commercial Loan Value</t>
  </si>
  <si>
    <t>Term of Public Guarantee</t>
  </si>
  <si>
    <t>Annual Guarantee Fee</t>
  </si>
  <si>
    <t>Political Risk Insurance for Equity Investmnet</t>
  </si>
  <si>
    <t>Public Cost Reserve Allocation for Public Loans, as a % of Total Value</t>
  </si>
  <si>
    <t>Public Cost Reserve Allocation for Public Guarantees, as a % of Total Value</t>
  </si>
  <si>
    <t>Public Cost Reserve allocation for Political Risk Insurance, as a % of Total Value</t>
  </si>
  <si>
    <t>Public Cost Leverage Inputs</t>
  </si>
  <si>
    <t>Use of Paid-in Capital Leverage Multiplier</t>
  </si>
  <si>
    <t>Paid-in Capital Leverage Multiplier</t>
  </si>
  <si>
    <t xml:space="preserve">Please select costing method for each policy instrument and input cost assumptions. </t>
  </si>
  <si>
    <r>
      <rPr>
        <i/>
        <sz val="10"/>
        <color theme="1"/>
        <rFont val="Arial"/>
        <family val="2"/>
      </rPr>
      <t xml:space="preserve">Lump Sum: </t>
    </r>
    <r>
      <rPr>
        <sz val="10"/>
        <color theme="1"/>
        <rFont val="Arial"/>
        <family val="2"/>
      </rPr>
      <t>The user inputs the total cost of a policy derisking instrument for the full implementation period, discounted to today</t>
    </r>
  </si>
  <si>
    <t>This sheet is left blank for user notes</t>
  </si>
  <si>
    <t>Where,</t>
  </si>
  <si>
    <t>% Equity Capital = portion of the investment funded by equity investors</t>
  </si>
  <si>
    <t>O&amp;M Expense = operations and maintenance expenses</t>
  </si>
  <si>
    <t>Debt Financing Costs = interest &amp; principal payments on debt</t>
  </si>
  <si>
    <t>Depreciation = depreciation on fixed assets</t>
  </si>
  <si>
    <t>Cost of Equity = after-tax target equity IRR</t>
  </si>
  <si>
    <t>Default value for non-depreciable is set to 5% to reflect land</t>
  </si>
  <si>
    <t>POST-DERISKING INPUT METHOD</t>
  </si>
  <si>
    <t>Input method for Post-derisking Financing Assumptions</t>
  </si>
  <si>
    <t>Please input loan tenor assumptions in whole numbers.</t>
  </si>
  <si>
    <t>EUR/MW</t>
  </si>
  <si>
    <t>EUR/MWh</t>
  </si>
  <si>
    <t>EUR/kWh</t>
  </si>
  <si>
    <t>EUR/year</t>
  </si>
  <si>
    <t>EUR</t>
  </si>
  <si>
    <t>EUR/tCO2e</t>
  </si>
  <si>
    <t>Currency/Macro Risk</t>
  </si>
  <si>
    <t>Cost of Partial Indexing</t>
  </si>
  <si>
    <t xml:space="preserve">Annual energy production </t>
  </si>
  <si>
    <t>Post derisking tariff</t>
  </si>
  <si>
    <t>Annual Cost of Production</t>
  </si>
  <si>
    <t>Annual depreciation local vs EUR</t>
  </si>
  <si>
    <t>Annual Cost of Production LOC</t>
  </si>
  <si>
    <t xml:space="preserve">Public cost of capital </t>
  </si>
  <si>
    <t>% indexation</t>
  </si>
  <si>
    <t>Marginal cost due to currency depreciation</t>
  </si>
  <si>
    <t>PV of marginal cost due to currency depreciation</t>
  </si>
  <si>
    <t>Cost of partial indexing product</t>
  </si>
  <si>
    <t>Weighted Average Cost of Capital (Post tax)</t>
  </si>
  <si>
    <t>MWh/year</t>
  </si>
  <si>
    <t>Grid/Transmission Risk</t>
  </si>
  <si>
    <t>Take or Pay Clause in PPA</t>
  </si>
  <si>
    <t>Government Guarantee for PPA</t>
  </si>
  <si>
    <t>Partial Indexing</t>
  </si>
  <si>
    <t xml:space="preserve">Grid/Transmission, Counteryparty and Financial Sector Risk has multiple instruments. The sum of the efffectiveness percentages cannot exceed 100% </t>
  </si>
  <si>
    <t>hours/year</t>
  </si>
  <si>
    <t>Long term targets; regulatory framework; standardised PPA; independent regulator</t>
  </si>
  <si>
    <t>Resource assessment; Technology and O&amp;M assistance</t>
  </si>
  <si>
    <t>Grid code; grid management studies</t>
  </si>
  <si>
    <t>Financial sector reform; strengthening investors' familiarity and assessment capacity for renewable energy</t>
  </si>
  <si>
    <t xml:space="preserve">Present Value of </t>
  </si>
  <si>
    <t>Share of Public Loans to Total Debt Financing</t>
  </si>
  <si>
    <t>Share of Commercial Loans with Public Guarantees to Total Debt Financing</t>
  </si>
  <si>
    <t>FINANCIAL DERISKING INSTRUMENTS - WITH RESERVES (COST TO PROJECT SPONSOR)</t>
  </si>
  <si>
    <t>FINANCIAL DERISKING INSTRUMENTS - WITH RESERVES (COST TO PUBLIC SECTOR)</t>
  </si>
  <si>
    <t>FINANCIAL DERISKING INSTRUMENTS - WITHOUT RESERVES (COST TO PUBLIC SECTOR)</t>
  </si>
  <si>
    <t>GENERATION COSTS - RESOURCE INPUTS</t>
  </si>
  <si>
    <t>GENERATION COSTS  - OPERATIONAL INPUTS</t>
  </si>
  <si>
    <t>Typical length of Transmission Line</t>
  </si>
  <si>
    <t>Km</t>
  </si>
  <si>
    <t xml:space="preserve">Voltage of Transmission Line </t>
  </si>
  <si>
    <t>Typical size of RE Plant</t>
  </si>
  <si>
    <t>kV</t>
  </si>
  <si>
    <t>IX.</t>
  </si>
  <si>
    <t>Inputs, Renewable Energy</t>
  </si>
  <si>
    <t xml:space="preserve">LCOE, Renewable Energy - Generation </t>
  </si>
  <si>
    <t xml:space="preserve">B. Renewable Energy </t>
  </si>
  <si>
    <t xml:space="preserve">B. RENEWABLE ENERGY </t>
  </si>
  <si>
    <t>Renewable Energy Capacity Factor (%)</t>
  </si>
  <si>
    <t>Renewable Energy Investment Cost</t>
  </si>
  <si>
    <t xml:space="preserve">Renewable Energy </t>
  </si>
  <si>
    <t>LCOE - Renewable Energy</t>
  </si>
  <si>
    <t>LCOE - Renewable Energy - Generation Component</t>
  </si>
  <si>
    <t xml:space="preserve">LCOE - Renewable Energy - Balancing Cost Component </t>
  </si>
  <si>
    <t xml:space="preserve">Incremental Cost of Renewable Energy vs Baseline </t>
  </si>
  <si>
    <t>Incremental Cost of Renewable Energy vs. Baseline - Pre vs. Post Derisking</t>
  </si>
  <si>
    <t>Total Investment in Renewable Energy to Meet Target</t>
  </si>
  <si>
    <t>Investment in Renewable Energy</t>
  </si>
  <si>
    <t>Renewable Energy LCOE</t>
  </si>
  <si>
    <t>% Change in Renewable Energy LCOE</t>
  </si>
  <si>
    <t>III. INPUTS, RENEWABLE ENERGY</t>
  </si>
  <si>
    <t xml:space="preserve">A. GENERAL INPUTS, RENEWABLE ENERGY </t>
  </si>
  <si>
    <t>A. General Inputs, Renewable Energy</t>
  </si>
  <si>
    <t>Renewable Energy Generation, Post-derisking</t>
  </si>
  <si>
    <t>V. LCOE, RENEWABLE ENERGY GENERATION</t>
  </si>
  <si>
    <t>A. LCOE Model, Renewable Energy Generation Pre-derisking</t>
  </si>
  <si>
    <t>B. LCOE Model, Renewable Energy Generation Post-derisking</t>
  </si>
  <si>
    <t>A. LCOE MODEL: RENEWABLE ENERGY GENERATION, PRE-DERISKING</t>
  </si>
  <si>
    <t>RENEWABLE ENERGY GENERATION, PRE-DERISKING</t>
  </si>
  <si>
    <t>B. LCOE MODEL: RENEWABLE ENERGY GENERATION, POST-DERISKING</t>
  </si>
  <si>
    <t>RENEWABLE ENERGY GENERATION, POST-DERISKING</t>
  </si>
  <si>
    <t>Renewable Energy Generation, Pre-derisking</t>
  </si>
  <si>
    <t>VI. LCOE, RENEWABLE ENERGY GRID INTERCONNECTION</t>
  </si>
  <si>
    <t>A. LCOE MODEL: RENEWABLE ENERGY GRID INTERCONNECTION, PRE-DERISKING</t>
  </si>
  <si>
    <t>RENEWABLE ENERGY GRID INTERCONNECTION, PRE-DERISKING</t>
  </si>
  <si>
    <t>B. LCOE MODEL: RENEWABLE ENERGY GRID INTERCONNECTION, POST-DERISKING</t>
  </si>
  <si>
    <t>RENEWABLE ENERGY GRID INTERCONNECTION, POST-DERISKING</t>
  </si>
  <si>
    <t>Renewable Energy Grid Interconnection, Pre-derisking</t>
  </si>
  <si>
    <t>Renewable Energy Grid Interconnection, Post-derisking</t>
  </si>
  <si>
    <t>Cost of Take or Pay</t>
  </si>
  <si>
    <t>Full Days per Year with Grid Issues</t>
  </si>
  <si>
    <t>Days</t>
  </si>
  <si>
    <t>Equivalent Percentage of days/year</t>
  </si>
  <si>
    <t>Annual EUR production</t>
  </si>
  <si>
    <t>Cost of Lost Annual Production</t>
  </si>
  <si>
    <t>After-Tax LCOE</t>
  </si>
  <si>
    <t>A. LCOE Model, Renewable Energy Grid Interconnection, Pre-derisking</t>
  </si>
  <si>
    <t>B. LCOE Model, Renewable Energy Grid Interconnection, Post-derisking</t>
  </si>
  <si>
    <t>LCOE - Renewable Energy - Grid Interconnection Component</t>
  </si>
  <si>
    <t xml:space="preserve">Country: </t>
  </si>
  <si>
    <t>Technology:</t>
  </si>
  <si>
    <t xml:space="preserve">Model updated as of: </t>
  </si>
  <si>
    <t>Model updated by:</t>
  </si>
  <si>
    <t>This financial tool is organised into the following nine sheets</t>
  </si>
  <si>
    <t>http://www.undp.org/DREI</t>
  </si>
  <si>
    <t>Baseline Energy Mix Technology</t>
  </si>
  <si>
    <t>Tunisia</t>
  </si>
  <si>
    <t>Please select method to calculate the post-derisking cost of financing</t>
  </si>
  <si>
    <t>PV of Cost of Take or Pay Clause</t>
  </si>
  <si>
    <t>Paid-in-capital multiplier refers to the ability of multilateral development banks</t>
  </si>
  <si>
    <t xml:space="preserve">to leverage paid-in capital on the international bond markets. </t>
  </si>
  <si>
    <t xml:space="preserve">GRID INTERCONNECTION COSTS </t>
  </si>
  <si>
    <t>Policy Derisking Only</t>
  </si>
  <si>
    <t>Financial Derisking Only</t>
  </si>
  <si>
    <t xml:space="preserve">renewable energy investment. The financial tool calculates the levelised cost of electricity (LCOE) for a given country’s baseline energy mix and the LCOE of the targeted renewable </t>
  </si>
  <si>
    <t>energy, before and after the introduction of public instruments.</t>
  </si>
  <si>
    <t>No balancing costs</t>
  </si>
  <si>
    <t>Include balancing costs</t>
  </si>
  <si>
    <t xml:space="preserve">LCOE FINANCIAL TOOL </t>
  </si>
  <si>
    <t xml:space="preserve">VII. </t>
  </si>
  <si>
    <t xml:space="preserve">Summary Sensitivity Outputs </t>
  </si>
  <si>
    <t>X.</t>
  </si>
  <si>
    <t>XI.</t>
  </si>
  <si>
    <t>Report Table</t>
  </si>
  <si>
    <t>VII. SENSITIVITY OUTPUTS</t>
  </si>
  <si>
    <t>Investment Cost</t>
  </si>
  <si>
    <t xml:space="preserve">Base Case Scenario </t>
  </si>
  <si>
    <t>ASSUMPTION SUBJECT TO SENSITIVITY</t>
  </si>
  <si>
    <t xml:space="preserve">A. </t>
  </si>
  <si>
    <t xml:space="preserve">B. </t>
  </si>
  <si>
    <t xml:space="preserve">C. </t>
  </si>
  <si>
    <t>Fuel Costs Sensitivity</t>
  </si>
  <si>
    <t xml:space="preserve">D. </t>
  </si>
  <si>
    <t>Balancing Costs Sensitivity</t>
  </si>
  <si>
    <t xml:space="preserve">E.  </t>
  </si>
  <si>
    <t>Policy Derisking Only Sensitivity</t>
  </si>
  <si>
    <t xml:space="preserve">F. </t>
  </si>
  <si>
    <t>Financial Derisking Only Sensitivity</t>
  </si>
  <si>
    <t>Base Case Scenario (Reference)</t>
  </si>
  <si>
    <t>A. BASE CASE SCENARIO</t>
  </si>
  <si>
    <t>Present Value of FIT/PPA Price Premium Over 20 years</t>
  </si>
  <si>
    <t>Present Value of Total Incremental Cost Over 20 Years</t>
  </si>
  <si>
    <t>Present Value of Total Savings Due to Derisking Over 20 Years</t>
  </si>
  <si>
    <t>Emission Reductions Over 20 Years</t>
  </si>
  <si>
    <t>OUTPUTS</t>
  </si>
  <si>
    <t>Renewable Energy</t>
  </si>
  <si>
    <t>B. INVESTMENT COSTS SENSITIVITY</t>
  </si>
  <si>
    <t>Investment Costs Sensitivity</t>
  </si>
  <si>
    <t>Financing Costs Sensitivity</t>
  </si>
  <si>
    <t>This sheet is organised into 8 sections.</t>
  </si>
  <si>
    <t>Sensitivity Scenario</t>
  </si>
  <si>
    <t>Fuel Costs</t>
  </si>
  <si>
    <t xml:space="preserve">Fuel Costs </t>
  </si>
  <si>
    <t>Sensitivity Scenario #1</t>
  </si>
  <si>
    <t>OUTPUTS - #1 SCENARIO</t>
  </si>
  <si>
    <t>OUTPUTS - #2 SCENARIO</t>
  </si>
  <si>
    <t>Sensitivity Scenario #2</t>
  </si>
  <si>
    <t xml:space="preserve">LCOE - Baseline Costs </t>
  </si>
  <si>
    <t>VIII. REPORT TABLE</t>
  </si>
  <si>
    <t>IX. ADDITIONAL DATA</t>
  </si>
  <si>
    <t>X. SUPPLEMENTARY INFO</t>
  </si>
  <si>
    <t>XI. USER NOTES</t>
  </si>
  <si>
    <t>Total Annual  Energy Production for Target (in MWh)</t>
  </si>
  <si>
    <t>MARGINAL BASELINE</t>
  </si>
  <si>
    <t>Energy Mix</t>
  </si>
  <si>
    <t>Grid Emission Factor (tCO2e/MWh)</t>
  </si>
  <si>
    <t>GENERAL COUNTRY INPUTS</t>
  </si>
  <si>
    <t>Effective Corporate Tax Rate (%)</t>
  </si>
  <si>
    <t>Public Cost of Capital (%)</t>
  </si>
  <si>
    <t>Business-as-Usual</t>
  </si>
  <si>
    <t>Post Derisking</t>
  </si>
  <si>
    <t>Scenario</t>
  </si>
  <si>
    <t>FINANCING COSTS</t>
  </si>
  <si>
    <t xml:space="preserve">Debt/Equity Split </t>
  </si>
  <si>
    <t>Weighted Average Cost of Capital (WACC) (After-tax)</t>
  </si>
  <si>
    <t xml:space="preserve">INVESTMENT </t>
  </si>
  <si>
    <t xml:space="preserve">Commercial loans with public guarantees </t>
  </si>
  <si>
    <t>Public Sector Equity</t>
  </si>
  <si>
    <t>Funded by domestic public sector</t>
  </si>
  <si>
    <t>Funded by international public sector</t>
  </si>
  <si>
    <t xml:space="preserve">Balancing Costs </t>
  </si>
  <si>
    <t>Both</t>
  </si>
  <si>
    <t xml:space="preserve">Policy Derisking Costs </t>
  </si>
  <si>
    <t>Baseline Energy</t>
  </si>
  <si>
    <t>Balancing Costs</t>
  </si>
  <si>
    <t>Derisking</t>
  </si>
  <si>
    <t xml:space="preserve">Financing Costs </t>
  </si>
  <si>
    <t>Financing Costs</t>
  </si>
  <si>
    <t>+1%</t>
  </si>
  <si>
    <t>+20%</t>
  </si>
  <si>
    <t>Exchange Rate (1 EUR: 1 USD)</t>
  </si>
  <si>
    <t>Sensitivity #1: 2022 Scenario</t>
  </si>
  <si>
    <t>SENSITIVITY OUTPUTS</t>
  </si>
  <si>
    <t>SENSITIVITY COMMENT</t>
  </si>
  <si>
    <t>SENSITIVITY OUTPUTS - SENSITIVITY #1</t>
  </si>
  <si>
    <t>SENSITIVITY OUTPUTS - SENSITIVITY #2</t>
  </si>
  <si>
    <t>[To come]</t>
  </si>
  <si>
    <t>Natural Gas (%)</t>
  </si>
  <si>
    <t>Private Sector Equity</t>
  </si>
  <si>
    <t>Total Investment (EUR million)</t>
  </si>
  <si>
    <t>Debt (EUR million)</t>
  </si>
  <si>
    <t>Equity (EUR million)</t>
  </si>
  <si>
    <t>Direct Financial Incentives (EUR million)</t>
  </si>
  <si>
    <t>90 kV</t>
  </si>
  <si>
    <t>Cost per Km of Individual Transmission Line</t>
  </si>
  <si>
    <t>#</t>
  </si>
  <si>
    <t>Number of Transmission Lines (Redundancy)</t>
  </si>
  <si>
    <t>VERSION 1.2 (JULY 2014)</t>
  </si>
  <si>
    <t>€</t>
  </si>
  <si>
    <t>€/MWh</t>
  </si>
  <si>
    <t>€/Mwh</t>
  </si>
  <si>
    <t>(in €)</t>
  </si>
  <si>
    <t>G.</t>
  </si>
  <si>
    <t>C. FUEL COSTS SENSITIVITY</t>
  </si>
  <si>
    <t>D. BALANCING COSTS SENSITIVITY</t>
  </si>
  <si>
    <t>E. POLICY DERISKING ONLY SENSITIVITY</t>
  </si>
  <si>
    <t>F. FINANCIAL DERISKING ONLY SENSITIVITY</t>
  </si>
  <si>
    <t>G. FINANCING COSTS SENSITIVITY</t>
  </si>
  <si>
    <t>2.  Balancing Cost Sensitivity</t>
  </si>
  <si>
    <t>Two components</t>
  </si>
  <si>
    <t>1) Capital Recovery  - Cost to have a balancing plant laying idle on standby</t>
  </si>
  <si>
    <t>2) Fuel Costs - the costs arising from higher fuel cost when the balancing plant is used, due to ineffeciencies from lower use</t>
  </si>
  <si>
    <t>See also Balancing Cost LCOE model</t>
  </si>
  <si>
    <t>Capital Recovery (Investment Cost and O&amp;M (non fuel) for Balancing Gas)</t>
  </si>
  <si>
    <t>Wind Capacity Factor</t>
  </si>
  <si>
    <t>Wind Capacity Value</t>
  </si>
  <si>
    <t>From American Tradition Institute Report</t>
  </si>
  <si>
    <t>MW Wind Installed Capacity</t>
  </si>
  <si>
    <t xml:space="preserve">MW Balancing Gas Installed Capacity </t>
  </si>
  <si>
    <t xml:space="preserve">Solar PV Capacity Factor </t>
  </si>
  <si>
    <t>Solar PV Capacity Value</t>
  </si>
  <si>
    <t>UNDP estimate. Based on demand curve for Tunisia (peaks lunchtime/afternoon)</t>
  </si>
  <si>
    <t>Solar PV Installed Capacity</t>
  </si>
  <si>
    <t xml:space="preserve">Combined Cycle Gas Turbine Plants </t>
  </si>
  <si>
    <t>LCOE - Capital recovery (100%)</t>
  </si>
  <si>
    <t>From LCOE model, zeroing out fuel costs</t>
  </si>
  <si>
    <t>LCOE - Capital Recovery for Wind</t>
  </si>
  <si>
    <t>LCOE - Capital Recovery for Solar PV</t>
  </si>
  <si>
    <t xml:space="preserve">Normal efficiency of CCGT plant </t>
  </si>
  <si>
    <t>Assumption used in base case model</t>
  </si>
  <si>
    <t xml:space="preserve">Efficiency of CCGT when used for balancing </t>
  </si>
  <si>
    <t>Conservative assumption based on efficiency of single cycle gas turbine needed for ramping. Tunisia figure</t>
  </si>
  <si>
    <t>Fuel savings for CCGT plant when used to balance wind</t>
  </si>
  <si>
    <t>Load factor for use of CCGT plant when used to balance wind</t>
  </si>
  <si>
    <t>UNDP assumption, based on American Tradition Institute Report</t>
  </si>
  <si>
    <t>LCOE - Additional Fuel Costs from Inefficiency for CCGT (100%)</t>
  </si>
  <si>
    <t>From LCOE model. LCOE @ 52.7% = Eur 0.060. LCOE @ 34.5% EUR 0.084. Difference = EUR 0.024</t>
  </si>
  <si>
    <t xml:space="preserve">LCOE - Additional Fuel Costs for CCGT when balancing wind </t>
  </si>
  <si>
    <t>Total Balancing Costs</t>
  </si>
  <si>
    <t xml:space="preserve">Wind Energy </t>
  </si>
  <si>
    <t>Solar PV</t>
  </si>
  <si>
    <t>1. Costing of Public Instruments</t>
  </si>
  <si>
    <t>SOLAR PV TARGET AND RESOURCES</t>
  </si>
  <si>
    <t>2030 Target (in MW)</t>
  </si>
  <si>
    <t>Capacity Factor (%)</t>
  </si>
  <si>
    <t>Concessional public loan</t>
  </si>
  <si>
    <t xml:space="preserve">Present Value of 20 year PPA Premium </t>
  </si>
  <si>
    <t>Financial Derisking Instruments (EUR million, present value)</t>
  </si>
  <si>
    <t>Policy Derisking Instruments (EUR million, present value)</t>
  </si>
  <si>
    <t>Investment in Renewable Energy Generation</t>
  </si>
  <si>
    <t>Investment in Renewable Energy Grid Interconnection</t>
  </si>
  <si>
    <t xml:space="preserve">Cost per Sub Station </t>
  </si>
  <si>
    <t xml:space="preserve">Total Cost of Tranmission Lines to Meet Target Installed Capacity </t>
  </si>
  <si>
    <t xml:space="preserve">Total Cost of Sub-Stations to Meet Target Installed Capacity </t>
  </si>
  <si>
    <t>Total Grid Interconnection Costs</t>
  </si>
  <si>
    <t>LCOE, Renewable Energy - Grid Interconnection</t>
  </si>
  <si>
    <t>Abatement Costs due to Incremental Costs</t>
  </si>
  <si>
    <t>Abatement Costs due to Financial Derisking Costs</t>
  </si>
  <si>
    <t>Abatement Costs due to Policy Derisking Costs</t>
  </si>
  <si>
    <t>Total Carbon Abatement Costs per t/CO2e</t>
  </si>
  <si>
    <t>UNDP Team</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</si>
</sst>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5" formatCode="&quot;$&quot;#,##0_);\(&quot;$&quot;#,##0\)"/>
    <numFmt numFmtId="7" formatCode="&quot;$&quot;#,##0.00_);\(&quot;$&quot;#,##0.00\)"/>
    <numFmt numFmtId="44" formatCode="_(&quot;$&quot;* #,##0.00_);_(&quot;$&quot;* \(#,##0.00\);_(&quot;$&quot;* &quot;-&quot;??_);_(@_)"/>
    <numFmt numFmtId="43" formatCode="_(* #,##0.00_);_(* \(#,##0.00\);_(* &quot;-&quot;??_);_(@_)"/>
    <numFmt numFmtId="164" formatCode="0.0%"/>
    <numFmt numFmtId="165" formatCode="#,##0.000_);\(#,##0.000\)"/>
    <numFmt numFmtId="166" formatCode="0.0\x"/>
    <numFmt numFmtId="167" formatCode="&quot;$&quot;#,##0.00"/>
    <numFmt numFmtId="168" formatCode="&quot;$&quot;#,##0"/>
    <numFmt numFmtId="169" formatCode="_(* #,##0_);_(* \(#,##0\);_(* &quot;-&quot;??_);_(@_)"/>
    <numFmt numFmtId="170" formatCode="&quot;$&quot;#,##0.0_);\(&quot;$&quot;#,##0.0\)"/>
    <numFmt numFmtId="171" formatCode="&quot;$&quot;#,##0.0000_);\(&quot;$&quot;#,##0.0000\)"/>
    <numFmt numFmtId="172" formatCode="&quot;$&quot;#,##0.000_);\(&quot;$&quot;#,##0.000\)"/>
    <numFmt numFmtId="173" formatCode="_(&quot;$&quot;* #,##0_);_(&quot;$&quot;* \(#,##0\);_(&quot;$&quot;* &quot;-&quot;??_);_(@_)"/>
    <numFmt numFmtId="174" formatCode="0.000000000%"/>
    <numFmt numFmtId="175" formatCode="#,##0.0_);\(#,##0.0\)"/>
    <numFmt numFmtId="176" formatCode="[$€-1809]#,##0.000;\-[$€-1809]#,##0.000"/>
    <numFmt numFmtId="177" formatCode="[$€-1809]#,##0"/>
    <numFmt numFmtId="178" formatCode="[$€-83C]#,##0.000;\-[$€-83C]#,##0.000"/>
    <numFmt numFmtId="179" formatCode="[$€-83C]#,##0.00"/>
    <numFmt numFmtId="180" formatCode="[$€-83C]#,##0.0;\-[$€-83C]#,##0.0"/>
    <numFmt numFmtId="181" formatCode="[$€-83C]#,##0;\-[$€-83C]#,##0"/>
    <numFmt numFmtId="182" formatCode="[$€-2]\ #,##0_);\([$€-2]\ #,##0\)"/>
    <numFmt numFmtId="183" formatCode="[$€-83C]#,##0"/>
    <numFmt numFmtId="184" formatCode="[$€-83C]#,##0.000"/>
    <numFmt numFmtId="185" formatCode="[$€-1809]#,##0;\-[$€-1809]#,##0"/>
    <numFmt numFmtId="186" formatCode="0.000%"/>
    <numFmt numFmtId="187" formatCode="0.0"/>
    <numFmt numFmtId="188" formatCode="[$€-1809]#,##0.00"/>
    <numFmt numFmtId="189" formatCode="[$€-83C]#,##0.00;\-[$€-83C]#,##0.00"/>
    <numFmt numFmtId="190" formatCode="0.000"/>
    <numFmt numFmtId="191" formatCode="_([$€-2]\ * #,##0_);_([$€-2]\ * \(#,##0\);_([$€-2]\ * &quot;-&quot;??_);_(@_)"/>
    <numFmt numFmtId="192" formatCode="[$€-2]#,##0"/>
    <numFmt numFmtId="193" formatCode="[$€-2]#,##0.00"/>
    <numFmt numFmtId="194" formatCode="[$€-2]#,##0.0"/>
    <numFmt numFmtId="195" formatCode="[$€-2]#,##0_);\([$€-2]#,##0\)"/>
    <numFmt numFmtId="196" formatCode="[$€-2]#,##0.0_);\([$€-2]#,##0.0\)"/>
    <numFmt numFmtId="197" formatCode="[$€-2]#,##0.00_);\([$€-2]#,##0.00\)"/>
    <numFmt numFmtId="198" formatCode="[$€-2]#,##0.0000_);\([$€-2]#,##0.0000\)"/>
    <numFmt numFmtId="199" formatCode="[$€-2]\ #,##0.0000_);\([$€-2]\ #,##0.0000\)"/>
  </numFmts>
  <fonts count="47" x14ac:knownFonts="1">
    <font>
      <sz val="11"/>
      <color theme="1"/>
      <name val="Calibri"/>
      <family val="2"/>
      <scheme val="minor"/>
    </font>
    <font>
      <sz val="11"/>
      <color theme="1"/>
      <name val="Calibri"/>
      <family val="2"/>
      <scheme val="minor"/>
    </font>
    <font>
      <b/>
      <sz val="11"/>
      <color theme="1"/>
      <name val="Calibri"/>
      <family val="2"/>
      <scheme val="minor"/>
    </font>
    <font>
      <sz val="11"/>
      <color theme="4"/>
      <name val="Calibri"/>
      <family val="2"/>
      <scheme val="minor"/>
    </font>
    <font>
      <sz val="9"/>
      <color indexed="81"/>
      <name val="Tahoma"/>
      <family val="2"/>
    </font>
    <font>
      <sz val="10"/>
      <name val="Arial"/>
      <family val="2"/>
    </font>
    <font>
      <u/>
      <sz val="11"/>
      <color theme="10"/>
      <name val="Calibri"/>
      <family val="2"/>
      <scheme val="minor"/>
    </font>
    <font>
      <u/>
      <sz val="11"/>
      <color theme="11"/>
      <name val="Calibri"/>
      <family val="2"/>
      <scheme val="minor"/>
    </font>
    <font>
      <b/>
      <sz val="12"/>
      <color theme="0"/>
      <name val="Calibri"/>
      <family val="2"/>
      <scheme val="minor"/>
    </font>
    <font>
      <b/>
      <sz val="10"/>
      <color indexed="9"/>
      <name val="Arial"/>
      <family val="2"/>
    </font>
    <font>
      <sz val="10"/>
      <color indexed="9"/>
      <name val="Arial"/>
      <family val="2"/>
    </font>
    <font>
      <sz val="10"/>
      <color theme="1"/>
      <name val="Arial"/>
      <family val="2"/>
    </font>
    <font>
      <b/>
      <sz val="10"/>
      <color theme="1"/>
      <name val="Arial"/>
      <family val="2"/>
    </font>
    <font>
      <sz val="10"/>
      <color theme="3"/>
      <name val="Arial"/>
      <family val="2"/>
    </font>
    <font>
      <b/>
      <i/>
      <sz val="10"/>
      <color theme="1"/>
      <name val="Arial"/>
      <family val="2"/>
    </font>
    <font>
      <b/>
      <i/>
      <sz val="10"/>
      <color indexed="9"/>
      <name val="Arial"/>
      <family val="2"/>
    </font>
    <font>
      <i/>
      <sz val="10"/>
      <color indexed="9"/>
      <name val="Arial"/>
      <family val="2"/>
    </font>
    <font>
      <i/>
      <sz val="10"/>
      <name val="Arial"/>
      <family val="2"/>
    </font>
    <font>
      <sz val="10"/>
      <color theme="4"/>
      <name val="Arial"/>
      <family val="2"/>
    </font>
    <font>
      <sz val="10"/>
      <color rgb="FFFF0000"/>
      <name val="Arial"/>
      <family val="2"/>
    </font>
    <font>
      <i/>
      <sz val="10"/>
      <color theme="1"/>
      <name val="Arial"/>
      <family val="2"/>
    </font>
    <font>
      <i/>
      <sz val="10"/>
      <color rgb="FFFF0000"/>
      <name val="Arial"/>
      <family val="2"/>
    </font>
    <font>
      <b/>
      <sz val="10"/>
      <color theme="4"/>
      <name val="Arial"/>
      <family val="2"/>
    </font>
    <font>
      <b/>
      <sz val="10"/>
      <color rgb="FF0070C0"/>
      <name val="Arial"/>
      <family val="2"/>
    </font>
    <font>
      <b/>
      <sz val="10"/>
      <color theme="9" tint="-0.249977111117893"/>
      <name val="Arial"/>
      <family val="2"/>
    </font>
    <font>
      <sz val="10"/>
      <color rgb="FF7030A0"/>
      <name val="Arial"/>
      <family val="2"/>
    </font>
    <font>
      <b/>
      <sz val="10"/>
      <name val="Arial"/>
      <family val="2"/>
    </font>
    <font>
      <sz val="10"/>
      <color rgb="FF0070C0"/>
      <name val="Arial"/>
      <family val="2"/>
    </font>
    <font>
      <sz val="10"/>
      <name val="Arial"/>
      <family val="2"/>
    </font>
    <font>
      <b/>
      <i/>
      <sz val="10"/>
      <name val="Arial"/>
      <family val="2"/>
    </font>
    <font>
      <b/>
      <sz val="20"/>
      <name val="Arial"/>
      <family val="2"/>
    </font>
    <font>
      <sz val="10"/>
      <color indexed="12"/>
      <name val="Arial"/>
      <family val="2"/>
    </font>
    <font>
      <b/>
      <sz val="10"/>
      <color indexed="12"/>
      <name val="Arial"/>
      <family val="2"/>
    </font>
    <font>
      <sz val="10"/>
      <color indexed="22"/>
      <name val="Arial"/>
      <family val="2"/>
    </font>
    <font>
      <u/>
      <sz val="9.35"/>
      <color theme="10"/>
      <name val="Calibri"/>
      <family val="2"/>
    </font>
    <font>
      <b/>
      <sz val="20"/>
      <color rgb="FFFF0000"/>
      <name val="Arial"/>
      <family val="2"/>
    </font>
    <font>
      <sz val="10"/>
      <color theme="3" tint="0.39997558519241921"/>
      <name val="Arial"/>
      <family val="2"/>
    </font>
    <font>
      <sz val="10"/>
      <color rgb="FF3527E9"/>
      <name val="Arial"/>
      <family val="2"/>
    </font>
    <font>
      <sz val="11"/>
      <color rgb="FF3527E9"/>
      <name val="Calibri"/>
      <family val="2"/>
      <scheme val="minor"/>
    </font>
    <font>
      <u/>
      <sz val="10"/>
      <color theme="10"/>
      <name val="Arial"/>
      <family val="2"/>
    </font>
    <font>
      <b/>
      <sz val="11"/>
      <name val="Calibri"/>
      <family val="2"/>
      <scheme val="minor"/>
    </font>
    <font>
      <sz val="9"/>
      <color theme="1"/>
      <name val="Arial"/>
      <family val="2"/>
    </font>
    <font>
      <sz val="9"/>
      <name val="Arial"/>
      <family val="2"/>
    </font>
    <font>
      <sz val="9"/>
      <color theme="3"/>
      <name val="Arial"/>
      <family val="2"/>
    </font>
    <font>
      <sz val="10"/>
      <color rgb="FF000000"/>
      <name val="Arial"/>
      <family val="2"/>
    </font>
    <font>
      <b/>
      <sz val="10"/>
      <color rgb="FFFF0000"/>
      <name val="Arial"/>
      <family val="2"/>
    </font>
    <font>
      <b/>
      <i/>
      <sz val="10"/>
      <color rgb="FFFF0000"/>
      <name val="Arial"/>
      <family val="2"/>
    </font>
  </fonts>
  <fills count="24">
    <fill>
      <patternFill patternType="none"/>
    </fill>
    <fill>
      <patternFill patternType="gray125"/>
    </fill>
    <fill>
      <patternFill patternType="solid">
        <fgColor theme="3" tint="0.79998168889431442"/>
        <bgColor indexed="64"/>
      </patternFill>
    </fill>
    <fill>
      <patternFill patternType="solid">
        <fgColor theme="2"/>
        <bgColor indexed="64"/>
      </patternFill>
    </fill>
    <fill>
      <patternFill patternType="solid">
        <fgColor rgb="FFA5A5A5"/>
      </patternFill>
    </fill>
    <fill>
      <patternFill patternType="solid">
        <fgColor theme="9" tint="0.79998168889431442"/>
        <bgColor indexed="64"/>
      </patternFill>
    </fill>
    <fill>
      <patternFill patternType="solid">
        <fgColor theme="5" tint="0.39994506668294322"/>
        <bgColor indexed="64"/>
      </patternFill>
    </fill>
    <fill>
      <patternFill patternType="solid">
        <fgColor theme="2" tint="-9.9948118533890809E-2"/>
        <bgColor indexed="64"/>
      </patternFill>
    </fill>
    <fill>
      <patternFill patternType="solid">
        <fgColor theme="7" tint="0.59996337778862885"/>
        <bgColor indexed="64"/>
      </patternFill>
    </fill>
    <fill>
      <patternFill patternType="solid">
        <fgColor theme="9" tint="0.39994506668294322"/>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39994506668294322"/>
        <bgColor indexed="64"/>
      </patternFill>
    </fill>
    <fill>
      <patternFill patternType="solid">
        <fgColor theme="0" tint="-0.14996795556505021"/>
        <bgColor indexed="64"/>
      </patternFill>
    </fill>
    <fill>
      <patternFill patternType="solid">
        <fgColor indexed="61"/>
        <bgColor indexed="64"/>
      </patternFill>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FDE9D9"/>
        <bgColor indexed="64"/>
      </patternFill>
    </fill>
  </fills>
  <borders count="30">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double">
        <color rgb="FF3F3F3F"/>
      </left>
      <right style="double">
        <color rgb="FF3F3F3F"/>
      </right>
      <top style="double">
        <color rgb="FF3F3F3F"/>
      </top>
      <bottom style="double">
        <color rgb="FF3F3F3F"/>
      </bottom>
      <diagonal/>
    </border>
    <border>
      <left style="thin">
        <color auto="1"/>
      </left>
      <right/>
      <top/>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right style="medium">
        <color auto="1"/>
      </right>
      <top/>
      <bottom style="thin">
        <color auto="1"/>
      </bottom>
      <diagonal/>
    </border>
  </borders>
  <cellStyleXfs count="231">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 fillId="0" borderId="0"/>
    <xf numFmtId="0" fontId="5"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11" applyNumberFormat="0" applyAlignment="0" applyProtection="0"/>
    <xf numFmtId="0" fontId="5" fillId="0" borderId="0"/>
    <xf numFmtId="0" fontId="1"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8" fillId="0" borderId="0"/>
    <xf numFmtId="0" fontId="34" fillId="0" borderId="0" applyNumberFormat="0" applyFill="0" applyBorder="0" applyAlignment="0" applyProtection="0">
      <alignment vertical="top"/>
      <protection locked="0"/>
    </xf>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2077">
    <xf numFmtId="0" fontId="0" fillId="0" borderId="0" xfId="0"/>
    <xf numFmtId="9" fontId="3" fillId="0" borderId="0" xfId="0" applyNumberFormat="1" applyFont="1" applyAlignment="1">
      <alignment horizontal="center"/>
    </xf>
    <xf numFmtId="0" fontId="3" fillId="0" borderId="0" xfId="0" applyFont="1" applyAlignment="1">
      <alignment horizontal="center"/>
    </xf>
    <xf numFmtId="0" fontId="2" fillId="0" borderId="0" xfId="0" applyFont="1"/>
    <xf numFmtId="0" fontId="0" fillId="0" borderId="0" xfId="0" applyAlignment="1">
      <alignment horizontal="center"/>
    </xf>
    <xf numFmtId="0" fontId="9" fillId="19" borderId="0" xfId="0" applyFont="1" applyFill="1" applyBorder="1"/>
    <xf numFmtId="0" fontId="10" fillId="19" borderId="0" xfId="0" applyFont="1" applyFill="1" applyBorder="1"/>
    <xf numFmtId="0" fontId="9" fillId="19" borderId="0" xfId="0" applyFont="1" applyFill="1" applyBorder="1" applyAlignment="1">
      <alignment horizontal="center"/>
    </xf>
    <xf numFmtId="0" fontId="11" fillId="0" borderId="0" xfId="0" applyFont="1" applyFill="1" applyBorder="1"/>
    <xf numFmtId="0" fontId="11" fillId="0" borderId="0" xfId="0" applyFont="1" applyFill="1" applyBorder="1" applyAlignment="1">
      <alignment horizontal="center" vertical="center"/>
    </xf>
    <xf numFmtId="0" fontId="11" fillId="0" borderId="0" xfId="0" applyFont="1" applyFill="1" applyBorder="1" applyAlignment="1">
      <alignment horizontal="center"/>
    </xf>
    <xf numFmtId="0" fontId="12" fillId="0" borderId="0" xfId="0" applyFont="1" applyFill="1" applyBorder="1"/>
    <xf numFmtId="0" fontId="11" fillId="0" borderId="0" xfId="0" applyFont="1"/>
    <xf numFmtId="0" fontId="11" fillId="0" borderId="0" xfId="0" applyFont="1" applyAlignment="1">
      <alignment horizontal="center" vertical="center"/>
    </xf>
    <xf numFmtId="0" fontId="11" fillId="0" borderId="0" xfId="0" applyFont="1" applyAlignment="1">
      <alignment vertical="center"/>
    </xf>
    <xf numFmtId="0" fontId="12" fillId="2" borderId="3" xfId="0" applyFont="1" applyFill="1" applyBorder="1" applyAlignment="1">
      <alignment horizontal="center" vertical="center"/>
    </xf>
    <xf numFmtId="0" fontId="12" fillId="12" borderId="3" xfId="0" applyFont="1" applyFill="1" applyBorder="1" applyAlignment="1">
      <alignment horizontal="center" vertical="center"/>
    </xf>
    <xf numFmtId="0" fontId="12" fillId="13" borderId="3" xfId="0" applyFont="1" applyFill="1" applyBorder="1" applyAlignment="1">
      <alignment horizontal="center" vertical="center"/>
    </xf>
    <xf numFmtId="0" fontId="12" fillId="3" borderId="3" xfId="0" applyFont="1" applyFill="1" applyBorder="1" applyAlignment="1">
      <alignment horizontal="center"/>
    </xf>
    <xf numFmtId="0" fontId="11" fillId="0" borderId="0" xfId="0" applyFont="1" applyFill="1"/>
    <xf numFmtId="0" fontId="11" fillId="0" borderId="0" xfId="0" applyFont="1" applyFill="1" applyAlignment="1">
      <alignment horizontal="center" vertical="center"/>
    </xf>
    <xf numFmtId="0" fontId="11" fillId="0" borderId="2" xfId="0" applyFont="1" applyFill="1" applyBorder="1"/>
    <xf numFmtId="0" fontId="11" fillId="0" borderId="2" xfId="0" applyFont="1" applyFill="1" applyBorder="1" applyAlignment="1">
      <alignment horizontal="center" vertical="center"/>
    </xf>
    <xf numFmtId="165" fontId="11" fillId="0" borderId="0" xfId="0" applyNumberFormat="1" applyFont="1" applyFill="1" applyBorder="1" applyAlignment="1">
      <alignment horizontal="center"/>
    </xf>
    <xf numFmtId="37" fontId="11" fillId="0" borderId="0" xfId="0" applyNumberFormat="1" applyFont="1" applyFill="1" applyBorder="1" applyAlignment="1">
      <alignment horizontal="center"/>
    </xf>
    <xf numFmtId="0" fontId="11" fillId="0" borderId="1" xfId="0" applyFont="1" applyFill="1" applyBorder="1"/>
    <xf numFmtId="0" fontId="11" fillId="0" borderId="0" xfId="0" applyFont="1" applyFill="1" applyBorder="1" applyAlignment="1">
      <alignment horizontal="left"/>
    </xf>
    <xf numFmtId="0" fontId="12" fillId="0" borderId="2" xfId="0" applyFont="1" applyFill="1" applyBorder="1"/>
    <xf numFmtId="0" fontId="12" fillId="0" borderId="0" xfId="0" applyFont="1" applyFill="1" applyBorder="1" applyAlignment="1">
      <alignment horizontal="center" vertical="center"/>
    </xf>
    <xf numFmtId="5" fontId="11" fillId="0" borderId="0" xfId="0" applyNumberFormat="1" applyFont="1" applyFill="1" applyBorder="1"/>
    <xf numFmtId="170" fontId="11" fillId="0" borderId="0" xfId="0" applyNumberFormat="1" applyFont="1" applyFill="1" applyBorder="1"/>
    <xf numFmtId="7" fontId="11" fillId="0" borderId="0" xfId="0" applyNumberFormat="1" applyFont="1" applyFill="1" applyBorder="1"/>
    <xf numFmtId="5" fontId="12"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xf numFmtId="0" fontId="11" fillId="0" borderId="1" xfId="0" applyFont="1" applyBorder="1"/>
    <xf numFmtId="0" fontId="12" fillId="0" borderId="0" xfId="0" applyFont="1"/>
    <xf numFmtId="0" fontId="12" fillId="0" borderId="0" xfId="0" quotePrefix="1" applyFont="1"/>
    <xf numFmtId="0" fontId="11" fillId="14" borderId="0" xfId="0" applyFont="1" applyFill="1" applyBorder="1"/>
    <xf numFmtId="0" fontId="11" fillId="14" borderId="1" xfId="0" applyFont="1" applyFill="1" applyBorder="1"/>
    <xf numFmtId="5" fontId="12" fillId="0" borderId="0" xfId="0" applyNumberFormat="1" applyFont="1" applyFill="1" applyBorder="1" applyAlignment="1"/>
    <xf numFmtId="9" fontId="11" fillId="0" borderId="0" xfId="1" applyFont="1" applyFill="1" applyBorder="1"/>
    <xf numFmtId="9" fontId="11" fillId="0" borderId="0" xfId="0" applyNumberFormat="1" applyFont="1" applyFill="1" applyBorder="1" applyAlignment="1">
      <alignment horizontal="center"/>
    </xf>
    <xf numFmtId="0" fontId="12" fillId="0" borderId="0" xfId="0" applyFont="1" applyBorder="1"/>
    <xf numFmtId="0" fontId="9" fillId="21" borderId="0" xfId="0" applyFont="1" applyFill="1" applyBorder="1"/>
    <xf numFmtId="0" fontId="15" fillId="21" borderId="0" xfId="0" applyFont="1" applyFill="1" applyBorder="1"/>
    <xf numFmtId="0" fontId="16" fillId="21" borderId="0" xfId="0" applyFont="1" applyFill="1" applyBorder="1" applyAlignment="1">
      <alignment horizontal="center"/>
    </xf>
    <xf numFmtId="0" fontId="12" fillId="10" borderId="2" xfId="0" applyFont="1" applyFill="1" applyBorder="1" applyAlignment="1">
      <alignment horizontal="center" vertical="center"/>
    </xf>
    <xf numFmtId="0" fontId="12" fillId="11" borderId="3" xfId="0" applyFont="1" applyFill="1" applyBorder="1" applyAlignment="1">
      <alignment horizontal="center" vertical="center"/>
    </xf>
    <xf numFmtId="0" fontId="12" fillId="5" borderId="3" xfId="0" applyFont="1" applyFill="1" applyBorder="1" applyAlignment="1">
      <alignment horizontal="center" vertical="center"/>
    </xf>
    <xf numFmtId="0" fontId="11" fillId="0" borderId="0" xfId="0" applyFont="1" applyFill="1" applyBorder="1" applyAlignment="1">
      <alignment horizontal="right"/>
    </xf>
    <xf numFmtId="0" fontId="17" fillId="0" borderId="0" xfId="0" applyFont="1" applyFill="1" applyBorder="1" applyAlignment="1">
      <alignment horizontal="right"/>
    </xf>
    <xf numFmtId="0" fontId="12" fillId="0" borderId="2" xfId="0" applyFont="1" applyFill="1" applyBorder="1" applyAlignment="1">
      <alignment vertical="center"/>
    </xf>
    <xf numFmtId="9" fontId="11" fillId="0" borderId="0" xfId="1" applyFont="1" applyFill="1" applyBorder="1" applyAlignment="1">
      <alignment horizontal="center"/>
    </xf>
    <xf numFmtId="0" fontId="11" fillId="20" borderId="0" xfId="0" applyFont="1" applyFill="1" applyBorder="1"/>
    <xf numFmtId="0" fontId="12" fillId="0" borderId="2" xfId="0" applyFont="1" applyBorder="1" applyAlignment="1" applyProtection="1">
      <alignment vertical="center"/>
    </xf>
    <xf numFmtId="0" fontId="12" fillId="0" borderId="0" xfId="0" applyFont="1" applyProtection="1"/>
    <xf numFmtId="0" fontId="11" fillId="0" borderId="0" xfId="0" applyFont="1" applyProtection="1"/>
    <xf numFmtId="0" fontId="11" fillId="0" borderId="0" xfId="0" applyFont="1" applyProtection="1">
      <protection locked="0"/>
    </xf>
    <xf numFmtId="0" fontId="11" fillId="0" borderId="0" xfId="0" applyFont="1" applyAlignment="1" applyProtection="1">
      <alignment vertical="center"/>
    </xf>
    <xf numFmtId="0" fontId="12" fillId="0" borderId="2" xfId="0" applyFont="1" applyBorder="1" applyAlignment="1" applyProtection="1">
      <alignment horizontal="left" vertical="center" wrapText="1"/>
    </xf>
    <xf numFmtId="0" fontId="12" fillId="2" borderId="3" xfId="0" applyFont="1" applyFill="1" applyBorder="1" applyAlignment="1" applyProtection="1">
      <alignment horizontal="center" vertical="center"/>
    </xf>
    <xf numFmtId="0" fontId="12" fillId="10" borderId="3" xfId="0" applyFont="1" applyFill="1" applyBorder="1" applyAlignment="1" applyProtection="1">
      <alignment horizontal="center" vertical="center"/>
    </xf>
    <xf numFmtId="0" fontId="12" fillId="11" borderId="3" xfId="0" applyFont="1" applyFill="1" applyBorder="1" applyAlignment="1" applyProtection="1">
      <alignment horizontal="center" vertical="center"/>
    </xf>
    <xf numFmtId="0" fontId="12" fillId="12" borderId="3" xfId="0" applyFont="1" applyFill="1" applyBorder="1" applyAlignment="1" applyProtection="1">
      <alignment horizontal="center" vertical="center"/>
    </xf>
    <xf numFmtId="0" fontId="12" fillId="13" borderId="3" xfId="0" applyFont="1" applyFill="1" applyBorder="1" applyAlignment="1" applyProtection="1">
      <alignment horizontal="center" vertical="center" wrapText="1"/>
    </xf>
    <xf numFmtId="0" fontId="12" fillId="5" borderId="3" xfId="0" applyFont="1" applyFill="1" applyBorder="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37" fontId="11" fillId="2" borderId="23" xfId="0" applyNumberFormat="1" applyFont="1" applyFill="1" applyBorder="1" applyAlignment="1" applyProtection="1">
      <alignment horizontal="center"/>
    </xf>
    <xf numFmtId="37" fontId="11" fillId="10" borderId="23" xfId="0" applyNumberFormat="1" applyFont="1" applyFill="1" applyBorder="1" applyAlignment="1" applyProtection="1">
      <alignment horizontal="center"/>
    </xf>
    <xf numFmtId="37" fontId="11" fillId="11" borderId="23" xfId="0" applyNumberFormat="1" applyFont="1" applyFill="1" applyBorder="1" applyAlignment="1" applyProtection="1">
      <alignment horizontal="center"/>
    </xf>
    <xf numFmtId="37" fontId="11" fillId="12" borderId="23" xfId="0" applyNumberFormat="1" applyFont="1" applyFill="1" applyBorder="1" applyAlignment="1" applyProtection="1">
      <alignment horizontal="center"/>
    </xf>
    <xf numFmtId="37" fontId="11" fillId="13" borderId="23" xfId="0" applyNumberFormat="1" applyFont="1" applyFill="1" applyBorder="1" applyAlignment="1" applyProtection="1">
      <alignment horizontal="center"/>
    </xf>
    <xf numFmtId="37" fontId="11" fillId="5" borderId="23" xfId="0" applyNumberFormat="1" applyFont="1" applyFill="1" applyBorder="1" applyAlignment="1" applyProtection="1">
      <alignment horizontal="center"/>
    </xf>
    <xf numFmtId="37" fontId="18" fillId="2" borderId="23" xfId="0" applyNumberFormat="1" applyFont="1" applyFill="1" applyBorder="1" applyAlignment="1" applyProtection="1">
      <alignment horizontal="center"/>
      <protection locked="0"/>
    </xf>
    <xf numFmtId="37" fontId="18" fillId="10" borderId="23" xfId="0" applyNumberFormat="1" applyFont="1" applyFill="1" applyBorder="1" applyAlignment="1" applyProtection="1">
      <alignment horizontal="center"/>
      <protection locked="0"/>
    </xf>
    <xf numFmtId="37" fontId="18" fillId="11" borderId="23" xfId="0" applyNumberFormat="1" applyFont="1" applyFill="1" applyBorder="1" applyAlignment="1" applyProtection="1">
      <alignment horizontal="center"/>
      <protection locked="0"/>
    </xf>
    <xf numFmtId="37" fontId="18" fillId="12" borderId="23" xfId="0" applyNumberFormat="1" applyFont="1" applyFill="1" applyBorder="1" applyAlignment="1" applyProtection="1">
      <alignment horizontal="center"/>
      <protection locked="0"/>
    </xf>
    <xf numFmtId="37" fontId="18" fillId="13" borderId="23" xfId="0" applyNumberFormat="1" applyFont="1" applyFill="1" applyBorder="1" applyAlignment="1" applyProtection="1">
      <alignment horizontal="center"/>
      <protection locked="0"/>
    </xf>
    <xf numFmtId="37" fontId="18" fillId="5" borderId="23" xfId="0" applyNumberFormat="1" applyFont="1" applyFill="1" applyBorder="1" applyAlignment="1" applyProtection="1">
      <alignment horizontal="center"/>
      <protection locked="0"/>
    </xf>
    <xf numFmtId="0" fontId="11" fillId="0" borderId="2" xfId="0" applyFont="1" applyBorder="1" applyProtection="1"/>
    <xf numFmtId="0" fontId="12" fillId="13" borderId="3" xfId="0" applyFont="1" applyFill="1" applyBorder="1" applyAlignment="1" applyProtection="1">
      <alignment horizontal="center" vertical="center"/>
    </xf>
    <xf numFmtId="0" fontId="12" fillId="0" borderId="0" xfId="0" applyFont="1" applyBorder="1" applyAlignment="1" applyProtection="1">
      <alignment vertical="center"/>
    </xf>
    <xf numFmtId="0" fontId="12" fillId="0" borderId="0" xfId="0" applyFont="1" applyBorder="1" applyAlignment="1" applyProtection="1">
      <alignment horizontal="left" vertical="center" wrapText="1"/>
    </xf>
    <xf numFmtId="9" fontId="18" fillId="2" borderId="23" xfId="0" applyNumberFormat="1" applyFont="1" applyFill="1" applyBorder="1" applyAlignment="1" applyProtection="1">
      <alignment horizontal="center"/>
      <protection locked="0"/>
    </xf>
    <xf numFmtId="9" fontId="18" fillId="10" borderId="23" xfId="0" applyNumberFormat="1" applyFont="1" applyFill="1" applyBorder="1" applyAlignment="1" applyProtection="1">
      <alignment horizontal="center"/>
      <protection locked="0"/>
    </xf>
    <xf numFmtId="9" fontId="18" fillId="11" borderId="23" xfId="0" applyNumberFormat="1" applyFont="1" applyFill="1" applyBorder="1" applyAlignment="1" applyProtection="1">
      <alignment horizontal="center"/>
      <protection locked="0"/>
    </xf>
    <xf numFmtId="9" fontId="18" fillId="12" borderId="23" xfId="0" applyNumberFormat="1" applyFont="1" applyFill="1" applyBorder="1" applyAlignment="1" applyProtection="1">
      <alignment horizontal="center"/>
      <protection locked="0"/>
    </xf>
    <xf numFmtId="9" fontId="18" fillId="13" borderId="23" xfId="0" applyNumberFormat="1" applyFont="1" applyFill="1" applyBorder="1" applyAlignment="1" applyProtection="1">
      <alignment horizontal="center"/>
      <protection locked="0"/>
    </xf>
    <xf numFmtId="9" fontId="18" fillId="5" borderId="23" xfId="0" applyNumberFormat="1" applyFont="1" applyFill="1" applyBorder="1" applyAlignment="1" applyProtection="1">
      <alignment horizontal="center"/>
      <protection locked="0"/>
    </xf>
    <xf numFmtId="0" fontId="11" fillId="0" borderId="0" xfId="0" applyFont="1" applyFill="1" applyProtection="1"/>
    <xf numFmtId="0" fontId="5" fillId="0" borderId="0" xfId="0" applyFont="1" applyFill="1" applyProtection="1"/>
    <xf numFmtId="0" fontId="19" fillId="0" borderId="0" xfId="0" applyFont="1" applyFill="1" applyProtection="1"/>
    <xf numFmtId="164" fontId="11" fillId="0" borderId="0" xfId="0" applyNumberFormat="1" applyFont="1" applyProtection="1"/>
    <xf numFmtId="164" fontId="18" fillId="2" borderId="23" xfId="0" applyNumberFormat="1" applyFont="1" applyFill="1" applyBorder="1" applyAlignment="1" applyProtection="1">
      <alignment horizontal="center"/>
      <protection locked="0"/>
    </xf>
    <xf numFmtId="164" fontId="18" fillId="10" borderId="23" xfId="0" applyNumberFormat="1" applyFont="1" applyFill="1" applyBorder="1" applyAlignment="1" applyProtection="1">
      <alignment horizontal="center"/>
      <protection locked="0"/>
    </xf>
    <xf numFmtId="164" fontId="18" fillId="11" borderId="23" xfId="0" applyNumberFormat="1" applyFont="1" applyFill="1" applyBorder="1" applyAlignment="1" applyProtection="1">
      <alignment horizontal="center"/>
      <protection locked="0"/>
    </xf>
    <xf numFmtId="164" fontId="18" fillId="12" borderId="23" xfId="0" applyNumberFormat="1" applyFont="1" applyFill="1" applyBorder="1" applyAlignment="1" applyProtection="1">
      <alignment horizontal="center"/>
      <protection locked="0"/>
    </xf>
    <xf numFmtId="164" fontId="18" fillId="13" borderId="23" xfId="0" applyNumberFormat="1" applyFont="1" applyFill="1" applyBorder="1" applyAlignment="1" applyProtection="1">
      <alignment horizontal="center"/>
      <protection locked="0"/>
    </xf>
    <xf numFmtId="164" fontId="18" fillId="5" borderId="23" xfId="0" applyNumberFormat="1" applyFont="1" applyFill="1" applyBorder="1" applyAlignment="1" applyProtection="1">
      <alignment horizontal="center"/>
      <protection locked="0"/>
    </xf>
    <xf numFmtId="164" fontId="11" fillId="10" borderId="23" xfId="0" applyNumberFormat="1" applyFont="1" applyFill="1" applyBorder="1" applyAlignment="1" applyProtection="1">
      <alignment horizontal="center"/>
    </xf>
    <xf numFmtId="164" fontId="11" fillId="11" borderId="23" xfId="0" applyNumberFormat="1" applyFont="1" applyFill="1" applyBorder="1" applyAlignment="1" applyProtection="1">
      <alignment horizontal="center"/>
    </xf>
    <xf numFmtId="164" fontId="11" fillId="12" borderId="23" xfId="0" applyNumberFormat="1" applyFont="1" applyFill="1" applyBorder="1" applyAlignment="1" applyProtection="1">
      <alignment horizontal="center"/>
    </xf>
    <xf numFmtId="164" fontId="11" fillId="13" borderId="23" xfId="0" applyNumberFormat="1" applyFont="1" applyFill="1" applyBorder="1" applyAlignment="1" applyProtection="1">
      <alignment horizontal="center"/>
    </xf>
    <xf numFmtId="164" fontId="11" fillId="5" borderId="23" xfId="0" applyNumberFormat="1" applyFont="1" applyFill="1" applyBorder="1" applyAlignment="1" applyProtection="1">
      <alignment horizontal="center"/>
    </xf>
    <xf numFmtId="164" fontId="11" fillId="2" borderId="23" xfId="0" applyNumberFormat="1" applyFont="1" applyFill="1" applyBorder="1" applyAlignment="1" applyProtection="1">
      <alignment horizontal="center"/>
    </xf>
    <xf numFmtId="37" fontId="18" fillId="2" borderId="23" xfId="0" applyNumberFormat="1" applyFont="1" applyFill="1" applyBorder="1" applyAlignment="1" applyProtection="1">
      <alignment horizontal="center"/>
    </xf>
    <xf numFmtId="37" fontId="18" fillId="10" borderId="23" xfId="0" applyNumberFormat="1" applyFont="1" applyFill="1" applyBorder="1" applyAlignment="1" applyProtection="1">
      <alignment horizontal="center"/>
    </xf>
    <xf numFmtId="37" fontId="18" fillId="11" borderId="23" xfId="0" applyNumberFormat="1" applyFont="1" applyFill="1" applyBorder="1" applyAlignment="1" applyProtection="1">
      <alignment horizontal="center"/>
    </xf>
    <xf numFmtId="37" fontId="18" fillId="12" borderId="23" xfId="0" applyNumberFormat="1" applyFont="1" applyFill="1" applyBorder="1" applyAlignment="1" applyProtection="1">
      <alignment horizontal="center"/>
    </xf>
    <xf numFmtId="37" fontId="18" fillId="13" borderId="23" xfId="0" applyNumberFormat="1" applyFont="1" applyFill="1" applyBorder="1" applyAlignment="1" applyProtection="1">
      <alignment horizontal="center"/>
    </xf>
    <xf numFmtId="37" fontId="18" fillId="5" borderId="23" xfId="0" applyNumberFormat="1" applyFont="1" applyFill="1" applyBorder="1" applyAlignment="1" applyProtection="1">
      <alignment horizontal="center"/>
    </xf>
    <xf numFmtId="37" fontId="5" fillId="2" borderId="23" xfId="0" applyNumberFormat="1" applyFont="1" applyFill="1" applyBorder="1" applyAlignment="1" applyProtection="1">
      <alignment horizontal="center"/>
    </xf>
    <xf numFmtId="37" fontId="5" fillId="10" borderId="23" xfId="0" applyNumberFormat="1" applyFont="1" applyFill="1" applyBorder="1" applyAlignment="1" applyProtection="1">
      <alignment horizontal="center"/>
    </xf>
    <xf numFmtId="37" fontId="5" fillId="11" borderId="23" xfId="0" applyNumberFormat="1" applyFont="1" applyFill="1" applyBorder="1" applyAlignment="1" applyProtection="1">
      <alignment horizontal="center"/>
    </xf>
    <xf numFmtId="37" fontId="5" fillId="12" borderId="23" xfId="0" applyNumberFormat="1" applyFont="1" applyFill="1" applyBorder="1" applyAlignment="1" applyProtection="1">
      <alignment horizontal="center"/>
    </xf>
    <xf numFmtId="37" fontId="5" fillId="13" borderId="23" xfId="0" applyNumberFormat="1" applyFont="1" applyFill="1" applyBorder="1" applyAlignment="1" applyProtection="1">
      <alignment horizontal="center"/>
    </xf>
    <xf numFmtId="37" fontId="5" fillId="5" borderId="23" xfId="0" applyNumberFormat="1" applyFont="1" applyFill="1" applyBorder="1" applyAlignment="1" applyProtection="1">
      <alignment horizontal="center"/>
    </xf>
    <xf numFmtId="37" fontId="18" fillId="2" borderId="24" xfId="0" applyNumberFormat="1" applyFont="1" applyFill="1" applyBorder="1" applyAlignment="1" applyProtection="1">
      <alignment horizontal="center"/>
      <protection locked="0"/>
    </xf>
    <xf numFmtId="37" fontId="18" fillId="10" borderId="24" xfId="0" applyNumberFormat="1" applyFont="1" applyFill="1" applyBorder="1" applyAlignment="1" applyProtection="1">
      <alignment horizontal="center"/>
      <protection locked="0"/>
    </xf>
    <xf numFmtId="37" fontId="18" fillId="11" borderId="24" xfId="0" applyNumberFormat="1" applyFont="1" applyFill="1" applyBorder="1" applyAlignment="1" applyProtection="1">
      <alignment horizontal="center"/>
      <protection locked="0"/>
    </xf>
    <xf numFmtId="37" fontId="18" fillId="12" borderId="24" xfId="0" applyNumberFormat="1" applyFont="1" applyFill="1" applyBorder="1" applyAlignment="1" applyProtection="1">
      <alignment horizontal="center"/>
      <protection locked="0"/>
    </xf>
    <xf numFmtId="37" fontId="18" fillId="13" borderId="24" xfId="0" applyNumberFormat="1" applyFont="1" applyFill="1" applyBorder="1" applyAlignment="1" applyProtection="1">
      <alignment horizontal="center"/>
      <protection locked="0"/>
    </xf>
    <xf numFmtId="37" fontId="18" fillId="5" borderId="24" xfId="0" applyNumberFormat="1" applyFont="1" applyFill="1" applyBorder="1" applyAlignment="1" applyProtection="1">
      <alignment horizontal="center"/>
      <protection locked="0"/>
    </xf>
    <xf numFmtId="0" fontId="20" fillId="0" borderId="0" xfId="0" applyFont="1" applyProtection="1"/>
    <xf numFmtId="0" fontId="11" fillId="2" borderId="23" xfId="0" applyFont="1" applyFill="1" applyBorder="1" applyProtection="1"/>
    <xf numFmtId="0" fontId="11" fillId="10" borderId="23" xfId="0" applyFont="1" applyFill="1" applyBorder="1" applyProtection="1"/>
    <xf numFmtId="0" fontId="11" fillId="11" borderId="23" xfId="0" applyFont="1" applyFill="1" applyBorder="1" applyProtection="1"/>
    <xf numFmtId="0" fontId="11" fillId="12" borderId="23" xfId="0" applyFont="1" applyFill="1" applyBorder="1" applyProtection="1"/>
    <xf numFmtId="0" fontId="11" fillId="13" borderId="23" xfId="0" applyFont="1" applyFill="1" applyBorder="1" applyProtection="1"/>
    <xf numFmtId="0" fontId="11" fillId="5" borderId="23" xfId="0" applyFont="1" applyFill="1" applyBorder="1" applyProtection="1"/>
    <xf numFmtId="0" fontId="12" fillId="0" borderId="0" xfId="0" quotePrefix="1" applyFont="1" applyProtection="1"/>
    <xf numFmtId="0" fontId="11" fillId="0" borderId="0" xfId="0" quotePrefix="1" applyFont="1" applyProtection="1"/>
    <xf numFmtId="0" fontId="18" fillId="2" borderId="23" xfId="0" applyFont="1" applyFill="1" applyBorder="1" applyAlignment="1" applyProtection="1">
      <alignment horizontal="center"/>
      <protection locked="0"/>
    </xf>
    <xf numFmtId="0" fontId="18" fillId="10" borderId="23" xfId="0" applyFont="1" applyFill="1" applyBorder="1" applyAlignment="1" applyProtection="1">
      <alignment horizontal="center"/>
      <protection locked="0"/>
    </xf>
    <xf numFmtId="0" fontId="18" fillId="11" borderId="23" xfId="0" applyFont="1" applyFill="1" applyBorder="1" applyAlignment="1" applyProtection="1">
      <alignment horizontal="center"/>
      <protection locked="0"/>
    </xf>
    <xf numFmtId="0" fontId="18" fillId="12" borderId="23" xfId="0" applyFont="1" applyFill="1" applyBorder="1" applyAlignment="1" applyProtection="1">
      <alignment horizontal="center"/>
      <protection locked="0"/>
    </xf>
    <xf numFmtId="0" fontId="18" fillId="13" borderId="23" xfId="0" applyFont="1" applyFill="1" applyBorder="1" applyAlignment="1" applyProtection="1">
      <alignment horizontal="center"/>
      <protection locked="0"/>
    </xf>
    <xf numFmtId="0" fontId="18" fillId="5" borderId="23" xfId="0" applyFont="1" applyFill="1" applyBorder="1" applyAlignment="1" applyProtection="1">
      <alignment horizontal="center"/>
      <protection locked="0"/>
    </xf>
    <xf numFmtId="0" fontId="18" fillId="2" borderId="24" xfId="0" applyFont="1" applyFill="1" applyBorder="1" applyAlignment="1" applyProtection="1">
      <alignment horizontal="center"/>
      <protection locked="0"/>
    </xf>
    <xf numFmtId="0" fontId="18" fillId="10" borderId="24" xfId="0" applyFont="1" applyFill="1" applyBorder="1" applyAlignment="1" applyProtection="1">
      <alignment horizontal="center"/>
      <protection locked="0"/>
    </xf>
    <xf numFmtId="0" fontId="18" fillId="11" borderId="24" xfId="0" applyFont="1" applyFill="1" applyBorder="1" applyAlignment="1" applyProtection="1">
      <alignment horizontal="center"/>
      <protection locked="0"/>
    </xf>
    <xf numFmtId="0" fontId="18" fillId="12" borderId="24" xfId="0" applyFont="1" applyFill="1" applyBorder="1" applyAlignment="1" applyProtection="1">
      <alignment horizontal="center"/>
      <protection locked="0"/>
    </xf>
    <xf numFmtId="0" fontId="18" fillId="13" borderId="24" xfId="0" applyFont="1" applyFill="1" applyBorder="1" applyAlignment="1" applyProtection="1">
      <alignment horizontal="center"/>
      <protection locked="0"/>
    </xf>
    <xf numFmtId="0" fontId="18" fillId="5" borderId="24" xfId="0" applyFont="1" applyFill="1" applyBorder="1" applyAlignment="1" applyProtection="1">
      <alignment horizontal="center"/>
      <protection locked="0"/>
    </xf>
    <xf numFmtId="0" fontId="11" fillId="0" borderId="0" xfId="0" applyFont="1" applyFill="1" applyBorder="1" applyProtection="1"/>
    <xf numFmtId="164" fontId="18" fillId="2" borderId="23" xfId="1" applyNumberFormat="1" applyFont="1" applyFill="1" applyBorder="1" applyAlignment="1" applyProtection="1">
      <alignment horizontal="center"/>
      <protection locked="0"/>
    </xf>
    <xf numFmtId="164" fontId="18" fillId="10" borderId="23" xfId="1" applyNumberFormat="1" applyFont="1" applyFill="1" applyBorder="1" applyAlignment="1" applyProtection="1">
      <alignment horizontal="center"/>
      <protection locked="0"/>
    </xf>
    <xf numFmtId="164" fontId="18" fillId="11" borderId="23" xfId="1" applyNumberFormat="1" applyFont="1" applyFill="1" applyBorder="1" applyAlignment="1" applyProtection="1">
      <alignment horizontal="center"/>
      <protection locked="0"/>
    </xf>
    <xf numFmtId="164" fontId="18" fillId="12" borderId="23" xfId="1" applyNumberFormat="1" applyFont="1" applyFill="1" applyBorder="1" applyAlignment="1" applyProtection="1">
      <alignment horizontal="center"/>
      <protection locked="0"/>
    </xf>
    <xf numFmtId="164" fontId="18" fillId="13" borderId="23" xfId="1" applyNumberFormat="1" applyFont="1" applyFill="1" applyBorder="1" applyAlignment="1" applyProtection="1">
      <alignment horizontal="center"/>
      <protection locked="0"/>
    </xf>
    <xf numFmtId="164" fontId="18" fillId="5" borderId="23" xfId="1" applyNumberFormat="1" applyFont="1" applyFill="1" applyBorder="1" applyAlignment="1" applyProtection="1">
      <alignment horizontal="center"/>
      <protection locked="0"/>
    </xf>
    <xf numFmtId="0" fontId="12" fillId="0" borderId="0" xfId="0" applyFont="1" applyAlignment="1" applyProtection="1">
      <alignment vertical="center"/>
    </xf>
    <xf numFmtId="0" fontId="11" fillId="2" borderId="23" xfId="0" applyFont="1" applyFill="1" applyBorder="1" applyAlignment="1" applyProtection="1">
      <alignment horizontal="center"/>
    </xf>
    <xf numFmtId="0" fontId="11" fillId="10" borderId="23" xfId="0" applyFont="1" applyFill="1" applyBorder="1" applyAlignment="1" applyProtection="1">
      <alignment horizontal="center"/>
    </xf>
    <xf numFmtId="0" fontId="11" fillId="11" borderId="23" xfId="0" applyFont="1" applyFill="1" applyBorder="1" applyAlignment="1" applyProtection="1">
      <alignment horizontal="center"/>
    </xf>
    <xf numFmtId="0" fontId="11" fillId="13" borderId="23" xfId="0" applyFont="1" applyFill="1" applyBorder="1" applyAlignment="1" applyProtection="1">
      <alignment horizontal="center"/>
    </xf>
    <xf numFmtId="0" fontId="11" fillId="5" borderId="23" xfId="0" applyFont="1" applyFill="1" applyBorder="1" applyAlignment="1" applyProtection="1">
      <alignment horizontal="center"/>
    </xf>
    <xf numFmtId="0" fontId="14" fillId="0" borderId="0" xfId="0" applyFont="1" applyAlignment="1" applyProtection="1">
      <alignment vertical="center"/>
    </xf>
    <xf numFmtId="0" fontId="14" fillId="0" borderId="0" xfId="0" applyFont="1" applyProtection="1"/>
    <xf numFmtId="0" fontId="18" fillId="2" borderId="23" xfId="0" applyFont="1" applyFill="1" applyBorder="1" applyAlignment="1" applyProtection="1">
      <alignment horizontal="center"/>
    </xf>
    <xf numFmtId="0" fontId="18" fillId="10" borderId="23" xfId="0" applyFont="1" applyFill="1" applyBorder="1" applyAlignment="1" applyProtection="1">
      <alignment horizontal="center"/>
    </xf>
    <xf numFmtId="0" fontId="18" fillId="11" borderId="23" xfId="0" applyFont="1" applyFill="1" applyBorder="1" applyAlignment="1" applyProtection="1">
      <alignment horizontal="center"/>
    </xf>
    <xf numFmtId="0" fontId="18" fillId="12" borderId="23" xfId="0" applyFont="1" applyFill="1" applyBorder="1" applyAlignment="1" applyProtection="1">
      <alignment horizontal="center"/>
    </xf>
    <xf numFmtId="0" fontId="18" fillId="13" borderId="23" xfId="0" applyFont="1" applyFill="1" applyBorder="1" applyAlignment="1" applyProtection="1">
      <alignment horizontal="center"/>
    </xf>
    <xf numFmtId="0" fontId="18" fillId="5" borderId="23" xfId="0" applyFont="1" applyFill="1" applyBorder="1" applyAlignment="1" applyProtection="1">
      <alignment horizontal="center"/>
    </xf>
    <xf numFmtId="164" fontId="18" fillId="2" borderId="23" xfId="1" applyNumberFormat="1" applyFont="1" applyFill="1" applyBorder="1" applyAlignment="1" applyProtection="1">
      <alignment horizontal="center"/>
    </xf>
    <xf numFmtId="164" fontId="18" fillId="10" borderId="23" xfId="1" applyNumberFormat="1" applyFont="1" applyFill="1" applyBorder="1" applyAlignment="1" applyProtection="1">
      <alignment horizontal="center"/>
    </xf>
    <xf numFmtId="164" fontId="18" fillId="11" borderId="23" xfId="1" applyNumberFormat="1" applyFont="1" applyFill="1" applyBorder="1" applyAlignment="1" applyProtection="1">
      <alignment horizontal="center"/>
    </xf>
    <xf numFmtId="164" fontId="18" fillId="12" borderId="23" xfId="1" applyNumberFormat="1" applyFont="1" applyFill="1" applyBorder="1" applyAlignment="1" applyProtection="1">
      <alignment horizontal="center"/>
    </xf>
    <xf numFmtId="164" fontId="18" fillId="13" borderId="23" xfId="1" applyNumberFormat="1" applyFont="1" applyFill="1" applyBorder="1" applyAlignment="1" applyProtection="1">
      <alignment horizontal="center"/>
    </xf>
    <xf numFmtId="164" fontId="18" fillId="5" borderId="23" xfId="1" applyNumberFormat="1" applyFont="1" applyFill="1" applyBorder="1" applyAlignment="1" applyProtection="1">
      <alignment horizontal="center"/>
    </xf>
    <xf numFmtId="167" fontId="18" fillId="2" borderId="23" xfId="0" applyNumberFormat="1" applyFont="1" applyFill="1" applyBorder="1" applyAlignment="1" applyProtection="1">
      <alignment horizontal="center"/>
    </xf>
    <xf numFmtId="167" fontId="18" fillId="10" borderId="23" xfId="0" applyNumberFormat="1" applyFont="1" applyFill="1" applyBorder="1" applyAlignment="1" applyProtection="1">
      <alignment horizontal="center"/>
    </xf>
    <xf numFmtId="167" fontId="18" fillId="11" borderId="23" xfId="0" applyNumberFormat="1" applyFont="1" applyFill="1" applyBorder="1" applyAlignment="1" applyProtection="1">
      <alignment horizontal="center"/>
    </xf>
    <xf numFmtId="167" fontId="18" fillId="12" borderId="23" xfId="0" applyNumberFormat="1" applyFont="1" applyFill="1" applyBorder="1" applyAlignment="1" applyProtection="1">
      <alignment horizontal="center"/>
    </xf>
    <xf numFmtId="167" fontId="18" fillId="13" borderId="23" xfId="0" applyNumberFormat="1" applyFont="1" applyFill="1" applyBorder="1" applyAlignment="1" applyProtection="1">
      <alignment horizontal="center"/>
    </xf>
    <xf numFmtId="167" fontId="18" fillId="5" borderId="23" xfId="0" applyNumberFormat="1" applyFont="1" applyFill="1" applyBorder="1" applyAlignment="1" applyProtection="1">
      <alignment horizontal="center"/>
    </xf>
    <xf numFmtId="0" fontId="11" fillId="12" borderId="23" xfId="0" applyFont="1" applyFill="1" applyBorder="1" applyAlignment="1" applyProtection="1">
      <alignment horizontal="center"/>
    </xf>
    <xf numFmtId="0" fontId="12" fillId="0" borderId="27" xfId="0" applyFont="1" applyBorder="1" applyAlignment="1" applyProtection="1">
      <alignment horizontal="left" vertical="center" wrapText="1"/>
    </xf>
    <xf numFmtId="0" fontId="11" fillId="0" borderId="0" xfId="0" applyFont="1" applyBorder="1" applyAlignment="1" applyProtection="1">
      <alignment vertical="center"/>
    </xf>
    <xf numFmtId="0" fontId="11" fillId="0" borderId="0" xfId="0" applyFont="1" applyBorder="1" applyProtection="1"/>
    <xf numFmtId="0" fontId="11" fillId="0" borderId="0" xfId="0" applyFont="1" applyFill="1" applyBorder="1" applyAlignment="1">
      <alignment horizontal="center"/>
    </xf>
    <xf numFmtId="0" fontId="11" fillId="15" borderId="1" xfId="0" applyFont="1" applyFill="1" applyBorder="1" applyAlignment="1">
      <alignment horizontal="center"/>
    </xf>
    <xf numFmtId="0" fontId="11" fillId="0" borderId="0" xfId="0" applyFont="1" applyFill="1" applyBorder="1" applyAlignment="1">
      <alignment horizontal="center" vertical="center"/>
    </xf>
    <xf numFmtId="0" fontId="12" fillId="0" borderId="0" xfId="0" applyFont="1" applyBorder="1" applyAlignment="1" applyProtection="1">
      <alignment horizontal="center" vertical="center" wrapText="1"/>
    </xf>
    <xf numFmtId="0" fontId="12" fillId="2" borderId="25" xfId="0" applyFont="1" applyFill="1" applyBorder="1" applyAlignment="1" applyProtection="1">
      <alignment horizontal="center" vertical="center"/>
    </xf>
    <xf numFmtId="0" fontId="12" fillId="10" borderId="25" xfId="0" applyFont="1" applyFill="1" applyBorder="1" applyAlignment="1" applyProtection="1">
      <alignment horizontal="center" vertical="center"/>
    </xf>
    <xf numFmtId="0" fontId="12" fillId="11" borderId="25" xfId="0" applyFont="1" applyFill="1" applyBorder="1" applyAlignment="1" applyProtection="1">
      <alignment horizontal="center" vertical="center"/>
    </xf>
    <xf numFmtId="0" fontId="12" fillId="12" borderId="25" xfId="0" applyFont="1" applyFill="1" applyBorder="1" applyAlignment="1" applyProtection="1">
      <alignment horizontal="center" vertical="center"/>
    </xf>
    <xf numFmtId="0" fontId="12" fillId="13" borderId="25" xfId="0" applyFont="1" applyFill="1" applyBorder="1" applyAlignment="1" applyProtection="1">
      <alignment horizontal="center" vertical="center"/>
    </xf>
    <xf numFmtId="0" fontId="12" fillId="5" borderId="25" xfId="0" applyFont="1" applyFill="1" applyBorder="1" applyAlignment="1" applyProtection="1">
      <alignment horizontal="center" vertical="center"/>
    </xf>
    <xf numFmtId="0" fontId="12" fillId="0" borderId="0" xfId="0" applyFont="1" applyFill="1" applyProtection="1"/>
    <xf numFmtId="0" fontId="22" fillId="2" borderId="23" xfId="0" applyFont="1" applyFill="1" applyBorder="1" applyAlignment="1" applyProtection="1">
      <alignment horizontal="center"/>
      <protection locked="0"/>
    </xf>
    <xf numFmtId="0" fontId="22" fillId="10" borderId="23" xfId="0" applyFont="1" applyFill="1" applyBorder="1" applyAlignment="1" applyProtection="1">
      <alignment horizontal="center"/>
      <protection locked="0"/>
    </xf>
    <xf numFmtId="0" fontId="22" fillId="11" borderId="23" xfId="0" applyFont="1" applyFill="1" applyBorder="1" applyAlignment="1" applyProtection="1">
      <alignment horizontal="center"/>
      <protection locked="0"/>
    </xf>
    <xf numFmtId="0" fontId="22" fillId="12" borderId="23" xfId="0" applyFont="1" applyFill="1" applyBorder="1" applyAlignment="1" applyProtection="1">
      <alignment horizontal="center"/>
      <protection locked="0"/>
    </xf>
    <xf numFmtId="0" fontId="22" fillId="13" borderId="23" xfId="0" applyFont="1" applyFill="1" applyBorder="1" applyAlignment="1" applyProtection="1">
      <alignment horizontal="center"/>
      <protection locked="0"/>
    </xf>
    <xf numFmtId="0" fontId="22" fillId="5" borderId="23" xfId="0" applyFont="1" applyFill="1" applyBorder="1" applyAlignment="1" applyProtection="1">
      <alignment horizontal="center"/>
      <protection locked="0"/>
    </xf>
    <xf numFmtId="0" fontId="18" fillId="10" borderId="23" xfId="0" applyFont="1" applyFill="1" applyBorder="1" applyAlignment="1" applyProtection="1">
      <alignment horizontal="center" vertical="center" wrapText="1"/>
      <protection locked="0"/>
    </xf>
    <xf numFmtId="0" fontId="18" fillId="2" borderId="23" xfId="0" applyFont="1" applyFill="1" applyBorder="1" applyAlignment="1" applyProtection="1">
      <alignment horizontal="center" vertical="center" wrapText="1"/>
      <protection locked="0"/>
    </xf>
    <xf numFmtId="0" fontId="18" fillId="11" borderId="23" xfId="0" applyFont="1" applyFill="1" applyBorder="1" applyAlignment="1" applyProtection="1">
      <alignment horizontal="center" vertical="center" wrapText="1"/>
      <protection locked="0"/>
    </xf>
    <xf numFmtId="0" fontId="18" fillId="12" borderId="23" xfId="0" applyFont="1" applyFill="1" applyBorder="1" applyAlignment="1" applyProtection="1">
      <alignment horizontal="center" vertical="center" wrapText="1"/>
      <protection locked="0"/>
    </xf>
    <xf numFmtId="0" fontId="18" fillId="13" borderId="23" xfId="0" applyFont="1" applyFill="1" applyBorder="1" applyAlignment="1" applyProtection="1">
      <alignment horizontal="center" vertical="center" wrapText="1"/>
      <protection locked="0"/>
    </xf>
    <xf numFmtId="0" fontId="18" fillId="5" borderId="23" xfId="0" applyFont="1" applyFill="1" applyBorder="1" applyAlignment="1" applyProtection="1">
      <alignment horizontal="center" vertical="center" wrapText="1"/>
      <protection locked="0"/>
    </xf>
    <xf numFmtId="0" fontId="11" fillId="20" borderId="0" xfId="0" applyFont="1" applyFill="1" applyAlignment="1" applyProtection="1">
      <alignment wrapText="1"/>
    </xf>
    <xf numFmtId="0" fontId="11" fillId="0" borderId="0" xfId="0" applyFont="1" applyAlignment="1">
      <alignment horizontal="center"/>
    </xf>
    <xf numFmtId="0" fontId="12" fillId="0" borderId="0" xfId="0" applyFont="1" applyBorder="1" applyAlignment="1">
      <alignment horizontal="center"/>
    </xf>
    <xf numFmtId="0" fontId="11" fillId="0" borderId="0" xfId="0" applyFont="1" applyBorder="1" applyAlignment="1">
      <alignment horizontal="center"/>
    </xf>
    <xf numFmtId="0" fontId="11" fillId="15" borderId="0" xfId="0" applyFont="1" applyFill="1" applyBorder="1" applyAlignment="1">
      <alignment horizontal="center"/>
    </xf>
    <xf numFmtId="0" fontId="11" fillId="14" borderId="0" xfId="0" applyFont="1" applyFill="1" applyBorder="1" applyAlignment="1">
      <alignment horizontal="center"/>
    </xf>
    <xf numFmtId="0" fontId="5" fillId="0" borderId="0" xfId="0" applyFont="1" applyFill="1" applyAlignment="1" applyProtection="1">
      <alignment vertical="center"/>
    </xf>
    <xf numFmtId="0" fontId="11" fillId="14" borderId="1" xfId="0" applyFont="1" applyFill="1" applyBorder="1" applyAlignment="1">
      <alignment horizontal="center"/>
    </xf>
    <xf numFmtId="0" fontId="12" fillId="0" borderId="1" xfId="0" applyFont="1" applyBorder="1" applyAlignment="1">
      <alignment horizontal="left"/>
    </xf>
    <xf numFmtId="0" fontId="12" fillId="0" borderId="1" xfId="0" applyFont="1" applyBorder="1"/>
    <xf numFmtId="0" fontId="12" fillId="0" borderId="1" xfId="0" applyFont="1" applyBorder="1" applyAlignment="1">
      <alignment horizontal="center"/>
    </xf>
    <xf numFmtId="0" fontId="12" fillId="2" borderId="14" xfId="0" applyFont="1" applyFill="1" applyBorder="1"/>
    <xf numFmtId="0" fontId="11" fillId="2" borderId="15" xfId="0" applyFont="1" applyFill="1" applyBorder="1"/>
    <xf numFmtId="0" fontId="11" fillId="2" borderId="16" xfId="0" applyFont="1" applyFill="1" applyBorder="1"/>
    <xf numFmtId="0" fontId="12" fillId="2" borderId="17" xfId="0" applyFont="1" applyFill="1" applyBorder="1"/>
    <xf numFmtId="0" fontId="11" fillId="2" borderId="0" xfId="0" applyFont="1" applyFill="1" applyBorder="1"/>
    <xf numFmtId="0" fontId="11" fillId="2" borderId="18" xfId="0" applyFont="1" applyFill="1" applyBorder="1"/>
    <xf numFmtId="0" fontId="11" fillId="2" borderId="17" xfId="0" applyFont="1" applyFill="1" applyBorder="1"/>
    <xf numFmtId="37" fontId="11" fillId="2" borderId="0" xfId="0" applyNumberFormat="1" applyFont="1" applyFill="1" applyBorder="1"/>
    <xf numFmtId="0" fontId="11" fillId="2" borderId="0" xfId="0" applyFont="1" applyFill="1" applyBorder="1" applyAlignment="1">
      <alignment horizontal="center"/>
    </xf>
    <xf numFmtId="169" fontId="11" fillId="2" borderId="0" xfId="2" applyNumberFormat="1" applyFont="1" applyFill="1" applyBorder="1"/>
    <xf numFmtId="169" fontId="11" fillId="2" borderId="18" xfId="2" applyNumberFormat="1" applyFont="1" applyFill="1" applyBorder="1"/>
    <xf numFmtId="0" fontId="12" fillId="2" borderId="22" xfId="0" applyFont="1" applyFill="1" applyBorder="1"/>
    <xf numFmtId="0" fontId="11" fillId="2" borderId="1" xfId="0" applyFont="1" applyFill="1" applyBorder="1"/>
    <xf numFmtId="0" fontId="11" fillId="2" borderId="1" xfId="0" applyFont="1" applyFill="1" applyBorder="1" applyAlignment="1">
      <alignment horizontal="center"/>
    </xf>
    <xf numFmtId="0" fontId="11" fillId="2" borderId="29" xfId="0" applyFont="1" applyFill="1" applyBorder="1" applyAlignment="1">
      <alignment horizontal="center"/>
    </xf>
    <xf numFmtId="5" fontId="11" fillId="2" borderId="0" xfId="2" applyNumberFormat="1" applyFont="1" applyFill="1" applyBorder="1"/>
    <xf numFmtId="5" fontId="11" fillId="2" borderId="18" xfId="2" applyNumberFormat="1" applyFont="1" applyFill="1" applyBorder="1"/>
    <xf numFmtId="7" fontId="11" fillId="2" borderId="0" xfId="2" applyNumberFormat="1" applyFont="1" applyFill="1" applyBorder="1"/>
    <xf numFmtId="170" fontId="11" fillId="2" borderId="0" xfId="2" applyNumberFormat="1" applyFont="1" applyFill="1" applyBorder="1"/>
    <xf numFmtId="170" fontId="11" fillId="2" borderId="18" xfId="2" applyNumberFormat="1" applyFont="1" applyFill="1" applyBorder="1"/>
    <xf numFmtId="5" fontId="11" fillId="2" borderId="0" xfId="0" applyNumberFormat="1" applyFont="1" applyFill="1" applyBorder="1"/>
    <xf numFmtId="0" fontId="11" fillId="2" borderId="22" xfId="0" applyFont="1" applyFill="1" applyBorder="1"/>
    <xf numFmtId="5" fontId="11" fillId="2" borderId="1" xfId="0" applyNumberFormat="1" applyFont="1" applyFill="1" applyBorder="1"/>
    <xf numFmtId="0" fontId="12" fillId="2" borderId="8" xfId="0" applyFont="1" applyFill="1" applyBorder="1"/>
    <xf numFmtId="0" fontId="12" fillId="2" borderId="9" xfId="0" applyFont="1" applyFill="1" applyBorder="1"/>
    <xf numFmtId="0" fontId="12" fillId="2" borderId="9" xfId="0" applyFont="1" applyFill="1" applyBorder="1" applyAlignment="1">
      <alignment horizontal="center"/>
    </xf>
    <xf numFmtId="0" fontId="12" fillId="2" borderId="19" xfId="0" applyFont="1" applyFill="1" applyBorder="1"/>
    <xf numFmtId="0" fontId="12" fillId="2" borderId="20" xfId="0" applyFont="1" applyFill="1" applyBorder="1"/>
    <xf numFmtId="0" fontId="12" fillId="2" borderId="20" xfId="0" applyFont="1" applyFill="1" applyBorder="1" applyAlignment="1">
      <alignment horizontal="center"/>
    </xf>
    <xf numFmtId="7" fontId="12" fillId="2" borderId="20" xfId="0" applyNumberFormat="1" applyFont="1" applyFill="1" applyBorder="1"/>
    <xf numFmtId="0" fontId="11" fillId="2" borderId="20" xfId="0" applyFont="1" applyFill="1" applyBorder="1"/>
    <xf numFmtId="5" fontId="11" fillId="2" borderId="20" xfId="0" applyNumberFormat="1" applyFont="1" applyFill="1" applyBorder="1"/>
    <xf numFmtId="0" fontId="11" fillId="2" borderId="21" xfId="0" applyFont="1" applyFill="1" applyBorder="1"/>
    <xf numFmtId="5" fontId="11" fillId="0" borderId="0" xfId="0" applyNumberFormat="1" applyFont="1"/>
    <xf numFmtId="0" fontId="12" fillId="6" borderId="14" xfId="0" applyFont="1" applyFill="1" applyBorder="1"/>
    <xf numFmtId="0" fontId="12" fillId="6" borderId="15" xfId="0" applyFont="1" applyFill="1" applyBorder="1"/>
    <xf numFmtId="0" fontId="12" fillId="6" borderId="16" xfId="0" applyFont="1" applyFill="1" applyBorder="1"/>
    <xf numFmtId="0" fontId="11" fillId="6" borderId="17" xfId="0" applyFont="1" applyFill="1" applyBorder="1"/>
    <xf numFmtId="0" fontId="11" fillId="6" borderId="0" xfId="0" applyFont="1" applyFill="1" applyBorder="1"/>
    <xf numFmtId="0" fontId="11" fillId="6" borderId="18" xfId="0" applyFont="1" applyFill="1" applyBorder="1"/>
    <xf numFmtId="37" fontId="11" fillId="6" borderId="0" xfId="0" applyNumberFormat="1" applyFont="1" applyFill="1" applyBorder="1"/>
    <xf numFmtId="0" fontId="11" fillId="6" borderId="0" xfId="0" applyFont="1" applyFill="1" applyBorder="1" applyAlignment="1">
      <alignment horizontal="center"/>
    </xf>
    <xf numFmtId="169" fontId="11" fillId="6" borderId="0" xfId="2" applyNumberFormat="1" applyFont="1" applyFill="1" applyBorder="1"/>
    <xf numFmtId="169" fontId="11" fillId="6" borderId="18" xfId="2" applyNumberFormat="1" applyFont="1" applyFill="1" applyBorder="1"/>
    <xf numFmtId="0" fontId="12" fillId="6" borderId="22" xfId="0" applyFont="1" applyFill="1" applyBorder="1"/>
    <xf numFmtId="0" fontId="11" fillId="6" borderId="1" xfId="0" applyFont="1" applyFill="1" applyBorder="1"/>
    <xf numFmtId="0" fontId="11" fillId="6" borderId="1" xfId="0" applyFont="1" applyFill="1" applyBorder="1" applyAlignment="1">
      <alignment horizontal="center"/>
    </xf>
    <xf numFmtId="0" fontId="11" fillId="6" borderId="29" xfId="0" applyFont="1" applyFill="1" applyBorder="1" applyAlignment="1">
      <alignment horizontal="center"/>
    </xf>
    <xf numFmtId="5" fontId="11" fillId="6" borderId="0" xfId="0" applyNumberFormat="1" applyFont="1" applyFill="1" applyBorder="1"/>
    <xf numFmtId="0" fontId="12" fillId="6" borderId="17" xfId="0" applyFont="1" applyFill="1" applyBorder="1"/>
    <xf numFmtId="0" fontId="11" fillId="6" borderId="22" xfId="0" applyFont="1" applyFill="1" applyBorder="1"/>
    <xf numFmtId="0" fontId="12" fillId="6" borderId="8" xfId="0" applyFont="1" applyFill="1" applyBorder="1"/>
    <xf numFmtId="0" fontId="12" fillId="6" borderId="9" xfId="0" applyFont="1" applyFill="1" applyBorder="1"/>
    <xf numFmtId="0" fontId="12" fillId="6" borderId="9" xfId="0" applyFont="1" applyFill="1" applyBorder="1" applyAlignment="1">
      <alignment horizontal="center"/>
    </xf>
    <xf numFmtId="0" fontId="11" fillId="6" borderId="19" xfId="0" applyFont="1" applyFill="1" applyBorder="1"/>
    <xf numFmtId="0" fontId="11" fillId="6" borderId="20" xfId="0" applyFont="1" applyFill="1" applyBorder="1"/>
    <xf numFmtId="5" fontId="11" fillId="6" borderId="20" xfId="0" applyNumberFormat="1" applyFont="1" applyFill="1" applyBorder="1"/>
    <xf numFmtId="0" fontId="11" fillId="6" borderId="21" xfId="0" applyFont="1" applyFill="1" applyBorder="1"/>
    <xf numFmtId="0" fontId="12" fillId="7" borderId="14" xfId="0" applyFont="1" applyFill="1" applyBorder="1"/>
    <xf numFmtId="0" fontId="12" fillId="7" borderId="15" xfId="0" applyFont="1" applyFill="1" applyBorder="1"/>
    <xf numFmtId="0" fontId="12" fillId="7" borderId="16" xfId="0" applyFont="1" applyFill="1" applyBorder="1"/>
    <xf numFmtId="0" fontId="11" fillId="7" borderId="17" xfId="0" applyFont="1" applyFill="1" applyBorder="1"/>
    <xf numFmtId="0" fontId="11" fillId="7" borderId="0" xfId="0" applyFont="1" applyFill="1" applyBorder="1"/>
    <xf numFmtId="0" fontId="11" fillId="7" borderId="18" xfId="0" applyFont="1" applyFill="1" applyBorder="1"/>
    <xf numFmtId="37" fontId="11" fillId="7" borderId="0" xfId="0" applyNumberFormat="1" applyFont="1" applyFill="1" applyBorder="1"/>
    <xf numFmtId="0" fontId="11" fillId="7" borderId="0" xfId="0" applyFont="1" applyFill="1" applyBorder="1" applyAlignment="1">
      <alignment horizontal="center"/>
    </xf>
    <xf numFmtId="169" fontId="11" fillId="7" borderId="0" xfId="2" applyNumberFormat="1" applyFont="1" applyFill="1" applyBorder="1"/>
    <xf numFmtId="169" fontId="11" fillId="7" borderId="18" xfId="2" applyNumberFormat="1" applyFont="1" applyFill="1" applyBorder="1"/>
    <xf numFmtId="0" fontId="12" fillId="7" borderId="22" xfId="0" applyFont="1" applyFill="1" applyBorder="1"/>
    <xf numFmtId="0" fontId="11" fillId="7" borderId="1" xfId="0" applyFont="1" applyFill="1" applyBorder="1"/>
    <xf numFmtId="0" fontId="11" fillId="7" borderId="1" xfId="0" applyFont="1" applyFill="1" applyBorder="1" applyAlignment="1">
      <alignment horizontal="center"/>
    </xf>
    <xf numFmtId="0" fontId="11" fillId="7" borderId="29" xfId="0" applyFont="1" applyFill="1" applyBorder="1" applyAlignment="1">
      <alignment horizontal="center"/>
    </xf>
    <xf numFmtId="5" fontId="11" fillId="7" borderId="0" xfId="0" applyNumberFormat="1" applyFont="1" applyFill="1" applyBorder="1"/>
    <xf numFmtId="0" fontId="12" fillId="7" borderId="17" xfId="0" applyFont="1" applyFill="1" applyBorder="1"/>
    <xf numFmtId="0" fontId="11" fillId="7" borderId="22" xfId="0" applyFont="1" applyFill="1" applyBorder="1"/>
    <xf numFmtId="173" fontId="11" fillId="7" borderId="0" xfId="3" applyNumberFormat="1" applyFont="1" applyFill="1" applyBorder="1"/>
    <xf numFmtId="173" fontId="11" fillId="7" borderId="18" xfId="3" applyNumberFormat="1" applyFont="1" applyFill="1" applyBorder="1"/>
    <xf numFmtId="0" fontId="12" fillId="7" borderId="8" xfId="0" applyFont="1" applyFill="1" applyBorder="1"/>
    <xf numFmtId="0" fontId="12" fillId="7" borderId="9" xfId="0" applyFont="1" applyFill="1" applyBorder="1"/>
    <xf numFmtId="0" fontId="12" fillId="7" borderId="9" xfId="0" applyFont="1" applyFill="1" applyBorder="1" applyAlignment="1">
      <alignment horizontal="center"/>
    </xf>
    <xf numFmtId="0" fontId="11" fillId="7" borderId="19" xfId="0" applyFont="1" applyFill="1" applyBorder="1"/>
    <xf numFmtId="0" fontId="11" fillId="7" borderId="20" xfId="0" applyFont="1" applyFill="1" applyBorder="1"/>
    <xf numFmtId="5" fontId="11" fillId="7" borderId="20" xfId="0" applyNumberFormat="1" applyFont="1" applyFill="1" applyBorder="1"/>
    <xf numFmtId="0" fontId="11" fillId="7" borderId="21" xfId="0" applyFont="1" applyFill="1" applyBorder="1"/>
    <xf numFmtId="0" fontId="12" fillId="8" borderId="14" xfId="0" applyFont="1" applyFill="1" applyBorder="1"/>
    <xf numFmtId="0" fontId="12" fillId="8" borderId="15" xfId="0" applyFont="1" applyFill="1" applyBorder="1"/>
    <xf numFmtId="0" fontId="12" fillId="8" borderId="16" xfId="0" applyFont="1" applyFill="1" applyBorder="1"/>
    <xf numFmtId="0" fontId="11" fillId="8" borderId="17" xfId="0" applyFont="1" applyFill="1" applyBorder="1"/>
    <xf numFmtId="0" fontId="11" fillId="8" borderId="0" xfId="0" applyFont="1" applyFill="1" applyBorder="1"/>
    <xf numFmtId="0" fontId="11" fillId="8" borderId="18" xfId="0" applyFont="1" applyFill="1" applyBorder="1"/>
    <xf numFmtId="37" fontId="11" fillId="8" borderId="0" xfId="0" applyNumberFormat="1" applyFont="1" applyFill="1" applyBorder="1"/>
    <xf numFmtId="0" fontId="11" fillId="8" borderId="0" xfId="0" applyFont="1" applyFill="1" applyBorder="1" applyAlignment="1">
      <alignment horizontal="center"/>
    </xf>
    <xf numFmtId="169" fontId="11" fillId="8" borderId="0" xfId="2" applyNumberFormat="1" applyFont="1" applyFill="1" applyBorder="1"/>
    <xf numFmtId="169" fontId="11" fillId="8" borderId="18" xfId="2" applyNumberFormat="1" applyFont="1" applyFill="1" applyBorder="1"/>
    <xf numFmtId="0" fontId="12" fillId="8" borderId="22" xfId="0" applyFont="1" applyFill="1" applyBorder="1"/>
    <xf numFmtId="0" fontId="11" fillId="8" borderId="1" xfId="0" applyFont="1" applyFill="1" applyBorder="1"/>
    <xf numFmtId="0" fontId="11" fillId="8" borderId="1" xfId="0" applyFont="1" applyFill="1" applyBorder="1" applyAlignment="1">
      <alignment horizontal="center"/>
    </xf>
    <xf numFmtId="0" fontId="11" fillId="8" borderId="29" xfId="0" applyFont="1" applyFill="1" applyBorder="1" applyAlignment="1">
      <alignment horizontal="center"/>
    </xf>
    <xf numFmtId="5" fontId="11" fillId="8" borderId="0" xfId="0" applyNumberFormat="1" applyFont="1" applyFill="1" applyBorder="1"/>
    <xf numFmtId="0" fontId="12" fillId="8" borderId="17" xfId="0" applyFont="1" applyFill="1" applyBorder="1"/>
    <xf numFmtId="0" fontId="11" fillId="8" borderId="22" xfId="0" applyFont="1" applyFill="1" applyBorder="1"/>
    <xf numFmtId="0" fontId="12" fillId="8" borderId="8" xfId="0" applyFont="1" applyFill="1" applyBorder="1"/>
    <xf numFmtId="0" fontId="12" fillId="8" borderId="9" xfId="0" applyFont="1" applyFill="1" applyBorder="1"/>
    <xf numFmtId="0" fontId="12" fillId="8" borderId="9" xfId="0" applyFont="1" applyFill="1" applyBorder="1" applyAlignment="1">
      <alignment horizontal="center"/>
    </xf>
    <xf numFmtId="0" fontId="12" fillId="8" borderId="19" xfId="0" applyFont="1" applyFill="1" applyBorder="1"/>
    <xf numFmtId="0" fontId="12" fillId="8" borderId="20" xfId="0" applyFont="1" applyFill="1" applyBorder="1"/>
    <xf numFmtId="0" fontId="12" fillId="8" borderId="20" xfId="0" applyFont="1" applyFill="1" applyBorder="1" applyAlignment="1">
      <alignment horizontal="center"/>
    </xf>
    <xf numFmtId="7" fontId="12" fillId="8" borderId="20" xfId="0" applyNumberFormat="1" applyFont="1" applyFill="1" applyBorder="1"/>
    <xf numFmtId="0" fontId="11" fillId="8" borderId="20" xfId="0" applyFont="1" applyFill="1" applyBorder="1"/>
    <xf numFmtId="5" fontId="11" fillId="8" borderId="20" xfId="0" applyNumberFormat="1" applyFont="1" applyFill="1" applyBorder="1"/>
    <xf numFmtId="0" fontId="11" fillId="8" borderId="21" xfId="0" applyFont="1" applyFill="1" applyBorder="1"/>
    <xf numFmtId="7" fontId="12" fillId="0" borderId="0" xfId="0" applyNumberFormat="1" applyFont="1" applyBorder="1"/>
    <xf numFmtId="0" fontId="12" fillId="9" borderId="14" xfId="0" applyFont="1" applyFill="1" applyBorder="1"/>
    <xf numFmtId="0" fontId="12" fillId="9" borderId="15" xfId="0" applyFont="1" applyFill="1" applyBorder="1"/>
    <xf numFmtId="0" fontId="12" fillId="9" borderId="16" xfId="0" applyFont="1" applyFill="1" applyBorder="1"/>
    <xf numFmtId="0" fontId="11" fillId="9" borderId="17" xfId="0" applyFont="1" applyFill="1" applyBorder="1"/>
    <xf numFmtId="0" fontId="11" fillId="9" borderId="0" xfId="0" applyFont="1" applyFill="1" applyBorder="1"/>
    <xf numFmtId="0" fontId="11" fillId="9" borderId="18" xfId="0" applyFont="1" applyFill="1" applyBorder="1"/>
    <xf numFmtId="37" fontId="11" fillId="9" borderId="0" xfId="0" applyNumberFormat="1" applyFont="1" applyFill="1" applyBorder="1"/>
    <xf numFmtId="0" fontId="11" fillId="9" borderId="0" xfId="0" applyFont="1" applyFill="1" applyBorder="1" applyAlignment="1">
      <alignment horizontal="center"/>
    </xf>
    <xf numFmtId="169" fontId="11" fillId="9" borderId="0" xfId="2" applyNumberFormat="1" applyFont="1" applyFill="1" applyBorder="1"/>
    <xf numFmtId="169" fontId="11" fillId="9" borderId="18" xfId="2" applyNumberFormat="1" applyFont="1" applyFill="1" applyBorder="1"/>
    <xf numFmtId="0" fontId="12" fillId="9" borderId="22" xfId="0" applyFont="1" applyFill="1" applyBorder="1"/>
    <xf numFmtId="0" fontId="11" fillId="9" borderId="1" xfId="0" applyFont="1" applyFill="1" applyBorder="1"/>
    <xf numFmtId="0" fontId="11" fillId="9" borderId="1" xfId="0" applyFont="1" applyFill="1" applyBorder="1" applyAlignment="1">
      <alignment horizontal="center"/>
    </xf>
    <xf numFmtId="0" fontId="11" fillId="9" borderId="29" xfId="0" applyFont="1" applyFill="1" applyBorder="1" applyAlignment="1">
      <alignment horizontal="center"/>
    </xf>
    <xf numFmtId="5" fontId="11" fillId="9" borderId="0" xfId="0" applyNumberFormat="1" applyFont="1" applyFill="1" applyBorder="1"/>
    <xf numFmtId="0" fontId="12" fillId="9" borderId="17" xfId="0" applyFont="1" applyFill="1" applyBorder="1"/>
    <xf numFmtId="0" fontId="11" fillId="9" borderId="22" xfId="0" applyFont="1" applyFill="1" applyBorder="1"/>
    <xf numFmtId="0" fontId="12" fillId="9" borderId="8" xfId="0" applyFont="1" applyFill="1" applyBorder="1"/>
    <xf numFmtId="0" fontId="12" fillId="9" borderId="9" xfId="0" applyFont="1" applyFill="1" applyBorder="1"/>
    <xf numFmtId="0" fontId="12" fillId="9" borderId="9" xfId="0" applyFont="1" applyFill="1" applyBorder="1" applyAlignment="1">
      <alignment horizontal="center"/>
    </xf>
    <xf numFmtId="0" fontId="12" fillId="9" borderId="19" xfId="0" applyFont="1" applyFill="1" applyBorder="1"/>
    <xf numFmtId="0" fontId="12" fillId="9" borderId="20" xfId="0" applyFont="1" applyFill="1" applyBorder="1"/>
    <xf numFmtId="0" fontId="12" fillId="9" borderId="20" xfId="0" applyFont="1" applyFill="1" applyBorder="1" applyAlignment="1">
      <alignment horizontal="center"/>
    </xf>
    <xf numFmtId="7" fontId="12" fillId="9" borderId="20" xfId="0" applyNumberFormat="1" applyFont="1" applyFill="1" applyBorder="1"/>
    <xf numFmtId="0" fontId="11" fillId="9" borderId="20" xfId="0" applyFont="1" applyFill="1" applyBorder="1"/>
    <xf numFmtId="5" fontId="11" fillId="9" borderId="20" xfId="0" applyNumberFormat="1" applyFont="1" applyFill="1" applyBorder="1"/>
    <xf numFmtId="0" fontId="11" fillId="9" borderId="21" xfId="0" applyFont="1" applyFill="1" applyBorder="1"/>
    <xf numFmtId="0" fontId="12" fillId="5" borderId="14" xfId="0" applyFont="1" applyFill="1" applyBorder="1"/>
    <xf numFmtId="0" fontId="12" fillId="5" borderId="15" xfId="0" applyFont="1" applyFill="1" applyBorder="1"/>
    <xf numFmtId="0" fontId="12" fillId="5" borderId="16" xfId="0" applyFont="1" applyFill="1" applyBorder="1"/>
    <xf numFmtId="0" fontId="11" fillId="5" borderId="17" xfId="0" applyFont="1" applyFill="1" applyBorder="1"/>
    <xf numFmtId="0" fontId="11" fillId="5" borderId="0" xfId="0" applyFont="1" applyFill="1" applyBorder="1"/>
    <xf numFmtId="0" fontId="11" fillId="5" borderId="18" xfId="0" applyFont="1" applyFill="1" applyBorder="1"/>
    <xf numFmtId="37" fontId="11" fillId="5" borderId="0" xfId="0" applyNumberFormat="1" applyFont="1" applyFill="1" applyBorder="1"/>
    <xf numFmtId="0" fontId="11" fillId="5" borderId="0" xfId="0" applyFont="1" applyFill="1" applyBorder="1" applyAlignment="1">
      <alignment horizontal="center"/>
    </xf>
    <xf numFmtId="169" fontId="11" fillId="5" borderId="0" xfId="2" applyNumberFormat="1" applyFont="1" applyFill="1" applyBorder="1"/>
    <xf numFmtId="169" fontId="11" fillId="5" borderId="18" xfId="2" applyNumberFormat="1" applyFont="1" applyFill="1" applyBorder="1"/>
    <xf numFmtId="0" fontId="12" fillId="5" borderId="22" xfId="0" applyFont="1" applyFill="1" applyBorder="1"/>
    <xf numFmtId="0" fontId="11" fillId="5" borderId="1" xfId="0" applyFont="1" applyFill="1" applyBorder="1"/>
    <xf numFmtId="0" fontId="11" fillId="5" borderId="1" xfId="0" applyFont="1" applyFill="1" applyBorder="1" applyAlignment="1">
      <alignment horizontal="center"/>
    </xf>
    <xf numFmtId="0" fontId="11" fillId="5" borderId="29" xfId="0" applyFont="1" applyFill="1" applyBorder="1" applyAlignment="1">
      <alignment horizontal="center"/>
    </xf>
    <xf numFmtId="5" fontId="11" fillId="5" borderId="0" xfId="0" applyNumberFormat="1" applyFont="1" applyFill="1" applyBorder="1"/>
    <xf numFmtId="0" fontId="12" fillId="5" borderId="17" xfId="0" applyFont="1" applyFill="1" applyBorder="1"/>
    <xf numFmtId="0" fontId="11" fillId="5" borderId="22" xfId="0" applyFont="1" applyFill="1" applyBorder="1"/>
    <xf numFmtId="0" fontId="12" fillId="5" borderId="8" xfId="0" applyFont="1" applyFill="1" applyBorder="1"/>
    <xf numFmtId="0" fontId="12" fillId="5" borderId="9" xfId="0" applyFont="1" applyFill="1" applyBorder="1"/>
    <xf numFmtId="0" fontId="12" fillId="5" borderId="9" xfId="0" applyFont="1" applyFill="1" applyBorder="1" applyAlignment="1">
      <alignment horizontal="center"/>
    </xf>
    <xf numFmtId="0" fontId="12" fillId="5" borderId="19" xfId="0" applyFont="1" applyFill="1" applyBorder="1"/>
    <xf numFmtId="0" fontId="12" fillId="5" borderId="20" xfId="0" applyFont="1" applyFill="1" applyBorder="1"/>
    <xf numFmtId="0" fontId="12" fillId="5" borderId="20" xfId="0" applyFont="1" applyFill="1" applyBorder="1" applyAlignment="1">
      <alignment horizontal="center"/>
    </xf>
    <xf numFmtId="7" fontId="12" fillId="5" borderId="20" xfId="0" applyNumberFormat="1" applyFont="1" applyFill="1" applyBorder="1"/>
    <xf numFmtId="0" fontId="11" fillId="5" borderId="20" xfId="0" applyFont="1" applyFill="1" applyBorder="1"/>
    <xf numFmtId="5" fontId="11" fillId="5" borderId="20" xfId="0" applyNumberFormat="1" applyFont="1" applyFill="1" applyBorder="1"/>
    <xf numFmtId="0" fontId="11" fillId="5" borderId="21" xfId="0" applyFont="1" applyFill="1" applyBorder="1"/>
    <xf numFmtId="0" fontId="11" fillId="2" borderId="0" xfId="0" applyFont="1" applyFill="1" applyBorder="1" applyAlignment="1">
      <alignment horizontal="left"/>
    </xf>
    <xf numFmtId="9" fontId="11" fillId="2" borderId="0" xfId="0" applyNumberFormat="1" applyFont="1" applyFill="1" applyBorder="1"/>
    <xf numFmtId="0" fontId="20" fillId="2" borderId="0" xfId="0" applyFont="1" applyFill="1" applyBorder="1" applyAlignment="1">
      <alignment horizontal="left"/>
    </xf>
    <xf numFmtId="0" fontId="20" fillId="2" borderId="0" xfId="0" applyFont="1" applyFill="1" applyBorder="1"/>
    <xf numFmtId="0" fontId="11" fillId="2" borderId="19" xfId="0" applyFont="1" applyFill="1" applyBorder="1"/>
    <xf numFmtId="0" fontId="11" fillId="6" borderId="0" xfId="0" applyFont="1" applyFill="1" applyBorder="1" applyAlignment="1">
      <alignment horizontal="left"/>
    </xf>
    <xf numFmtId="164" fontId="11" fillId="6" borderId="0" xfId="0" applyNumberFormat="1" applyFont="1" applyFill="1" applyBorder="1"/>
    <xf numFmtId="0" fontId="20" fillId="6" borderId="0" xfId="0" applyFont="1" applyFill="1" applyBorder="1" applyAlignment="1">
      <alignment horizontal="left"/>
    </xf>
    <xf numFmtId="0" fontId="20" fillId="6" borderId="0" xfId="0" applyFont="1" applyFill="1" applyBorder="1"/>
    <xf numFmtId="9" fontId="11" fillId="6" borderId="0" xfId="0" applyNumberFormat="1" applyFont="1" applyFill="1" applyBorder="1"/>
    <xf numFmtId="5" fontId="11" fillId="6" borderId="21" xfId="0" applyNumberFormat="1" applyFont="1" applyFill="1" applyBorder="1"/>
    <xf numFmtId="0" fontId="11" fillId="7" borderId="0" xfId="0" applyFont="1" applyFill="1" applyBorder="1" applyAlignment="1">
      <alignment horizontal="left"/>
    </xf>
    <xf numFmtId="164" fontId="11" fillId="7" borderId="0" xfId="0" applyNumberFormat="1" applyFont="1" applyFill="1" applyBorder="1" applyAlignment="1">
      <alignment horizontal="right"/>
    </xf>
    <xf numFmtId="0" fontId="20" fillId="7" borderId="0" xfId="0" applyFont="1" applyFill="1" applyBorder="1" applyAlignment="1">
      <alignment horizontal="left"/>
    </xf>
    <xf numFmtId="0" fontId="20" fillId="7" borderId="0" xfId="0" applyFont="1" applyFill="1" applyBorder="1"/>
    <xf numFmtId="164" fontId="11" fillId="7" borderId="0" xfId="0" applyNumberFormat="1" applyFont="1" applyFill="1" applyBorder="1"/>
    <xf numFmtId="9" fontId="11" fillId="7" borderId="0" xfId="0" applyNumberFormat="1" applyFont="1" applyFill="1" applyBorder="1"/>
    <xf numFmtId="5" fontId="11" fillId="7" borderId="21" xfId="0" applyNumberFormat="1" applyFont="1" applyFill="1" applyBorder="1"/>
    <xf numFmtId="0" fontId="11" fillId="8" borderId="0" xfId="0" applyFont="1" applyFill="1" applyBorder="1" applyAlignment="1">
      <alignment horizontal="left"/>
    </xf>
    <xf numFmtId="164" fontId="11" fillId="8" borderId="0" xfId="0" applyNumberFormat="1" applyFont="1" applyFill="1" applyBorder="1"/>
    <xf numFmtId="0" fontId="20" fillId="8" borderId="0" xfId="0" applyFont="1" applyFill="1" applyBorder="1" applyAlignment="1">
      <alignment horizontal="left"/>
    </xf>
    <xf numFmtId="0" fontId="20" fillId="8" borderId="0" xfId="0" applyFont="1" applyFill="1" applyBorder="1"/>
    <xf numFmtId="9" fontId="11" fillId="8" borderId="0" xfId="0" applyNumberFormat="1" applyFont="1" applyFill="1" applyBorder="1"/>
    <xf numFmtId="0" fontId="11" fillId="8" borderId="19" xfId="0" applyFont="1" applyFill="1" applyBorder="1"/>
    <xf numFmtId="5" fontId="11" fillId="8" borderId="21" xfId="0" applyNumberFormat="1" applyFont="1" applyFill="1" applyBorder="1"/>
    <xf numFmtId="0" fontId="11" fillId="9" borderId="0" xfId="0" applyFont="1" applyFill="1" applyBorder="1" applyAlignment="1">
      <alignment horizontal="left"/>
    </xf>
    <xf numFmtId="164" fontId="11" fillId="9" borderId="0" xfId="0" applyNumberFormat="1" applyFont="1" applyFill="1" applyBorder="1"/>
    <xf numFmtId="0" fontId="20" fillId="9" borderId="0" xfId="0" applyFont="1" applyFill="1" applyBorder="1" applyAlignment="1">
      <alignment horizontal="left"/>
    </xf>
    <xf numFmtId="0" fontId="20" fillId="9" borderId="0" xfId="0" applyFont="1" applyFill="1" applyBorder="1"/>
    <xf numFmtId="9" fontId="11" fillId="9" borderId="0" xfId="0" applyNumberFormat="1" applyFont="1" applyFill="1" applyBorder="1"/>
    <xf numFmtId="0" fontId="11" fillId="9" borderId="19" xfId="0" applyFont="1" applyFill="1" applyBorder="1"/>
    <xf numFmtId="5" fontId="11" fillId="9" borderId="21" xfId="0" applyNumberFormat="1" applyFont="1" applyFill="1" applyBorder="1"/>
    <xf numFmtId="0" fontId="11" fillId="5" borderId="0" xfId="0" applyFont="1" applyFill="1" applyBorder="1" applyAlignment="1">
      <alignment horizontal="left"/>
    </xf>
    <xf numFmtId="164" fontId="11" fillId="5" borderId="0" xfId="0" applyNumberFormat="1" applyFont="1" applyFill="1" applyBorder="1"/>
    <xf numFmtId="0" fontId="20" fillId="5" borderId="0" xfId="0" applyFont="1" applyFill="1" applyBorder="1" applyAlignment="1">
      <alignment horizontal="left"/>
    </xf>
    <xf numFmtId="0" fontId="20" fillId="5" borderId="0" xfId="0" applyFont="1" applyFill="1" applyBorder="1"/>
    <xf numFmtId="9" fontId="11" fillId="5" borderId="0" xfId="0" applyNumberFormat="1" applyFont="1" applyFill="1" applyBorder="1"/>
    <xf numFmtId="0" fontId="11" fillId="5" borderId="19" xfId="0" applyFont="1" applyFill="1" applyBorder="1"/>
    <xf numFmtId="5" fontId="11" fillId="5" borderId="21" xfId="0" applyNumberFormat="1" applyFont="1" applyFill="1" applyBorder="1"/>
    <xf numFmtId="0" fontId="11" fillId="2" borderId="28" xfId="0" applyFont="1" applyFill="1" applyBorder="1"/>
    <xf numFmtId="0" fontId="12" fillId="2" borderId="13" xfId="0" applyFont="1" applyFill="1" applyBorder="1"/>
    <xf numFmtId="0" fontId="11" fillId="2" borderId="13" xfId="0" applyFont="1" applyFill="1" applyBorder="1"/>
    <xf numFmtId="5" fontId="11" fillId="2" borderId="13" xfId="0" applyNumberFormat="1" applyFont="1" applyFill="1" applyBorder="1"/>
    <xf numFmtId="5" fontId="11" fillId="2" borderId="26" xfId="0" applyNumberFormat="1" applyFont="1" applyFill="1" applyBorder="1"/>
    <xf numFmtId="0" fontId="11" fillId="2" borderId="12" xfId="0" applyFont="1" applyFill="1" applyBorder="1"/>
    <xf numFmtId="5" fontId="11" fillId="2" borderId="27" xfId="0" applyNumberFormat="1" applyFont="1" applyFill="1" applyBorder="1"/>
    <xf numFmtId="0" fontId="11" fillId="2" borderId="4" xfId="0" applyFont="1" applyFill="1" applyBorder="1"/>
    <xf numFmtId="37" fontId="11" fillId="2" borderId="2" xfId="0" applyNumberFormat="1" applyFont="1" applyFill="1" applyBorder="1"/>
    <xf numFmtId="0" fontId="11" fillId="2" borderId="5" xfId="0" applyFont="1" applyFill="1" applyBorder="1"/>
    <xf numFmtId="9" fontId="11" fillId="2" borderId="0" xfId="1" applyFont="1" applyFill="1" applyBorder="1" applyAlignment="1">
      <alignment horizontal="center"/>
    </xf>
    <xf numFmtId="9" fontId="11" fillId="2" borderId="0" xfId="1" applyFont="1" applyFill="1" applyBorder="1"/>
    <xf numFmtId="9" fontId="11" fillId="2" borderId="27" xfId="1" applyFont="1" applyFill="1" applyBorder="1"/>
    <xf numFmtId="0" fontId="12" fillId="2" borderId="0" xfId="0" applyFont="1" applyFill="1" applyBorder="1" applyAlignment="1">
      <alignment horizontal="center"/>
    </xf>
    <xf numFmtId="0" fontId="11" fillId="2" borderId="27" xfId="0" applyFont="1" applyFill="1" applyBorder="1"/>
    <xf numFmtId="9" fontId="11" fillId="2" borderId="1" xfId="1" applyFont="1" applyFill="1" applyBorder="1"/>
    <xf numFmtId="5" fontId="11" fillId="2" borderId="7" xfId="0" applyNumberFormat="1" applyFont="1" applyFill="1" applyBorder="1"/>
    <xf numFmtId="0" fontId="11" fillId="2" borderId="6" xfId="0" applyFont="1" applyFill="1" applyBorder="1"/>
    <xf numFmtId="0" fontId="11" fillId="10" borderId="28" xfId="0" applyFont="1" applyFill="1" applyBorder="1"/>
    <xf numFmtId="0" fontId="12" fillId="10" borderId="13" xfId="0" applyFont="1" applyFill="1" applyBorder="1"/>
    <xf numFmtId="0" fontId="11" fillId="10" borderId="13" xfId="0" applyFont="1" applyFill="1" applyBorder="1"/>
    <xf numFmtId="5" fontId="11" fillId="10" borderId="13" xfId="0" applyNumberFormat="1" applyFont="1" applyFill="1" applyBorder="1"/>
    <xf numFmtId="5" fontId="11" fillId="10" borderId="26" xfId="0" applyNumberFormat="1" applyFont="1" applyFill="1" applyBorder="1"/>
    <xf numFmtId="0" fontId="11" fillId="10" borderId="12" xfId="0" applyFont="1" applyFill="1" applyBorder="1"/>
    <xf numFmtId="0" fontId="11" fillId="10" borderId="0" xfId="0" applyFont="1" applyFill="1" applyBorder="1"/>
    <xf numFmtId="5" fontId="11" fillId="10" borderId="0" xfId="0" applyNumberFormat="1" applyFont="1" applyFill="1" applyBorder="1"/>
    <xf numFmtId="5" fontId="11" fillId="10" borderId="27" xfId="0" applyNumberFormat="1" applyFont="1" applyFill="1" applyBorder="1"/>
    <xf numFmtId="0" fontId="11" fillId="10" borderId="4" xfId="0" applyFont="1" applyFill="1" applyBorder="1"/>
    <xf numFmtId="37" fontId="11" fillId="10" borderId="2" xfId="0" applyNumberFormat="1" applyFont="1" applyFill="1" applyBorder="1"/>
    <xf numFmtId="0" fontId="11" fillId="10" borderId="5" xfId="0" applyFont="1" applyFill="1" applyBorder="1"/>
    <xf numFmtId="9" fontId="11" fillId="10" borderId="0" xfId="1" applyFont="1" applyFill="1" applyBorder="1" applyAlignment="1">
      <alignment horizontal="center"/>
    </xf>
    <xf numFmtId="164" fontId="11" fillId="10" borderId="0" xfId="1" applyNumberFormat="1" applyFont="1" applyFill="1" applyBorder="1"/>
    <xf numFmtId="164" fontId="11" fillId="10" borderId="27" xfId="1" applyNumberFormat="1" applyFont="1" applyFill="1" applyBorder="1"/>
    <xf numFmtId="9" fontId="11" fillId="10" borderId="0" xfId="0" applyNumberFormat="1" applyFont="1" applyFill="1" applyBorder="1"/>
    <xf numFmtId="9" fontId="11" fillId="10" borderId="0" xfId="1" applyFont="1" applyFill="1" applyBorder="1"/>
    <xf numFmtId="9" fontId="11" fillId="10" borderId="27" xfId="1" applyFont="1" applyFill="1" applyBorder="1"/>
    <xf numFmtId="0" fontId="12" fillId="10" borderId="0" xfId="0" applyFont="1" applyFill="1" applyBorder="1" applyAlignment="1">
      <alignment horizontal="center"/>
    </xf>
    <xf numFmtId="0" fontId="11" fillId="10" borderId="27" xfId="0" applyFont="1" applyFill="1" applyBorder="1"/>
    <xf numFmtId="0" fontId="11" fillId="10" borderId="1" xfId="0" applyFont="1" applyFill="1" applyBorder="1"/>
    <xf numFmtId="9" fontId="11" fillId="10" borderId="1" xfId="1" applyFont="1" applyFill="1" applyBorder="1"/>
    <xf numFmtId="0" fontId="11" fillId="0" borderId="0" xfId="0" applyFont="1" applyAlignment="1">
      <alignment wrapText="1"/>
    </xf>
    <xf numFmtId="0" fontId="11" fillId="10" borderId="6" xfId="0" applyFont="1" applyFill="1" applyBorder="1"/>
    <xf numFmtId="0" fontId="11" fillId="10" borderId="7" xfId="0" applyFont="1" applyFill="1" applyBorder="1"/>
    <xf numFmtId="0" fontId="11" fillId="11" borderId="28" xfId="0" applyFont="1" applyFill="1" applyBorder="1"/>
    <xf numFmtId="0" fontId="12" fillId="11" borderId="13" xfId="0" applyFont="1" applyFill="1" applyBorder="1"/>
    <xf numFmtId="0" fontId="11" fillId="11" borderId="13" xfId="0" applyFont="1" applyFill="1" applyBorder="1"/>
    <xf numFmtId="0" fontId="11" fillId="11" borderId="26" xfId="0" applyFont="1" applyFill="1" applyBorder="1"/>
    <xf numFmtId="0" fontId="11" fillId="11" borderId="12" xfId="0" applyFont="1" applyFill="1" applyBorder="1"/>
    <xf numFmtId="0" fontId="11" fillId="11" borderId="0" xfId="0" applyFont="1" applyFill="1" applyBorder="1"/>
    <xf numFmtId="0" fontId="11" fillId="11" borderId="27" xfId="0" applyFont="1" applyFill="1" applyBorder="1"/>
    <xf numFmtId="0" fontId="11" fillId="11" borderId="4" xfId="0" applyFont="1" applyFill="1" applyBorder="1"/>
    <xf numFmtId="37" fontId="11" fillId="11" borderId="2" xfId="0" applyNumberFormat="1" applyFont="1" applyFill="1" applyBorder="1"/>
    <xf numFmtId="0" fontId="11" fillId="11" borderId="5" xfId="0" applyFont="1" applyFill="1" applyBorder="1"/>
    <xf numFmtId="9" fontId="11" fillId="11" borderId="0" xfId="1" applyFont="1" applyFill="1" applyBorder="1" applyAlignment="1">
      <alignment horizontal="center"/>
    </xf>
    <xf numFmtId="9" fontId="11" fillId="11" borderId="0" xfId="1" applyFont="1" applyFill="1" applyBorder="1"/>
    <xf numFmtId="9" fontId="11" fillId="11" borderId="27" xfId="1" applyFont="1" applyFill="1" applyBorder="1"/>
    <xf numFmtId="9" fontId="11" fillId="11" borderId="0" xfId="0" applyNumberFormat="1" applyFont="1" applyFill="1" applyBorder="1"/>
    <xf numFmtId="0" fontId="12" fillId="11" borderId="0" xfId="0" applyFont="1" applyFill="1" applyBorder="1" applyAlignment="1">
      <alignment horizontal="center"/>
    </xf>
    <xf numFmtId="0" fontId="11" fillId="11" borderId="1" xfId="0" applyFont="1" applyFill="1" applyBorder="1"/>
    <xf numFmtId="9" fontId="11" fillId="11" borderId="1" xfId="1" applyFont="1" applyFill="1" applyBorder="1"/>
    <xf numFmtId="0" fontId="11" fillId="11" borderId="6" xfId="0" applyFont="1" applyFill="1" applyBorder="1"/>
    <xf numFmtId="0" fontId="11" fillId="11" borderId="7" xfId="0" applyFont="1" applyFill="1" applyBorder="1"/>
    <xf numFmtId="0" fontId="11" fillId="12" borderId="28" xfId="0" applyFont="1" applyFill="1" applyBorder="1"/>
    <xf numFmtId="0" fontId="12" fillId="12" borderId="13" xfId="0" applyFont="1" applyFill="1" applyBorder="1"/>
    <xf numFmtId="0" fontId="11" fillId="12" borderId="13" xfId="0" applyFont="1" applyFill="1" applyBorder="1"/>
    <xf numFmtId="0" fontId="11" fillId="12" borderId="26" xfId="0" applyFont="1" applyFill="1" applyBorder="1"/>
    <xf numFmtId="0" fontId="11" fillId="12" borderId="12" xfId="0" applyFont="1" applyFill="1" applyBorder="1"/>
    <xf numFmtId="0" fontId="11" fillId="12" borderId="0" xfId="0" applyFont="1" applyFill="1" applyBorder="1"/>
    <xf numFmtId="0" fontId="11" fillId="12" borderId="27" xfId="0" applyFont="1" applyFill="1" applyBorder="1"/>
    <xf numFmtId="0" fontId="11" fillId="12" borderId="4" xfId="0" applyFont="1" applyFill="1" applyBorder="1"/>
    <xf numFmtId="37" fontId="11" fillId="12" borderId="2" xfId="0" applyNumberFormat="1" applyFont="1" applyFill="1" applyBorder="1"/>
    <xf numFmtId="0" fontId="11" fillId="12" borderId="5" xfId="0" applyFont="1" applyFill="1" applyBorder="1"/>
    <xf numFmtId="9" fontId="11" fillId="12" borderId="0" xfId="1" applyFont="1" applyFill="1" applyBorder="1" applyAlignment="1">
      <alignment horizontal="center"/>
    </xf>
    <xf numFmtId="9" fontId="11" fillId="12" borderId="0" xfId="1" applyFont="1" applyFill="1" applyBorder="1"/>
    <xf numFmtId="9" fontId="11" fillId="12" borderId="27" xfId="1" applyFont="1" applyFill="1" applyBorder="1"/>
    <xf numFmtId="9" fontId="11" fillId="12" borderId="0" xfId="0" applyNumberFormat="1" applyFont="1" applyFill="1" applyBorder="1"/>
    <xf numFmtId="0" fontId="12" fillId="12" borderId="0" xfId="0" applyFont="1" applyFill="1" applyBorder="1" applyAlignment="1">
      <alignment horizontal="center"/>
    </xf>
    <xf numFmtId="0" fontId="11" fillId="12" borderId="1" xfId="0" applyFont="1" applyFill="1" applyBorder="1"/>
    <xf numFmtId="9" fontId="11" fillId="12" borderId="1" xfId="1" applyFont="1" applyFill="1" applyBorder="1"/>
    <xf numFmtId="0" fontId="11" fillId="12" borderId="6" xfId="0" applyFont="1" applyFill="1" applyBorder="1"/>
    <xf numFmtId="0" fontId="11" fillId="12" borderId="7" xfId="0" applyFont="1" applyFill="1" applyBorder="1"/>
    <xf numFmtId="0" fontId="11" fillId="13" borderId="28" xfId="0" applyFont="1" applyFill="1" applyBorder="1"/>
    <xf numFmtId="0" fontId="12" fillId="13" borderId="13" xfId="0" applyFont="1" applyFill="1" applyBorder="1"/>
    <xf numFmtId="0" fontId="11" fillId="13" borderId="13" xfId="0" applyFont="1" applyFill="1" applyBorder="1"/>
    <xf numFmtId="0" fontId="11" fillId="13" borderId="26" xfId="0" applyFont="1" applyFill="1" applyBorder="1"/>
    <xf numFmtId="0" fontId="11" fillId="13" borderId="12" xfId="0" applyFont="1" applyFill="1" applyBorder="1"/>
    <xf numFmtId="0" fontId="11" fillId="13" borderId="0" xfId="0" applyFont="1" applyFill="1" applyBorder="1"/>
    <xf numFmtId="0" fontId="11" fillId="13" borderId="27" xfId="0" applyFont="1" applyFill="1" applyBorder="1"/>
    <xf numFmtId="0" fontId="11" fillId="13" borderId="4" xfId="0" applyFont="1" applyFill="1" applyBorder="1"/>
    <xf numFmtId="37" fontId="11" fillId="13" borderId="2" xfId="0" applyNumberFormat="1" applyFont="1" applyFill="1" applyBorder="1"/>
    <xf numFmtId="0" fontId="11" fillId="13" borderId="5" xfId="0" applyFont="1" applyFill="1" applyBorder="1"/>
    <xf numFmtId="9" fontId="11" fillId="13" borderId="0" xfId="1" applyFont="1" applyFill="1" applyBorder="1" applyAlignment="1">
      <alignment horizontal="center"/>
    </xf>
    <xf numFmtId="9" fontId="11" fillId="13" borderId="0" xfId="1" applyFont="1" applyFill="1" applyBorder="1"/>
    <xf numFmtId="9" fontId="11" fillId="13" borderId="27" xfId="1" applyFont="1" applyFill="1" applyBorder="1"/>
    <xf numFmtId="9" fontId="11" fillId="13" borderId="0" xfId="0" applyNumberFormat="1" applyFont="1" applyFill="1" applyBorder="1"/>
    <xf numFmtId="0" fontId="12" fillId="13" borderId="0" xfId="0" applyFont="1" applyFill="1" applyBorder="1" applyAlignment="1">
      <alignment horizontal="center"/>
    </xf>
    <xf numFmtId="0" fontId="11" fillId="13" borderId="1" xfId="0" applyFont="1" applyFill="1" applyBorder="1"/>
    <xf numFmtId="9" fontId="11" fillId="13" borderId="1" xfId="1" applyFont="1" applyFill="1" applyBorder="1"/>
    <xf numFmtId="0" fontId="11" fillId="13" borderId="6" xfId="0" applyFont="1" applyFill="1" applyBorder="1"/>
    <xf numFmtId="0" fontId="11" fillId="13" borderId="7" xfId="0" applyFont="1" applyFill="1" applyBorder="1"/>
    <xf numFmtId="0" fontId="11" fillId="5" borderId="28" xfId="0" applyFont="1" applyFill="1" applyBorder="1"/>
    <xf numFmtId="0" fontId="12" fillId="5" borderId="13" xfId="0" applyFont="1" applyFill="1" applyBorder="1"/>
    <xf numFmtId="0" fontId="11" fillId="5" borderId="13" xfId="0" applyFont="1" applyFill="1" applyBorder="1"/>
    <xf numFmtId="0" fontId="11" fillId="5" borderId="26" xfId="0" applyFont="1" applyFill="1" applyBorder="1"/>
    <xf numFmtId="0" fontId="11" fillId="5" borderId="12" xfId="0" applyFont="1" applyFill="1" applyBorder="1"/>
    <xf numFmtId="0" fontId="11" fillId="5" borderId="27" xfId="0" applyFont="1" applyFill="1" applyBorder="1"/>
    <xf numFmtId="0" fontId="11" fillId="5" borderId="4" xfId="0" applyFont="1" applyFill="1" applyBorder="1"/>
    <xf numFmtId="37" fontId="11" fillId="5" borderId="2" xfId="0" applyNumberFormat="1" applyFont="1" applyFill="1" applyBorder="1"/>
    <xf numFmtId="0" fontId="11" fillId="5" borderId="5" xfId="0" applyFont="1" applyFill="1" applyBorder="1"/>
    <xf numFmtId="9" fontId="11" fillId="5" borderId="0" xfId="1" applyFont="1" applyFill="1" applyBorder="1" applyAlignment="1">
      <alignment horizontal="center"/>
    </xf>
    <xf numFmtId="9" fontId="11" fillId="5" borderId="0" xfId="1" applyFont="1" applyFill="1" applyBorder="1"/>
    <xf numFmtId="9" fontId="11" fillId="5" borderId="27" xfId="1" applyFont="1" applyFill="1" applyBorder="1"/>
    <xf numFmtId="0" fontId="12" fillId="5" borderId="0" xfId="0" applyFont="1" applyFill="1" applyBorder="1" applyAlignment="1">
      <alignment horizontal="center"/>
    </xf>
    <xf numFmtId="9" fontId="11" fillId="5" borderId="1" xfId="1" applyFont="1" applyFill="1" applyBorder="1"/>
    <xf numFmtId="0" fontId="11" fillId="5" borderId="6" xfId="0" applyFont="1" applyFill="1" applyBorder="1"/>
    <xf numFmtId="0" fontId="11" fillId="5" borderId="7" xfId="0" applyFont="1" applyFill="1" applyBorder="1"/>
    <xf numFmtId="0" fontId="12" fillId="15" borderId="14" xfId="0" applyFont="1" applyFill="1" applyBorder="1"/>
    <xf numFmtId="0" fontId="11" fillId="15" borderId="15" xfId="0" applyFont="1" applyFill="1" applyBorder="1"/>
    <xf numFmtId="0" fontId="11" fillId="15" borderId="16" xfId="0" applyFont="1" applyFill="1" applyBorder="1"/>
    <xf numFmtId="0" fontId="11" fillId="15" borderId="17" xfId="0" applyFont="1" applyFill="1" applyBorder="1"/>
    <xf numFmtId="0" fontId="11" fillId="15" borderId="0" xfId="0" applyFont="1" applyFill="1" applyBorder="1"/>
    <xf numFmtId="0" fontId="11" fillId="15" borderId="18" xfId="0" applyFont="1" applyFill="1" applyBorder="1"/>
    <xf numFmtId="0" fontId="12" fillId="15" borderId="22" xfId="0" applyFont="1" applyFill="1" applyBorder="1"/>
    <xf numFmtId="0" fontId="12" fillId="15" borderId="1" xfId="0" applyFont="1" applyFill="1" applyBorder="1"/>
    <xf numFmtId="0" fontId="12" fillId="15" borderId="1" xfId="0" applyFont="1" applyFill="1" applyBorder="1" applyAlignment="1">
      <alignment horizontal="center"/>
    </xf>
    <xf numFmtId="0" fontId="12" fillId="15" borderId="29" xfId="0" applyFont="1" applyFill="1" applyBorder="1" applyAlignment="1">
      <alignment horizontal="center"/>
    </xf>
    <xf numFmtId="9" fontId="11" fillId="15" borderId="0" xfId="1" applyFont="1" applyFill="1" applyBorder="1"/>
    <xf numFmtId="9" fontId="11" fillId="15" borderId="18" xfId="1" applyFont="1" applyFill="1" applyBorder="1"/>
    <xf numFmtId="169" fontId="11" fillId="15" borderId="0" xfId="2" applyNumberFormat="1" applyFont="1" applyFill="1" applyBorder="1"/>
    <xf numFmtId="169" fontId="11" fillId="15" borderId="18" xfId="2" applyNumberFormat="1" applyFont="1" applyFill="1" applyBorder="1"/>
    <xf numFmtId="0" fontId="11" fillId="15" borderId="1" xfId="0" applyFont="1" applyFill="1" applyBorder="1"/>
    <xf numFmtId="0" fontId="11" fillId="15" borderId="29" xfId="0" applyFont="1" applyFill="1" applyBorder="1" applyAlignment="1">
      <alignment horizontal="center"/>
    </xf>
    <xf numFmtId="0" fontId="12" fillId="15" borderId="17" xfId="0" applyFont="1" applyFill="1" applyBorder="1"/>
    <xf numFmtId="0" fontId="11" fillId="15" borderId="22" xfId="0" applyFont="1" applyFill="1" applyBorder="1"/>
    <xf numFmtId="37" fontId="11" fillId="15" borderId="0" xfId="0" applyNumberFormat="1" applyFont="1" applyFill="1" applyBorder="1"/>
    <xf numFmtId="0" fontId="12" fillId="15" borderId="8" xfId="0" applyFont="1" applyFill="1" applyBorder="1"/>
    <xf numFmtId="0" fontId="12" fillId="15" borderId="9" xfId="0" applyFont="1" applyFill="1" applyBorder="1"/>
    <xf numFmtId="0" fontId="12" fillId="15" borderId="9" xfId="0" applyFont="1" applyFill="1" applyBorder="1" applyAlignment="1">
      <alignment horizontal="center"/>
    </xf>
    <xf numFmtId="0" fontId="12" fillId="15" borderId="19" xfId="0" applyFont="1" applyFill="1" applyBorder="1"/>
    <xf numFmtId="0" fontId="12" fillId="15" borderId="20" xfId="0" applyFont="1" applyFill="1" applyBorder="1"/>
    <xf numFmtId="0" fontId="12" fillId="15" borderId="20" xfId="0" applyFont="1" applyFill="1" applyBorder="1" applyAlignment="1">
      <alignment horizontal="center"/>
    </xf>
    <xf numFmtId="7" fontId="12" fillId="15" borderId="20" xfId="0" applyNumberFormat="1" applyFont="1" applyFill="1" applyBorder="1"/>
    <xf numFmtId="0" fontId="11" fillId="15" borderId="20" xfId="0" applyFont="1" applyFill="1" applyBorder="1"/>
    <xf numFmtId="0" fontId="11" fillId="15" borderId="21" xfId="0" applyFont="1" applyFill="1" applyBorder="1"/>
    <xf numFmtId="0" fontId="11" fillId="15" borderId="14" xfId="0" applyFont="1" applyFill="1" applyBorder="1"/>
    <xf numFmtId="37" fontId="11" fillId="15" borderId="0" xfId="0" applyNumberFormat="1" applyFont="1" applyFill="1" applyBorder="1" applyAlignment="1"/>
    <xf numFmtId="0" fontId="11" fillId="15" borderId="0" xfId="0" applyFont="1" applyFill="1" applyBorder="1" applyAlignment="1"/>
    <xf numFmtId="0" fontId="11" fillId="15" borderId="1" xfId="0" applyFont="1" applyFill="1" applyBorder="1" applyAlignment="1"/>
    <xf numFmtId="0" fontId="12" fillId="15" borderId="0" xfId="0" applyFont="1" applyFill="1" applyBorder="1"/>
    <xf numFmtId="0" fontId="12" fillId="15" borderId="0" xfId="0" applyFont="1" applyFill="1" applyBorder="1" applyAlignment="1">
      <alignment horizontal="center"/>
    </xf>
    <xf numFmtId="0" fontId="11" fillId="15" borderId="19" xfId="0" applyFont="1" applyFill="1" applyBorder="1"/>
    <xf numFmtId="0" fontId="12" fillId="14" borderId="14" xfId="0" applyFont="1" applyFill="1" applyBorder="1"/>
    <xf numFmtId="0" fontId="11" fillId="14" borderId="15" xfId="0" applyFont="1" applyFill="1" applyBorder="1"/>
    <xf numFmtId="0" fontId="11" fillId="14" borderId="16" xfId="0" applyFont="1" applyFill="1" applyBorder="1"/>
    <xf numFmtId="0" fontId="11" fillId="14" borderId="17" xfId="0" applyFont="1" applyFill="1" applyBorder="1"/>
    <xf numFmtId="0" fontId="11" fillId="14" borderId="18" xfId="0" applyFont="1" applyFill="1" applyBorder="1"/>
    <xf numFmtId="0" fontId="12" fillId="14" borderId="22" xfId="0" applyFont="1" applyFill="1" applyBorder="1"/>
    <xf numFmtId="0" fontId="12" fillId="14" borderId="1" xfId="0" applyFont="1" applyFill="1" applyBorder="1"/>
    <xf numFmtId="0" fontId="12" fillId="14" borderId="1" xfId="0" applyFont="1" applyFill="1" applyBorder="1" applyAlignment="1">
      <alignment horizontal="center"/>
    </xf>
    <xf numFmtId="9" fontId="11" fillId="14" borderId="0" xfId="1" applyFont="1" applyFill="1" applyBorder="1"/>
    <xf numFmtId="169" fontId="11" fillId="14" borderId="0" xfId="2" applyNumberFormat="1" applyFont="1" applyFill="1" applyBorder="1"/>
    <xf numFmtId="0" fontId="12" fillId="14" borderId="17" xfId="0" applyFont="1" applyFill="1" applyBorder="1"/>
    <xf numFmtId="0" fontId="11" fillId="14" borderId="22" xfId="0" applyFont="1" applyFill="1" applyBorder="1"/>
    <xf numFmtId="0" fontId="12" fillId="14" borderId="8" xfId="0" applyFont="1" applyFill="1" applyBorder="1"/>
    <xf numFmtId="0" fontId="12" fillId="14" borderId="9" xfId="0" applyFont="1" applyFill="1" applyBorder="1"/>
    <xf numFmtId="0" fontId="12" fillId="14" borderId="9" xfId="0" applyFont="1" applyFill="1" applyBorder="1" applyAlignment="1">
      <alignment horizontal="center"/>
    </xf>
    <xf numFmtId="0" fontId="12" fillId="14" borderId="19" xfId="0" applyFont="1" applyFill="1" applyBorder="1"/>
    <xf numFmtId="0" fontId="12" fillId="14" borderId="20" xfId="0" applyFont="1" applyFill="1" applyBorder="1"/>
    <xf numFmtId="0" fontId="12" fillId="14" borderId="20" xfId="0" applyFont="1" applyFill="1" applyBorder="1" applyAlignment="1">
      <alignment horizontal="center"/>
    </xf>
    <xf numFmtId="7" fontId="12" fillId="14" borderId="20" xfId="0" applyNumberFormat="1" applyFont="1" applyFill="1" applyBorder="1"/>
    <xf numFmtId="0" fontId="11" fillId="14" borderId="20" xfId="0" applyFont="1" applyFill="1" applyBorder="1"/>
    <xf numFmtId="0" fontId="11" fillId="14" borderId="21" xfId="0" applyFont="1" applyFill="1" applyBorder="1"/>
    <xf numFmtId="0" fontId="11" fillId="14" borderId="14" xfId="0" applyFont="1" applyFill="1" applyBorder="1"/>
    <xf numFmtId="37" fontId="11" fillId="14" borderId="0" xfId="0" applyNumberFormat="1" applyFont="1" applyFill="1" applyBorder="1" applyAlignment="1"/>
    <xf numFmtId="0" fontId="11" fillId="14" borderId="0" xfId="0" applyFont="1" applyFill="1" applyBorder="1" applyAlignment="1"/>
    <xf numFmtId="0" fontId="12" fillId="14" borderId="0" xfId="0" applyFont="1" applyFill="1" applyBorder="1"/>
    <xf numFmtId="0" fontId="12" fillId="14" borderId="0" xfId="0" applyFont="1" applyFill="1" applyBorder="1" applyAlignment="1">
      <alignment horizontal="center"/>
    </xf>
    <xf numFmtId="0" fontId="11" fillId="14" borderId="19" xfId="0" applyFont="1" applyFill="1" applyBorder="1"/>
    <xf numFmtId="0" fontId="11" fillId="15" borderId="0" xfId="0" applyFont="1" applyFill="1" applyBorder="1" applyAlignment="1">
      <alignment horizontal="left"/>
    </xf>
    <xf numFmtId="37" fontId="11" fillId="15" borderId="0" xfId="0" applyNumberFormat="1" applyFont="1" applyFill="1" applyBorder="1" applyAlignment="1">
      <alignment horizontal="right"/>
    </xf>
    <xf numFmtId="164" fontId="11" fillId="15" borderId="0" xfId="0" applyNumberFormat="1" applyFont="1" applyFill="1" applyBorder="1" applyAlignment="1">
      <alignment horizontal="right"/>
    </xf>
    <xf numFmtId="0" fontId="20" fillId="15" borderId="0" xfId="0" applyFont="1" applyFill="1" applyBorder="1" applyAlignment="1">
      <alignment horizontal="left"/>
    </xf>
    <xf numFmtId="0" fontId="20" fillId="15" borderId="0" xfId="0" applyFont="1" applyFill="1" applyBorder="1"/>
    <xf numFmtId="9" fontId="11" fillId="15" borderId="0" xfId="0" applyNumberFormat="1" applyFont="1" applyFill="1" applyBorder="1"/>
    <xf numFmtId="0" fontId="12" fillId="17" borderId="14" xfId="0" applyFont="1" applyFill="1" applyBorder="1"/>
    <xf numFmtId="0" fontId="11" fillId="17" borderId="15" xfId="0" applyFont="1" applyFill="1" applyBorder="1"/>
    <xf numFmtId="0" fontId="11" fillId="17" borderId="16" xfId="0" applyFont="1" applyFill="1" applyBorder="1"/>
    <xf numFmtId="0" fontId="12" fillId="17" borderId="17" xfId="0" applyFont="1" applyFill="1" applyBorder="1"/>
    <xf numFmtId="0" fontId="11" fillId="17" borderId="0" xfId="0" applyFont="1" applyFill="1" applyBorder="1"/>
    <xf numFmtId="0" fontId="11" fillId="17" borderId="18" xfId="0" applyFont="1" applyFill="1" applyBorder="1"/>
    <xf numFmtId="0" fontId="11" fillId="17" borderId="17" xfId="0" applyFont="1" applyFill="1" applyBorder="1"/>
    <xf numFmtId="0" fontId="11" fillId="17" borderId="0" xfId="0" applyFont="1" applyFill="1" applyBorder="1" applyAlignment="1">
      <alignment horizontal="left"/>
    </xf>
    <xf numFmtId="0" fontId="11" fillId="17" borderId="0" xfId="0" applyFont="1" applyFill="1" applyBorder="1" applyAlignment="1">
      <alignment horizontal="center"/>
    </xf>
    <xf numFmtId="37" fontId="11" fillId="17" borderId="0" xfId="0" applyNumberFormat="1" applyFont="1" applyFill="1" applyBorder="1" applyAlignment="1">
      <alignment horizontal="right"/>
    </xf>
    <xf numFmtId="164" fontId="11" fillId="17" borderId="0" xfId="0" applyNumberFormat="1" applyFont="1" applyFill="1" applyBorder="1" applyAlignment="1">
      <alignment horizontal="right"/>
    </xf>
    <xf numFmtId="0" fontId="20" fillId="17" borderId="0" xfId="0" applyFont="1" applyFill="1" applyBorder="1" applyAlignment="1">
      <alignment horizontal="left"/>
    </xf>
    <xf numFmtId="0" fontId="11" fillId="17" borderId="1" xfId="0" applyFont="1" applyFill="1" applyBorder="1"/>
    <xf numFmtId="0" fontId="20" fillId="17" borderId="0" xfId="0" applyFont="1" applyFill="1" applyBorder="1"/>
    <xf numFmtId="9" fontId="11" fillId="17" borderId="0" xfId="0" applyNumberFormat="1" applyFont="1" applyFill="1" applyBorder="1"/>
    <xf numFmtId="37" fontId="11" fillId="17" borderId="0" xfId="0" applyNumberFormat="1" applyFont="1" applyFill="1" applyBorder="1"/>
    <xf numFmtId="0" fontId="11" fillId="17" borderId="19" xfId="0" applyFont="1" applyFill="1" applyBorder="1"/>
    <xf numFmtId="0" fontId="11" fillId="17" borderId="20" xfId="0" applyFont="1" applyFill="1" applyBorder="1"/>
    <xf numFmtId="0" fontId="11" fillId="17" borderId="21" xfId="0" applyFont="1" applyFill="1" applyBorder="1"/>
    <xf numFmtId="0" fontId="12" fillId="18" borderId="14" xfId="0" applyFont="1" applyFill="1" applyBorder="1"/>
    <xf numFmtId="0" fontId="11" fillId="18" borderId="15" xfId="0" applyFont="1" applyFill="1" applyBorder="1"/>
    <xf numFmtId="0" fontId="11" fillId="18" borderId="16" xfId="0" applyFont="1" applyFill="1" applyBorder="1"/>
    <xf numFmtId="0" fontId="11" fillId="18" borderId="17" xfId="0" applyFont="1" applyFill="1" applyBorder="1"/>
    <xf numFmtId="0" fontId="11" fillId="18" borderId="0" xfId="0" applyFont="1" applyFill="1" applyBorder="1"/>
    <xf numFmtId="0" fontId="11" fillId="18" borderId="18" xfId="0" applyFont="1" applyFill="1" applyBorder="1"/>
    <xf numFmtId="0" fontId="11" fillId="18" borderId="4" xfId="0" applyFont="1" applyFill="1" applyBorder="1"/>
    <xf numFmtId="37" fontId="11" fillId="18" borderId="2" xfId="0" applyNumberFormat="1" applyFont="1" applyFill="1" applyBorder="1"/>
    <xf numFmtId="0" fontId="11" fillId="18" borderId="5" xfId="0" applyFont="1" applyFill="1" applyBorder="1"/>
    <xf numFmtId="9" fontId="11" fillId="18" borderId="0" xfId="1" applyFont="1" applyFill="1" applyBorder="1" applyAlignment="1">
      <alignment horizontal="center"/>
    </xf>
    <xf numFmtId="9" fontId="11" fillId="18" borderId="0" xfId="1" applyFont="1" applyFill="1" applyBorder="1"/>
    <xf numFmtId="9" fontId="11" fillId="18" borderId="18" xfId="1" applyFont="1" applyFill="1" applyBorder="1"/>
    <xf numFmtId="9" fontId="11" fillId="18" borderId="0" xfId="0" applyNumberFormat="1" applyFont="1" applyFill="1" applyBorder="1"/>
    <xf numFmtId="0" fontId="12" fillId="18" borderId="0" xfId="0" applyFont="1" applyFill="1" applyBorder="1" applyAlignment="1">
      <alignment horizontal="center"/>
    </xf>
    <xf numFmtId="0" fontId="11" fillId="18" borderId="1" xfId="0" applyFont="1" applyFill="1" applyBorder="1"/>
    <xf numFmtId="9" fontId="11" fillId="18" borderId="1" xfId="1" applyFont="1" applyFill="1" applyBorder="1"/>
    <xf numFmtId="0" fontId="11" fillId="18" borderId="19" xfId="0" applyFont="1" applyFill="1" applyBorder="1"/>
    <xf numFmtId="0" fontId="11" fillId="18" borderId="20" xfId="0" applyFont="1" applyFill="1" applyBorder="1"/>
    <xf numFmtId="0" fontId="11" fillId="18" borderId="21" xfId="0" applyFont="1" applyFill="1" applyBorder="1"/>
    <xf numFmtId="0" fontId="12" fillId="14" borderId="15" xfId="0" applyFont="1" applyFill="1" applyBorder="1"/>
    <xf numFmtId="0" fontId="11" fillId="14" borderId="4" xfId="0" applyFont="1" applyFill="1" applyBorder="1"/>
    <xf numFmtId="37" fontId="11" fillId="14" borderId="2" xfId="0" applyNumberFormat="1" applyFont="1" applyFill="1" applyBorder="1"/>
    <xf numFmtId="0" fontId="11" fillId="14" borderId="5" xfId="0" applyFont="1" applyFill="1" applyBorder="1"/>
    <xf numFmtId="9" fontId="11" fillId="14" borderId="0" xfId="1" applyFont="1" applyFill="1" applyBorder="1" applyAlignment="1">
      <alignment horizontal="center"/>
    </xf>
    <xf numFmtId="9" fontId="11" fillId="14" borderId="18" xfId="1" applyFont="1" applyFill="1" applyBorder="1"/>
    <xf numFmtId="9" fontId="11" fillId="14" borderId="0" xfId="0" applyNumberFormat="1" applyFont="1" applyFill="1" applyBorder="1"/>
    <xf numFmtId="9" fontId="11" fillId="14" borderId="1" xfId="1" applyFont="1" applyFill="1" applyBorder="1"/>
    <xf numFmtId="9" fontId="21" fillId="0" borderId="0" xfId="0" applyNumberFormat="1" applyFont="1" applyFill="1" applyAlignment="1" applyProtection="1">
      <alignment horizontal="right"/>
    </xf>
    <xf numFmtId="9" fontId="25" fillId="2" borderId="23" xfId="0" applyNumberFormat="1" applyFont="1" applyFill="1" applyBorder="1" applyAlignment="1" applyProtection="1">
      <alignment horizontal="center"/>
      <protection locked="0"/>
    </xf>
    <xf numFmtId="9" fontId="25" fillId="10" borderId="23" xfId="0" applyNumberFormat="1" applyFont="1" applyFill="1" applyBorder="1" applyAlignment="1" applyProtection="1">
      <alignment horizontal="center"/>
      <protection locked="0"/>
    </xf>
    <xf numFmtId="9" fontId="25" fillId="11" borderId="23" xfId="0" applyNumberFormat="1" applyFont="1" applyFill="1" applyBorder="1" applyAlignment="1" applyProtection="1">
      <alignment horizontal="center"/>
      <protection locked="0"/>
    </xf>
    <xf numFmtId="9" fontId="25" fillId="12" borderId="23" xfId="0" applyNumberFormat="1" applyFont="1" applyFill="1" applyBorder="1" applyAlignment="1" applyProtection="1">
      <alignment horizontal="center"/>
      <protection locked="0"/>
    </xf>
    <xf numFmtId="9" fontId="25" fillId="13" borderId="23" xfId="0" applyNumberFormat="1" applyFont="1" applyFill="1" applyBorder="1" applyAlignment="1" applyProtection="1">
      <alignment horizontal="center"/>
      <protection locked="0"/>
    </xf>
    <xf numFmtId="9" fontId="25" fillId="5" borderId="23" xfId="0" applyNumberFormat="1" applyFont="1" applyFill="1" applyBorder="1" applyAlignment="1" applyProtection="1">
      <alignment horizontal="center"/>
      <protection locked="0"/>
    </xf>
    <xf numFmtId="9" fontId="25" fillId="2" borderId="24" xfId="0" applyNumberFormat="1" applyFont="1" applyFill="1" applyBorder="1" applyAlignment="1" applyProtection="1">
      <alignment horizontal="center"/>
      <protection locked="0"/>
    </xf>
    <xf numFmtId="9" fontId="25" fillId="10" borderId="24" xfId="0" applyNumberFormat="1" applyFont="1" applyFill="1" applyBorder="1" applyAlignment="1" applyProtection="1">
      <alignment horizontal="center"/>
      <protection locked="0"/>
    </xf>
    <xf numFmtId="9" fontId="25" fillId="11" borderId="24" xfId="0" applyNumberFormat="1" applyFont="1" applyFill="1" applyBorder="1" applyAlignment="1" applyProtection="1">
      <alignment horizontal="center"/>
      <protection locked="0"/>
    </xf>
    <xf numFmtId="9" fontId="25" fillId="12" borderId="24" xfId="0" applyNumberFormat="1" applyFont="1" applyFill="1" applyBorder="1" applyAlignment="1" applyProtection="1">
      <alignment horizontal="center"/>
      <protection locked="0"/>
    </xf>
    <xf numFmtId="9" fontId="25" fillId="13" borderId="24" xfId="0" applyNumberFormat="1" applyFont="1" applyFill="1" applyBorder="1" applyAlignment="1" applyProtection="1">
      <alignment horizontal="center"/>
      <protection locked="0"/>
    </xf>
    <xf numFmtId="9" fontId="25" fillId="5" borderId="24" xfId="0" applyNumberFormat="1" applyFont="1" applyFill="1" applyBorder="1" applyAlignment="1" applyProtection="1">
      <alignment horizontal="center"/>
      <protection locked="0"/>
    </xf>
    <xf numFmtId="37" fontId="25" fillId="2" borderId="23" xfId="0" applyNumberFormat="1" applyFont="1" applyFill="1" applyBorder="1" applyAlignment="1" applyProtection="1">
      <alignment horizontal="center"/>
      <protection locked="0"/>
    </xf>
    <xf numFmtId="37" fontId="25" fillId="10" borderId="23" xfId="0" applyNumberFormat="1" applyFont="1" applyFill="1" applyBorder="1" applyAlignment="1" applyProtection="1">
      <alignment horizontal="center"/>
      <protection locked="0"/>
    </xf>
    <xf numFmtId="37" fontId="25" fillId="11" borderId="23" xfId="0" applyNumberFormat="1" applyFont="1" applyFill="1" applyBorder="1" applyAlignment="1" applyProtection="1">
      <alignment horizontal="center"/>
      <protection locked="0"/>
    </xf>
    <xf numFmtId="37" fontId="25" fillId="12" borderId="23" xfId="0" applyNumberFormat="1" applyFont="1" applyFill="1" applyBorder="1" applyAlignment="1" applyProtection="1">
      <alignment horizontal="center"/>
      <protection locked="0"/>
    </xf>
    <xf numFmtId="37" fontId="25" fillId="13" borderId="23" xfId="0" applyNumberFormat="1" applyFont="1" applyFill="1" applyBorder="1" applyAlignment="1" applyProtection="1">
      <alignment horizontal="center"/>
      <protection locked="0"/>
    </xf>
    <xf numFmtId="37" fontId="25" fillId="5" borderId="23" xfId="0" applyNumberFormat="1" applyFont="1" applyFill="1" applyBorder="1" applyAlignment="1" applyProtection="1">
      <alignment horizontal="center"/>
      <protection locked="0"/>
    </xf>
    <xf numFmtId="164" fontId="25" fillId="2" borderId="23" xfId="1" applyNumberFormat="1" applyFont="1" applyFill="1" applyBorder="1" applyAlignment="1" applyProtection="1">
      <alignment horizontal="center"/>
      <protection locked="0"/>
    </xf>
    <xf numFmtId="164" fontId="25" fillId="10" borderId="23" xfId="1" applyNumberFormat="1" applyFont="1" applyFill="1" applyBorder="1" applyAlignment="1" applyProtection="1">
      <alignment horizontal="center"/>
      <protection locked="0"/>
    </xf>
    <xf numFmtId="164" fontId="25" fillId="11" borderId="23" xfId="1" applyNumberFormat="1" applyFont="1" applyFill="1" applyBorder="1" applyAlignment="1" applyProtection="1">
      <alignment horizontal="center"/>
      <protection locked="0"/>
    </xf>
    <xf numFmtId="164" fontId="25" fillId="12" borderId="23" xfId="1" applyNumberFormat="1" applyFont="1" applyFill="1" applyBorder="1" applyAlignment="1" applyProtection="1">
      <alignment horizontal="center"/>
      <protection locked="0"/>
    </xf>
    <xf numFmtId="164" fontId="25" fillId="13" borderId="23" xfId="1" applyNumberFormat="1" applyFont="1" applyFill="1" applyBorder="1" applyAlignment="1" applyProtection="1">
      <alignment horizontal="center"/>
      <protection locked="0"/>
    </xf>
    <xf numFmtId="164" fontId="25" fillId="5" borderId="23" xfId="1" applyNumberFormat="1" applyFont="1" applyFill="1" applyBorder="1" applyAlignment="1" applyProtection="1">
      <alignment horizontal="center"/>
      <protection locked="0"/>
    </xf>
    <xf numFmtId="37" fontId="25" fillId="2" borderId="23" xfId="2" applyNumberFormat="1" applyFont="1" applyFill="1" applyBorder="1" applyAlignment="1" applyProtection="1">
      <alignment horizontal="center"/>
      <protection locked="0"/>
    </xf>
    <xf numFmtId="37" fontId="25" fillId="10" borderId="23" xfId="2" applyNumberFormat="1" applyFont="1" applyFill="1" applyBorder="1" applyAlignment="1" applyProtection="1">
      <alignment horizontal="center"/>
      <protection locked="0"/>
    </xf>
    <xf numFmtId="37" fontId="25" fillId="11" borderId="23" xfId="2" applyNumberFormat="1" applyFont="1" applyFill="1" applyBorder="1" applyAlignment="1" applyProtection="1">
      <alignment horizontal="center"/>
      <protection locked="0"/>
    </xf>
    <xf numFmtId="37" fontId="25" fillId="12" borderId="23" xfId="2" applyNumberFormat="1" applyFont="1" applyFill="1" applyBorder="1" applyAlignment="1" applyProtection="1">
      <alignment horizontal="center"/>
      <protection locked="0"/>
    </xf>
    <xf numFmtId="37" fontId="25" fillId="13" borderId="23" xfId="2" applyNumberFormat="1" applyFont="1" applyFill="1" applyBorder="1" applyAlignment="1" applyProtection="1">
      <alignment horizontal="center"/>
      <protection locked="0"/>
    </xf>
    <xf numFmtId="37" fontId="25" fillId="5" borderId="23" xfId="2" applyNumberFormat="1" applyFont="1" applyFill="1" applyBorder="1" applyAlignment="1" applyProtection="1">
      <alignment horizontal="center"/>
      <protection locked="0"/>
    </xf>
    <xf numFmtId="0" fontId="11" fillId="0" borderId="15" xfId="0" applyFont="1" applyBorder="1"/>
    <xf numFmtId="0" fontId="12" fillId="14" borderId="28" xfId="0" applyFont="1" applyFill="1" applyBorder="1" applyAlignment="1">
      <alignment horizontal="center"/>
    </xf>
    <xf numFmtId="0" fontId="12" fillId="14" borderId="26" xfId="0" applyFont="1" applyFill="1" applyBorder="1" applyAlignment="1">
      <alignment horizontal="center"/>
    </xf>
    <xf numFmtId="0" fontId="11" fillId="0" borderId="0" xfId="0" applyFont="1" applyFill="1" applyBorder="1" applyAlignment="1">
      <alignment horizontal="center" vertical="center"/>
    </xf>
    <xf numFmtId="164" fontId="11" fillId="14" borderId="12" xfId="1" applyNumberFormat="1" applyFont="1" applyFill="1" applyBorder="1" applyAlignment="1">
      <alignment horizontal="center"/>
    </xf>
    <xf numFmtId="164" fontId="11" fillId="14" borderId="27" xfId="1" applyNumberFormat="1" applyFont="1" applyFill="1" applyBorder="1" applyAlignment="1">
      <alignment horizontal="center"/>
    </xf>
    <xf numFmtId="0" fontId="12" fillId="0" borderId="0" xfId="0" applyFont="1" applyFill="1" applyBorder="1" applyAlignment="1">
      <alignment horizontal="center" vertical="center"/>
    </xf>
    <xf numFmtId="0" fontId="11" fillId="15" borderId="27" xfId="0" applyFont="1" applyFill="1" applyBorder="1" applyAlignment="1">
      <alignment horizontal="center" vertical="center"/>
    </xf>
    <xf numFmtId="5" fontId="11" fillId="15" borderId="12" xfId="0" applyNumberFormat="1" applyFont="1" applyFill="1" applyBorder="1" applyAlignment="1">
      <alignment horizontal="center" vertical="center"/>
    </xf>
    <xf numFmtId="5" fontId="11" fillId="14" borderId="12" xfId="0" applyNumberFormat="1" applyFont="1" applyFill="1" applyBorder="1" applyAlignment="1">
      <alignment horizontal="center" vertical="center"/>
    </xf>
    <xf numFmtId="0" fontId="11" fillId="14" borderId="27" xfId="0" applyFont="1" applyFill="1" applyBorder="1" applyAlignment="1">
      <alignment horizontal="center" vertical="center"/>
    </xf>
    <xf numFmtId="164" fontId="11" fillId="14" borderId="12" xfId="1" applyNumberFormat="1" applyFont="1" applyFill="1" applyBorder="1" applyAlignment="1">
      <alignment horizontal="center" vertical="center"/>
    </xf>
    <xf numFmtId="164" fontId="11" fillId="14" borderId="27" xfId="1" applyNumberFormat="1" applyFont="1" applyFill="1" applyBorder="1" applyAlignment="1">
      <alignment horizontal="center" vertical="center"/>
    </xf>
    <xf numFmtId="0" fontId="12" fillId="15" borderId="28" xfId="0" applyFont="1" applyFill="1" applyBorder="1" applyAlignment="1">
      <alignment horizontal="center"/>
    </xf>
    <xf numFmtId="0" fontId="12" fillId="15" borderId="26" xfId="0" applyFont="1" applyFill="1" applyBorder="1" applyAlignment="1">
      <alignment horizontal="center"/>
    </xf>
    <xf numFmtId="171" fontId="11" fillId="15" borderId="12" xfId="0" applyNumberFormat="1" applyFont="1" applyFill="1" applyBorder="1" applyAlignment="1">
      <alignment horizontal="center" vertical="center"/>
    </xf>
    <xf numFmtId="7" fontId="11" fillId="15" borderId="27" xfId="0" applyNumberFormat="1" applyFont="1" applyFill="1" applyBorder="1" applyAlignment="1">
      <alignment horizontal="center" vertical="center"/>
    </xf>
    <xf numFmtId="5" fontId="11" fillId="14" borderId="12" xfId="0" applyNumberFormat="1" applyFont="1" applyFill="1" applyBorder="1" applyAlignment="1">
      <alignment horizontal="center"/>
    </xf>
    <xf numFmtId="5" fontId="11" fillId="14" borderId="27" xfId="0" applyNumberFormat="1" applyFont="1" applyFill="1" applyBorder="1" applyAlignment="1">
      <alignment horizontal="center"/>
    </xf>
    <xf numFmtId="5" fontId="11" fillId="15" borderId="12" xfId="0" applyNumberFormat="1" applyFont="1" applyFill="1" applyBorder="1" applyAlignment="1">
      <alignment horizontal="center"/>
    </xf>
    <xf numFmtId="5" fontId="11" fillId="15" borderId="27" xfId="0" applyNumberFormat="1" applyFont="1" applyFill="1" applyBorder="1" applyAlignment="1">
      <alignment horizontal="center"/>
    </xf>
    <xf numFmtId="164" fontId="11" fillId="15" borderId="12" xfId="1" applyNumberFormat="1" applyFont="1" applyFill="1" applyBorder="1" applyAlignment="1">
      <alignment horizontal="center"/>
    </xf>
    <xf numFmtId="164" fontId="11" fillId="15" borderId="27" xfId="1" applyNumberFormat="1" applyFont="1" applyFill="1" applyBorder="1" applyAlignment="1">
      <alignment horizontal="center"/>
    </xf>
    <xf numFmtId="0" fontId="11" fillId="0" borderId="0" xfId="0" applyFont="1" applyFill="1" applyBorder="1" applyAlignment="1">
      <alignment horizontal="center"/>
    </xf>
    <xf numFmtId="0" fontId="29" fillId="0" borderId="0" xfId="143" applyFont="1" applyFill="1" applyBorder="1" applyAlignment="1">
      <alignment horizontal="left"/>
    </xf>
    <xf numFmtId="0" fontId="5" fillId="0" borderId="0" xfId="143" applyFont="1" applyFill="1" applyBorder="1"/>
    <xf numFmtId="0" fontId="5" fillId="0" borderId="0" xfId="143" applyFont="1" applyFill="1" applyBorder="1" applyAlignment="1">
      <alignment horizontal="right"/>
    </xf>
    <xf numFmtId="0" fontId="30" fillId="0" borderId="0" xfId="143" applyFont="1" applyFill="1" applyBorder="1"/>
    <xf numFmtId="0" fontId="26" fillId="0" borderId="0" xfId="143" applyFont="1" applyFill="1" applyBorder="1" applyAlignment="1">
      <alignment horizontal="right"/>
    </xf>
    <xf numFmtId="0" fontId="26" fillId="0" borderId="0" xfId="143" applyFont="1" applyFill="1" applyBorder="1"/>
    <xf numFmtId="0" fontId="5" fillId="0" borderId="0" xfId="143" applyFont="1" applyFill="1" applyBorder="1" applyAlignment="1">
      <alignment horizontal="center"/>
    </xf>
    <xf numFmtId="0" fontId="31" fillId="0" borderId="0" xfId="143" applyFont="1" applyFill="1" applyBorder="1" applyAlignment="1">
      <alignment horizontal="center"/>
    </xf>
    <xf numFmtId="0" fontId="32" fillId="0" borderId="0" xfId="143" applyFont="1" applyFill="1" applyBorder="1" applyAlignment="1">
      <alignment horizontal="center"/>
    </xf>
    <xf numFmtId="0" fontId="33" fillId="0" borderId="0" xfId="143" applyFont="1" applyFill="1" applyBorder="1"/>
    <xf numFmtId="0" fontId="9" fillId="19" borderId="0" xfId="143" applyFont="1" applyFill="1" applyBorder="1" applyAlignment="1">
      <alignment horizontal="left"/>
    </xf>
    <xf numFmtId="0" fontId="9" fillId="19" borderId="0" xfId="143" applyFont="1" applyFill="1" applyBorder="1"/>
    <xf numFmtId="0" fontId="10" fillId="19" borderId="0" xfId="143" applyFont="1" applyFill="1" applyBorder="1"/>
    <xf numFmtId="0" fontId="9" fillId="19" borderId="0" xfId="143" applyFont="1" applyFill="1" applyBorder="1" applyAlignment="1">
      <alignment horizontal="center"/>
    </xf>
    <xf numFmtId="37" fontId="31" fillId="0" borderId="0" xfId="143" applyNumberFormat="1" applyFont="1" applyFill="1" applyBorder="1" applyAlignment="1">
      <alignment horizontal="center"/>
    </xf>
    <xf numFmtId="0" fontId="26" fillId="0" borderId="0" xfId="143" applyFont="1" applyFill="1" applyBorder="1" applyAlignment="1">
      <alignment horizontal="center"/>
    </xf>
    <xf numFmtId="37" fontId="32" fillId="0" borderId="0" xfId="143" applyNumberFormat="1" applyFont="1" applyFill="1" applyBorder="1" applyAlignment="1">
      <alignment horizontal="center"/>
    </xf>
    <xf numFmtId="37" fontId="26" fillId="0" borderId="0" xfId="143" applyNumberFormat="1" applyFont="1" applyFill="1" applyBorder="1" applyAlignment="1">
      <alignment horizontal="center"/>
    </xf>
    <xf numFmtId="0" fontId="17" fillId="0" borderId="0" xfId="143" applyFont="1" applyFill="1" applyBorder="1" applyAlignment="1">
      <alignment horizontal="center"/>
    </xf>
    <xf numFmtId="5" fontId="31" fillId="0" borderId="3" xfId="143" applyNumberFormat="1" applyFont="1" applyBorder="1" applyAlignment="1">
      <alignment horizontal="center"/>
    </xf>
    <xf numFmtId="175" fontId="31" fillId="0" borderId="0" xfId="143" applyNumberFormat="1" applyFont="1" applyFill="1" applyBorder="1" applyAlignment="1">
      <alignment horizontal="center"/>
    </xf>
    <xf numFmtId="37" fontId="5" fillId="0" borderId="0" xfId="143" applyNumberFormat="1" applyFont="1" applyFill="1" applyBorder="1" applyAlignment="1">
      <alignment horizontal="center"/>
    </xf>
    <xf numFmtId="0" fontId="17" fillId="0" borderId="0" xfId="143" applyFont="1" applyFill="1" applyBorder="1"/>
    <xf numFmtId="0" fontId="5" fillId="0" borderId="0" xfId="143" applyFont="1" applyFill="1" applyBorder="1" applyAlignment="1">
      <alignment horizontal="left"/>
    </xf>
    <xf numFmtId="39" fontId="31" fillId="0" borderId="0" xfId="143" applyNumberFormat="1" applyFont="1" applyFill="1" applyBorder="1" applyAlignment="1">
      <alignment horizontal="center"/>
    </xf>
    <xf numFmtId="0" fontId="5" fillId="0" borderId="0" xfId="143" applyFont="1" applyBorder="1"/>
    <xf numFmtId="0" fontId="17" fillId="0" borderId="0" xfId="143" applyFont="1" applyBorder="1"/>
    <xf numFmtId="165" fontId="31" fillId="0" borderId="0" xfId="143" applyNumberFormat="1" applyFont="1" applyFill="1" applyBorder="1" applyAlignment="1">
      <alignment horizontal="center"/>
    </xf>
    <xf numFmtId="0" fontId="5" fillId="0" borderId="0" xfId="143" applyFont="1"/>
    <xf numFmtId="5" fontId="31" fillId="0" borderId="0" xfId="143" applyNumberFormat="1" applyFont="1" applyBorder="1" applyAlignment="1">
      <alignment horizontal="center"/>
    </xf>
    <xf numFmtId="0" fontId="5" fillId="0" borderId="0" xfId="143" quotePrefix="1" applyFont="1" applyFill="1" applyBorder="1"/>
    <xf numFmtId="0" fontId="34" fillId="0" borderId="0" xfId="144" applyFill="1" applyBorder="1" applyAlignment="1" applyProtection="1"/>
    <xf numFmtId="172" fontId="11" fillId="15" borderId="12" xfId="3" applyNumberFormat="1" applyFont="1" applyFill="1" applyBorder="1" applyAlignment="1">
      <alignment horizontal="center"/>
    </xf>
    <xf numFmtId="172" fontId="11" fillId="15" borderId="27" xfId="3" applyNumberFormat="1" applyFont="1" applyFill="1" applyBorder="1" applyAlignment="1">
      <alignment horizontal="center"/>
    </xf>
    <xf numFmtId="172" fontId="11" fillId="14" borderId="12" xfId="3" applyNumberFormat="1" applyFont="1" applyFill="1" applyBorder="1" applyAlignment="1">
      <alignment horizontal="center"/>
    </xf>
    <xf numFmtId="172" fontId="11" fillId="14" borderId="27" xfId="3" applyNumberFormat="1" applyFont="1" applyFill="1" applyBorder="1" applyAlignment="1">
      <alignment horizontal="center"/>
    </xf>
    <xf numFmtId="9" fontId="11" fillId="2" borderId="23" xfId="0" applyNumberFormat="1" applyFont="1" applyFill="1" applyBorder="1" applyAlignment="1">
      <alignment horizontal="center"/>
    </xf>
    <xf numFmtId="164" fontId="11" fillId="11" borderId="23" xfId="0" applyNumberFormat="1" applyFont="1" applyFill="1" applyBorder="1" applyAlignment="1">
      <alignment horizontal="center"/>
    </xf>
    <xf numFmtId="164" fontId="11" fillId="12" borderId="23" xfId="0" applyNumberFormat="1" applyFont="1" applyFill="1" applyBorder="1" applyAlignment="1">
      <alignment horizontal="center"/>
    </xf>
    <xf numFmtId="164" fontId="11" fillId="13" borderId="23" xfId="0" applyNumberFormat="1" applyFont="1" applyFill="1" applyBorder="1" applyAlignment="1">
      <alignment horizontal="center"/>
    </xf>
    <xf numFmtId="9" fontId="12" fillId="3" borderId="23" xfId="0" applyNumberFormat="1" applyFont="1" applyFill="1" applyBorder="1" applyAlignment="1">
      <alignment horizontal="center"/>
    </xf>
    <xf numFmtId="0" fontId="14" fillId="0" borderId="0" xfId="0" applyFont="1" applyFill="1" applyBorder="1" applyAlignment="1">
      <alignment horizontal="center" vertical="center"/>
    </xf>
    <xf numFmtId="0" fontId="12" fillId="15" borderId="12" xfId="0" applyFont="1" applyFill="1" applyBorder="1" applyAlignment="1">
      <alignment horizontal="center"/>
    </xf>
    <xf numFmtId="0" fontId="12" fillId="15" borderId="27" xfId="0" applyFont="1" applyFill="1" applyBorder="1" applyAlignment="1">
      <alignment horizontal="center"/>
    </xf>
    <xf numFmtId="0" fontId="12" fillId="14" borderId="12" xfId="0" applyFont="1" applyFill="1" applyBorder="1" applyAlignment="1">
      <alignment horizontal="center"/>
    </xf>
    <xf numFmtId="0" fontId="12" fillId="14" borderId="27" xfId="0" applyFont="1" applyFill="1" applyBorder="1" applyAlignment="1">
      <alignment horizontal="center"/>
    </xf>
    <xf numFmtId="171" fontId="11" fillId="15" borderId="27" xfId="0" applyNumberFormat="1" applyFont="1" applyFill="1" applyBorder="1" applyAlignment="1">
      <alignment horizontal="center" vertical="center"/>
    </xf>
    <xf numFmtId="7" fontId="11" fillId="15" borderId="12"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25" fillId="0" borderId="0" xfId="0" applyFont="1" applyFill="1" applyBorder="1"/>
    <xf numFmtId="7" fontId="12" fillId="0" borderId="13" xfId="0" applyNumberFormat="1" applyFont="1" applyFill="1" applyBorder="1" applyAlignment="1">
      <alignment horizontal="center"/>
    </xf>
    <xf numFmtId="172" fontId="12" fillId="0" borderId="13" xfId="0" applyNumberFormat="1" applyFont="1" applyFill="1" applyBorder="1" applyAlignment="1">
      <alignment horizontal="center"/>
    </xf>
    <xf numFmtId="0" fontId="12" fillId="0" borderId="13" xfId="3" applyNumberFormat="1" applyFont="1" applyFill="1" applyBorder="1" applyAlignment="1">
      <alignment horizontal="center"/>
    </xf>
    <xf numFmtId="0" fontId="11" fillId="0" borderId="0" xfId="0" applyFont="1" applyFill="1" applyBorder="1" applyAlignment="1">
      <alignment horizontal="left"/>
    </xf>
    <xf numFmtId="0" fontId="11" fillId="0" borderId="0" xfId="0" applyFont="1" applyFill="1" applyBorder="1" applyAlignment="1">
      <alignment horizontal="center" vertical="center"/>
    </xf>
    <xf numFmtId="0" fontId="11" fillId="0" borderId="0" xfId="0" applyFont="1" applyBorder="1" applyAlignment="1" applyProtection="1">
      <alignment horizontal="center"/>
    </xf>
    <xf numFmtId="0" fontId="20" fillId="0" borderId="0" xfId="0" applyFont="1" applyFill="1" applyBorder="1" applyProtection="1"/>
    <xf numFmtId="0" fontId="11" fillId="0" borderId="0" xfId="0" applyFont="1" applyFill="1" applyBorder="1" applyAlignment="1" applyProtection="1">
      <alignment horizontal="center"/>
    </xf>
    <xf numFmtId="9" fontId="21" fillId="0" borderId="0" xfId="0" applyNumberFormat="1" applyFont="1" applyFill="1" applyAlignment="1" applyProtection="1">
      <alignment horizontal="center" wrapText="1"/>
    </xf>
    <xf numFmtId="175" fontId="11" fillId="2" borderId="23" xfId="0" applyNumberFormat="1" applyFont="1" applyFill="1" applyBorder="1" applyAlignment="1" applyProtection="1">
      <alignment horizontal="center"/>
    </xf>
    <xf numFmtId="175" fontId="11" fillId="10" borderId="23" xfId="0" applyNumberFormat="1" applyFont="1" applyFill="1" applyBorder="1" applyAlignment="1" applyProtection="1">
      <alignment horizontal="center"/>
    </xf>
    <xf numFmtId="175" fontId="11" fillId="11" borderId="23" xfId="0" applyNumberFormat="1" applyFont="1" applyFill="1" applyBorder="1" applyAlignment="1" applyProtection="1">
      <alignment horizontal="center"/>
    </xf>
    <xf numFmtId="175" fontId="11" fillId="12" borderId="23" xfId="0" applyNumberFormat="1" applyFont="1" applyFill="1" applyBorder="1" applyAlignment="1" applyProtection="1">
      <alignment horizontal="center"/>
    </xf>
    <xf numFmtId="175" fontId="11" fillId="13" borderId="23" xfId="0" applyNumberFormat="1" applyFont="1" applyFill="1" applyBorder="1" applyAlignment="1" applyProtection="1">
      <alignment horizontal="center"/>
    </xf>
    <xf numFmtId="175" fontId="11" fillId="5" borderId="23" xfId="0" applyNumberFormat="1" applyFont="1" applyFill="1" applyBorder="1" applyAlignment="1" applyProtection="1">
      <alignment horizontal="center"/>
    </xf>
    <xf numFmtId="164" fontId="18" fillId="2" borderId="23" xfId="1" applyNumberFormat="1" applyFont="1" applyFill="1" applyBorder="1" applyAlignment="1" applyProtection="1">
      <alignment horizontal="center" vertical="center"/>
      <protection locked="0"/>
    </xf>
    <xf numFmtId="164" fontId="18" fillId="10" borderId="23" xfId="1" applyNumberFormat="1" applyFont="1" applyFill="1" applyBorder="1" applyAlignment="1" applyProtection="1">
      <alignment horizontal="center" vertical="center"/>
      <protection locked="0"/>
    </xf>
    <xf numFmtId="164" fontId="18" fillId="11" borderId="23" xfId="1" applyNumberFormat="1" applyFont="1" applyFill="1" applyBorder="1" applyAlignment="1" applyProtection="1">
      <alignment horizontal="center" vertical="center"/>
      <protection locked="0"/>
    </xf>
    <xf numFmtId="164" fontId="18" fillId="12" borderId="23" xfId="1" applyNumberFormat="1" applyFont="1" applyFill="1" applyBorder="1" applyAlignment="1" applyProtection="1">
      <alignment horizontal="center" vertical="center"/>
      <protection locked="0"/>
    </xf>
    <xf numFmtId="164" fontId="18" fillId="13" borderId="23" xfId="1" applyNumberFormat="1" applyFont="1" applyFill="1" applyBorder="1" applyAlignment="1" applyProtection="1">
      <alignment horizontal="center" vertical="center"/>
      <protection locked="0"/>
    </xf>
    <xf numFmtId="164" fontId="18" fillId="5" borderId="23" xfId="1" applyNumberFormat="1" applyFont="1" applyFill="1" applyBorder="1" applyAlignment="1" applyProtection="1">
      <alignment horizontal="center" vertical="center"/>
      <protection locked="0"/>
    </xf>
    <xf numFmtId="164" fontId="11" fillId="17" borderId="0" xfId="0" applyNumberFormat="1" applyFont="1" applyFill="1" applyBorder="1"/>
    <xf numFmtId="164" fontId="11" fillId="15" borderId="0" xfId="0" applyNumberFormat="1" applyFont="1" applyFill="1" applyBorder="1"/>
    <xf numFmtId="7" fontId="12" fillId="2" borderId="24" xfId="0" applyNumberFormat="1" applyFont="1" applyFill="1" applyBorder="1" applyAlignment="1" applyProtection="1">
      <alignment horizontal="center"/>
      <protection locked="0"/>
    </xf>
    <xf numFmtId="7" fontId="12" fillId="10" borderId="24" xfId="0" applyNumberFormat="1" applyFont="1" applyFill="1" applyBorder="1" applyAlignment="1" applyProtection="1">
      <alignment horizontal="center"/>
      <protection locked="0"/>
    </xf>
    <xf numFmtId="172" fontId="12" fillId="11" borderId="24" xfId="0" applyNumberFormat="1" applyFont="1" applyFill="1" applyBorder="1" applyAlignment="1" applyProtection="1">
      <alignment horizontal="center"/>
      <protection locked="0"/>
    </xf>
    <xf numFmtId="172" fontId="12" fillId="12" borderId="24" xfId="0" applyNumberFormat="1" applyFont="1" applyFill="1" applyBorder="1" applyAlignment="1" applyProtection="1">
      <alignment horizontal="center"/>
      <protection locked="0"/>
    </xf>
    <xf numFmtId="172" fontId="12" fillId="13" borderId="24" xfId="0" applyNumberFormat="1" applyFont="1" applyFill="1" applyBorder="1" applyAlignment="1" applyProtection="1">
      <alignment horizontal="center"/>
      <protection locked="0"/>
    </xf>
    <xf numFmtId="172" fontId="12" fillId="5" borderId="24" xfId="0" applyNumberFormat="1" applyFont="1" applyFill="1" applyBorder="1" applyAlignment="1" applyProtection="1">
      <alignment horizontal="center"/>
      <protection locked="0"/>
    </xf>
    <xf numFmtId="0" fontId="18" fillId="3" borderId="24" xfId="3" applyNumberFormat="1" applyFont="1" applyFill="1" applyBorder="1" applyAlignment="1" applyProtection="1">
      <alignment horizontal="center"/>
      <protection locked="0"/>
    </xf>
    <xf numFmtId="0" fontId="29" fillId="0" borderId="0" xfId="143" applyFont="1" applyFill="1" applyBorder="1" applyAlignment="1" applyProtection="1">
      <alignment horizontal="left"/>
    </xf>
    <xf numFmtId="0" fontId="9" fillId="19" borderId="0" xfId="0" applyFont="1" applyFill="1" applyBorder="1" applyProtection="1"/>
    <xf numFmtId="0" fontId="9" fillId="19" borderId="0" xfId="0" applyFont="1" applyFill="1" applyBorder="1" applyAlignment="1" applyProtection="1">
      <alignment horizontal="center"/>
    </xf>
    <xf numFmtId="0" fontId="9" fillId="21" borderId="0" xfId="0" applyFont="1" applyFill="1" applyBorder="1" applyProtection="1"/>
    <xf numFmtId="0" fontId="16" fillId="21" borderId="0" xfId="0" applyFont="1" applyFill="1" applyBorder="1" applyAlignment="1" applyProtection="1">
      <alignment horizontal="center"/>
    </xf>
    <xf numFmtId="0" fontId="11" fillId="0" borderId="0" xfId="0" applyFont="1" applyFill="1" applyBorder="1" applyAlignment="1" applyProtection="1">
      <alignment horizontal="center" vertical="center"/>
    </xf>
    <xf numFmtId="0" fontId="15" fillId="21" borderId="0" xfId="0" applyFont="1" applyFill="1" applyBorder="1" applyProtection="1"/>
    <xf numFmtId="0" fontId="9" fillId="0" borderId="0" xfId="0" applyFont="1" applyFill="1" applyBorder="1" applyProtection="1"/>
    <xf numFmtId="0" fontId="16" fillId="0" borderId="0" xfId="0" applyFont="1" applyFill="1" applyBorder="1" applyAlignment="1" applyProtection="1">
      <alignment horizontal="center"/>
    </xf>
    <xf numFmtId="0" fontId="16" fillId="0" borderId="2" xfId="0" applyFont="1" applyFill="1" applyBorder="1" applyAlignment="1" applyProtection="1">
      <alignment horizontal="center"/>
    </xf>
    <xf numFmtId="0" fontId="11" fillId="0" borderId="0" xfId="0" applyFont="1" applyAlignment="1" applyProtection="1">
      <alignment horizontal="left" vertical="center"/>
    </xf>
    <xf numFmtId="0" fontId="20" fillId="0" borderId="0" xfId="0" applyFont="1" applyBorder="1" applyAlignment="1" applyProtection="1">
      <alignment horizontal="right" vertical="center"/>
    </xf>
    <xf numFmtId="0" fontId="10" fillId="19" borderId="0" xfId="0" applyFont="1" applyFill="1" applyBorder="1" applyProtection="1"/>
    <xf numFmtId="0" fontId="11" fillId="0" borderId="0" xfId="0" applyFont="1" applyFill="1" applyBorder="1" applyAlignment="1" applyProtection="1">
      <alignment horizontal="right"/>
    </xf>
    <xf numFmtId="0" fontId="17" fillId="0" borderId="0" xfId="0" applyFont="1" applyFill="1" applyBorder="1" applyAlignment="1" applyProtection="1">
      <alignment horizontal="right"/>
    </xf>
    <xf numFmtId="165" fontId="18" fillId="0" borderId="0" xfId="0" applyNumberFormat="1" applyFont="1" applyAlignment="1" applyProtection="1"/>
    <xf numFmtId="0" fontId="12" fillId="3" borderId="3" xfId="0" applyFont="1" applyFill="1" applyBorder="1" applyAlignment="1" applyProtection="1">
      <alignment horizontal="center"/>
    </xf>
    <xf numFmtId="0" fontId="20" fillId="0" borderId="0" xfId="0" applyFont="1" applyAlignment="1" applyProtection="1">
      <alignment horizontal="center" vertical="center"/>
    </xf>
    <xf numFmtId="0" fontId="11" fillId="0" borderId="0" xfId="0" applyFont="1" applyAlignment="1" applyProtection="1">
      <alignment horizontal="right" vertical="center"/>
    </xf>
    <xf numFmtId="0" fontId="11" fillId="3" borderId="23" xfId="0" applyFont="1" applyFill="1" applyBorder="1" applyProtection="1"/>
    <xf numFmtId="0" fontId="11" fillId="0" borderId="0" xfId="0" applyFont="1" applyAlignment="1" applyProtection="1">
      <alignment horizontal="right"/>
    </xf>
    <xf numFmtId="0" fontId="11" fillId="2" borderId="25" xfId="0" applyFont="1" applyFill="1" applyBorder="1" applyProtection="1"/>
    <xf numFmtId="0" fontId="11" fillId="10" borderId="25" xfId="0" applyFont="1" applyFill="1" applyBorder="1" applyProtection="1"/>
    <xf numFmtId="0" fontId="11" fillId="11" borderId="25" xfId="0" applyFont="1" applyFill="1" applyBorder="1" applyProtection="1"/>
    <xf numFmtId="0" fontId="11" fillId="12" borderId="25" xfId="0" applyFont="1" applyFill="1" applyBorder="1" applyProtection="1"/>
    <xf numFmtId="0" fontId="11" fillId="13" borderId="25" xfId="0" applyFont="1" applyFill="1" applyBorder="1" applyProtection="1"/>
    <xf numFmtId="0" fontId="11" fillId="5" borderId="25" xfId="0" applyFont="1" applyFill="1" applyBorder="1" applyProtection="1"/>
    <xf numFmtId="9" fontId="18" fillId="2" borderId="23" xfId="0" applyNumberFormat="1" applyFont="1" applyFill="1" applyBorder="1" applyAlignment="1" applyProtection="1">
      <alignment horizontal="center"/>
    </xf>
    <xf numFmtId="9" fontId="18" fillId="10" borderId="23" xfId="0" applyNumberFormat="1" applyFont="1" applyFill="1" applyBorder="1" applyAlignment="1" applyProtection="1">
      <alignment horizontal="center"/>
    </xf>
    <xf numFmtId="9" fontId="18" fillId="11" borderId="23" xfId="0" applyNumberFormat="1" applyFont="1" applyFill="1" applyBorder="1" applyAlignment="1" applyProtection="1">
      <alignment horizontal="center"/>
    </xf>
    <xf numFmtId="9" fontId="18" fillId="12" borderId="23" xfId="0" applyNumberFormat="1" applyFont="1" applyFill="1" applyBorder="1" applyAlignment="1" applyProtection="1">
      <alignment horizontal="center"/>
    </xf>
    <xf numFmtId="9" fontId="18" fillId="13" borderId="23" xfId="0" applyNumberFormat="1" applyFont="1" applyFill="1" applyBorder="1" applyAlignment="1" applyProtection="1">
      <alignment horizontal="center"/>
    </xf>
    <xf numFmtId="9" fontId="18" fillId="5" borderId="23" xfId="0" applyNumberFormat="1" applyFont="1" applyFill="1" applyBorder="1" applyAlignment="1" applyProtection="1">
      <alignment horizontal="center"/>
    </xf>
    <xf numFmtId="9" fontId="5" fillId="2" borderId="23" xfId="0" applyNumberFormat="1" applyFont="1" applyFill="1" applyBorder="1" applyAlignment="1" applyProtection="1">
      <alignment horizontal="center"/>
    </xf>
    <xf numFmtId="9" fontId="5" fillId="10" borderId="23" xfId="0" applyNumberFormat="1" applyFont="1" applyFill="1" applyBorder="1" applyAlignment="1" applyProtection="1">
      <alignment horizontal="center"/>
    </xf>
    <xf numFmtId="9" fontId="5" fillId="11" borderId="23" xfId="0" applyNumberFormat="1" applyFont="1" applyFill="1" applyBorder="1" applyAlignment="1" applyProtection="1">
      <alignment horizontal="center"/>
    </xf>
    <xf numFmtId="9" fontId="5" fillId="12" borderId="23" xfId="0" applyNumberFormat="1" applyFont="1" applyFill="1" applyBorder="1" applyAlignment="1" applyProtection="1">
      <alignment horizontal="center"/>
    </xf>
    <xf numFmtId="9" fontId="5" fillId="13" borderId="23" xfId="0" applyNumberFormat="1" applyFont="1" applyFill="1" applyBorder="1" applyAlignment="1" applyProtection="1">
      <alignment horizontal="center"/>
    </xf>
    <xf numFmtId="9" fontId="5" fillId="5" borderId="23" xfId="0" applyNumberFormat="1" applyFont="1" applyFill="1" applyBorder="1" applyAlignment="1" applyProtection="1">
      <alignment horizontal="center"/>
    </xf>
    <xf numFmtId="0" fontId="19" fillId="2" borderId="23" xfId="0" applyFont="1" applyFill="1" applyBorder="1" applyProtection="1"/>
    <xf numFmtId="0" fontId="19" fillId="10" borderId="23" xfId="0" applyFont="1" applyFill="1" applyBorder="1" applyProtection="1"/>
    <xf numFmtId="0" fontId="19" fillId="11" borderId="23" xfId="0" applyFont="1" applyFill="1" applyBorder="1" applyProtection="1"/>
    <xf numFmtId="0" fontId="19" fillId="12" borderId="23" xfId="0" applyFont="1" applyFill="1" applyBorder="1" applyProtection="1"/>
    <xf numFmtId="0" fontId="19" fillId="13" borderId="23" xfId="0" applyFont="1" applyFill="1" applyBorder="1" applyProtection="1"/>
    <xf numFmtId="0" fontId="19" fillId="5" borderId="23" xfId="0" applyFont="1" applyFill="1" applyBorder="1" applyProtection="1"/>
    <xf numFmtId="0" fontId="21" fillId="0" borderId="0" xfId="0" applyFont="1" applyAlignment="1" applyProtection="1">
      <alignment horizontal="center" vertical="center"/>
    </xf>
    <xf numFmtId="165" fontId="11" fillId="0" borderId="0" xfId="0" applyNumberFormat="1" applyFont="1" applyFill="1" applyBorder="1" applyAlignment="1" applyProtection="1">
      <alignment horizontal="center"/>
    </xf>
    <xf numFmtId="164" fontId="12" fillId="3" borderId="25" xfId="0" applyNumberFormat="1" applyFont="1" applyFill="1" applyBorder="1" applyAlignment="1" applyProtection="1">
      <alignment horizontal="center"/>
    </xf>
    <xf numFmtId="0" fontId="12" fillId="0" borderId="0" xfId="0" applyFont="1" applyBorder="1" applyAlignment="1" applyProtection="1">
      <alignment horizontal="left" vertical="center"/>
    </xf>
    <xf numFmtId="0" fontId="12" fillId="0" borderId="0" xfId="0" applyFont="1" applyBorder="1" applyAlignment="1" applyProtection="1">
      <alignment horizontal="center" wrapText="1"/>
    </xf>
    <xf numFmtId="37" fontId="18" fillId="0" borderId="0" xfId="0" applyNumberFormat="1" applyFont="1" applyAlignment="1" applyProtection="1">
      <alignment horizontal="center"/>
    </xf>
    <xf numFmtId="168" fontId="18" fillId="0" borderId="0" xfId="0" applyNumberFormat="1" applyFont="1" applyAlignment="1" applyProtection="1">
      <alignment horizontal="center"/>
    </xf>
    <xf numFmtId="9" fontId="18" fillId="0" borderId="0" xfId="1" applyNumberFormat="1" applyFont="1" applyAlignment="1" applyProtection="1">
      <alignment horizontal="center"/>
    </xf>
    <xf numFmtId="0" fontId="12" fillId="0" borderId="2" xfId="0" applyFont="1" applyBorder="1" applyProtection="1"/>
    <xf numFmtId="0" fontId="24" fillId="0" borderId="0" xfId="0" applyFont="1" applyProtection="1"/>
    <xf numFmtId="0" fontId="20" fillId="0" borderId="0" xfId="0" applyFont="1" applyAlignment="1" applyProtection="1">
      <alignment horizontal="right"/>
    </xf>
    <xf numFmtId="0" fontId="11" fillId="0" borderId="0" xfId="0" applyFont="1" applyBorder="1" applyAlignment="1" applyProtection="1">
      <alignment horizontal="center" vertical="center"/>
    </xf>
    <xf numFmtId="0" fontId="5" fillId="0" borderId="0" xfId="0" applyFont="1" applyProtection="1"/>
    <xf numFmtId="37" fontId="11" fillId="0" borderId="0" xfId="0" applyNumberFormat="1" applyFont="1" applyProtection="1"/>
    <xf numFmtId="0" fontId="12" fillId="0" borderId="0" xfId="0" applyFont="1" applyBorder="1" applyProtection="1"/>
    <xf numFmtId="0" fontId="12" fillId="0" borderId="4" xfId="0" applyFont="1" applyBorder="1" applyAlignment="1" applyProtection="1">
      <alignment horizontal="left" vertical="center"/>
    </xf>
    <xf numFmtId="0" fontId="11" fillId="0" borderId="2" xfId="0" applyFont="1" applyBorder="1" applyAlignment="1" applyProtection="1">
      <alignment horizontal="center" vertical="center"/>
    </xf>
    <xf numFmtId="0" fontId="11" fillId="0" borderId="5" xfId="0" applyFont="1" applyBorder="1" applyAlignment="1" applyProtection="1">
      <alignment horizontal="center" vertical="center"/>
    </xf>
    <xf numFmtId="0" fontId="12" fillId="15" borderId="4" xfId="0" applyFont="1" applyFill="1" applyBorder="1" applyAlignment="1" applyProtection="1">
      <alignment horizontal="center" vertical="center" wrapText="1"/>
    </xf>
    <xf numFmtId="0" fontId="12" fillId="15" borderId="2" xfId="0" applyFont="1" applyFill="1" applyBorder="1" applyAlignment="1" applyProtection="1">
      <alignment horizontal="center" vertical="center" wrapText="1"/>
    </xf>
    <xf numFmtId="0" fontId="12" fillId="15" borderId="5" xfId="0" applyFont="1" applyFill="1" applyBorder="1" applyAlignment="1" applyProtection="1">
      <alignment horizontal="center" vertical="center" wrapText="1"/>
    </xf>
    <xf numFmtId="0" fontId="12" fillId="14" borderId="4" xfId="0" applyFont="1" applyFill="1" applyBorder="1" applyAlignment="1" applyProtection="1">
      <alignment horizontal="center" vertical="center" wrapText="1"/>
    </xf>
    <xf numFmtId="0" fontId="12" fillId="14" borderId="2" xfId="0" applyFont="1" applyFill="1" applyBorder="1" applyAlignment="1" applyProtection="1">
      <alignment horizontal="center" vertical="center" wrapText="1"/>
    </xf>
    <xf numFmtId="0" fontId="12" fillId="14" borderId="5" xfId="0" applyFont="1" applyFill="1" applyBorder="1" applyAlignment="1" applyProtection="1">
      <alignment horizontal="center" vertical="center" wrapText="1"/>
    </xf>
    <xf numFmtId="0" fontId="11" fillId="0" borderId="0" xfId="0" applyFont="1" applyBorder="1" applyAlignment="1" applyProtection="1">
      <alignment horizontal="left"/>
    </xf>
    <xf numFmtId="164" fontId="5" fillId="15" borderId="12" xfId="0" applyNumberFormat="1" applyFont="1" applyFill="1" applyBorder="1" applyAlignment="1" applyProtection="1">
      <alignment horizontal="center"/>
    </xf>
    <xf numFmtId="164" fontId="11" fillId="15" borderId="12" xfId="1" applyNumberFormat="1" applyFont="1" applyFill="1" applyBorder="1" applyAlignment="1" applyProtection="1">
      <alignment horizontal="center"/>
    </xf>
    <xf numFmtId="164" fontId="11" fillId="15" borderId="0" xfId="1" applyNumberFormat="1" applyFont="1" applyFill="1" applyBorder="1" applyAlignment="1" applyProtection="1">
      <alignment horizontal="center"/>
    </xf>
    <xf numFmtId="164" fontId="11" fillId="15" borderId="27" xfId="1" applyNumberFormat="1" applyFont="1" applyFill="1" applyBorder="1" applyAlignment="1" applyProtection="1">
      <alignment horizontal="center"/>
    </xf>
    <xf numFmtId="164" fontId="11" fillId="14" borderId="28" xfId="1" applyNumberFormat="1" applyFont="1" applyFill="1" applyBorder="1" applyAlignment="1" applyProtection="1">
      <alignment horizontal="center"/>
    </xf>
    <xf numFmtId="164" fontId="11" fillId="14" borderId="0" xfId="1" applyNumberFormat="1" applyFont="1" applyFill="1" applyBorder="1" applyAlignment="1" applyProtection="1">
      <alignment horizontal="center"/>
    </xf>
    <xf numFmtId="164" fontId="11" fillId="14" borderId="27" xfId="1" applyNumberFormat="1" applyFont="1" applyFill="1" applyBorder="1" applyAlignment="1" applyProtection="1">
      <alignment horizontal="center"/>
    </xf>
    <xf numFmtId="0" fontId="11" fillId="0" borderId="1" xfId="0" applyFont="1" applyBorder="1" applyAlignment="1" applyProtection="1">
      <alignment horizontal="left"/>
    </xf>
    <xf numFmtId="0" fontId="11" fillId="0" borderId="1" xfId="0" applyFont="1" applyBorder="1" applyProtection="1"/>
    <xf numFmtId="0" fontId="11" fillId="0" borderId="7" xfId="0" applyFont="1" applyBorder="1" applyAlignment="1" applyProtection="1">
      <alignment horizontal="center"/>
    </xf>
    <xf numFmtId="164" fontId="5" fillId="14" borderId="6" xfId="0" applyNumberFormat="1" applyFont="1" applyFill="1" applyBorder="1" applyAlignment="1" applyProtection="1">
      <alignment horizontal="center"/>
    </xf>
    <xf numFmtId="164" fontId="5" fillId="14" borderId="1" xfId="0" applyNumberFormat="1" applyFont="1" applyFill="1" applyBorder="1" applyAlignment="1" applyProtection="1">
      <alignment horizontal="center"/>
    </xf>
    <xf numFmtId="164" fontId="5" fillId="14" borderId="7" xfId="0" applyNumberFormat="1" applyFont="1" applyFill="1" applyBorder="1" applyAlignment="1" applyProtection="1">
      <alignment horizontal="center"/>
    </xf>
    <xf numFmtId="164" fontId="12" fillId="15" borderId="6" xfId="0" applyNumberFormat="1" applyFont="1" applyFill="1" applyBorder="1" applyAlignment="1" applyProtection="1">
      <alignment horizontal="center"/>
    </xf>
    <xf numFmtId="164" fontId="12" fillId="15" borderId="1" xfId="0" applyNumberFormat="1" applyFont="1" applyFill="1" applyBorder="1" applyAlignment="1" applyProtection="1">
      <alignment horizontal="center"/>
    </xf>
    <xf numFmtId="164" fontId="12" fillId="14" borderId="6" xfId="0" applyNumberFormat="1" applyFont="1" applyFill="1" applyBorder="1" applyAlignment="1" applyProtection="1">
      <alignment horizontal="center"/>
    </xf>
    <xf numFmtId="164" fontId="12" fillId="14" borderId="1" xfId="0" applyNumberFormat="1" applyFont="1" applyFill="1" applyBorder="1" applyAlignment="1" applyProtection="1">
      <alignment horizontal="center"/>
    </xf>
    <xf numFmtId="164" fontId="12" fillId="14" borderId="7" xfId="0" applyNumberFormat="1" applyFont="1" applyFill="1" applyBorder="1" applyAlignment="1" applyProtection="1">
      <alignment horizontal="center"/>
    </xf>
    <xf numFmtId="0" fontId="12" fillId="0" borderId="4" xfId="0" applyFont="1" applyBorder="1" applyAlignment="1" applyProtection="1">
      <alignment vertical="center"/>
    </xf>
    <xf numFmtId="0" fontId="11" fillId="0" borderId="2" xfId="0" applyFont="1" applyBorder="1" applyAlignment="1" applyProtection="1">
      <alignment vertical="center"/>
    </xf>
    <xf numFmtId="0" fontId="11" fillId="0" borderId="5" xfId="0" applyFont="1" applyBorder="1" applyAlignment="1" applyProtection="1">
      <alignment vertical="center"/>
    </xf>
    <xf numFmtId="10" fontId="5" fillId="14" borderId="12" xfId="0" applyNumberFormat="1" applyFont="1" applyFill="1" applyBorder="1" applyAlignment="1" applyProtection="1">
      <alignment horizontal="center"/>
    </xf>
    <xf numFmtId="10" fontId="5" fillId="14" borderId="28" xfId="0" applyNumberFormat="1" applyFont="1" applyFill="1" applyBorder="1" applyAlignment="1" applyProtection="1">
      <alignment horizontal="center" vertical="center"/>
    </xf>
    <xf numFmtId="10" fontId="5" fillId="14" borderId="13" xfId="0" applyNumberFormat="1" applyFont="1" applyFill="1" applyBorder="1" applyAlignment="1" applyProtection="1">
      <alignment horizontal="center" vertical="center"/>
    </xf>
    <xf numFmtId="10" fontId="5" fillId="14" borderId="26" xfId="0" applyNumberFormat="1" applyFont="1" applyFill="1" applyBorder="1" applyAlignment="1" applyProtection="1">
      <alignment horizontal="center" vertical="center"/>
    </xf>
    <xf numFmtId="10" fontId="5" fillId="14" borderId="12" xfId="0" applyNumberFormat="1" applyFont="1" applyFill="1" applyBorder="1" applyAlignment="1" applyProtection="1">
      <alignment horizontal="center" vertical="center"/>
    </xf>
    <xf numFmtId="10" fontId="5" fillId="14" borderId="0" xfId="0" applyNumberFormat="1" applyFont="1" applyFill="1" applyBorder="1" applyAlignment="1" applyProtection="1">
      <alignment horizontal="center" vertical="center"/>
    </xf>
    <xf numFmtId="10" fontId="5" fillId="14" borderId="27" xfId="0" applyNumberFormat="1" applyFont="1" applyFill="1" applyBorder="1" applyAlignment="1" applyProtection="1">
      <alignment horizontal="center" vertical="center"/>
    </xf>
    <xf numFmtId="10" fontId="5" fillId="14" borderId="6" xfId="0" applyNumberFormat="1" applyFont="1" applyFill="1" applyBorder="1" applyAlignment="1" applyProtection="1">
      <alignment horizontal="center"/>
    </xf>
    <xf numFmtId="10" fontId="5" fillId="14" borderId="1" xfId="0" applyNumberFormat="1" applyFont="1" applyFill="1" applyBorder="1" applyAlignment="1" applyProtection="1">
      <alignment horizontal="center"/>
    </xf>
    <xf numFmtId="10" fontId="5" fillId="14" borderId="7" xfId="0" applyNumberFormat="1" applyFont="1" applyFill="1" applyBorder="1" applyAlignment="1" applyProtection="1">
      <alignment horizontal="center"/>
    </xf>
    <xf numFmtId="164" fontId="12" fillId="15" borderId="6" xfId="1" applyNumberFormat="1" applyFont="1" applyFill="1" applyBorder="1" applyAlignment="1" applyProtection="1">
      <alignment horizontal="center"/>
    </xf>
    <xf numFmtId="164" fontId="12" fillId="15" borderId="4" xfId="1" applyNumberFormat="1" applyFont="1" applyFill="1" applyBorder="1" applyAlignment="1" applyProtection="1">
      <alignment horizontal="center"/>
    </xf>
    <xf numFmtId="164" fontId="12" fillId="15" borderId="2" xfId="1" applyNumberFormat="1" applyFont="1" applyFill="1" applyBorder="1" applyAlignment="1" applyProtection="1">
      <alignment horizontal="center"/>
    </xf>
    <xf numFmtId="164" fontId="12" fillId="15" borderId="5" xfId="1" applyNumberFormat="1" applyFont="1" applyFill="1" applyBorder="1" applyAlignment="1" applyProtection="1">
      <alignment horizontal="center"/>
    </xf>
    <xf numFmtId="164" fontId="12" fillId="14" borderId="6" xfId="1" applyNumberFormat="1" applyFont="1" applyFill="1" applyBorder="1" applyAlignment="1" applyProtection="1">
      <alignment horizontal="center"/>
    </xf>
    <xf numFmtId="164" fontId="12" fillId="14" borderId="4" xfId="1" applyNumberFormat="1" applyFont="1" applyFill="1" applyBorder="1" applyAlignment="1" applyProtection="1">
      <alignment horizontal="center"/>
    </xf>
    <xf numFmtId="164" fontId="12" fillId="14" borderId="2" xfId="1" applyNumberFormat="1" applyFont="1" applyFill="1" applyBorder="1" applyAlignment="1" applyProtection="1">
      <alignment horizontal="center"/>
    </xf>
    <xf numFmtId="164" fontId="12" fillId="14" borderId="5" xfId="1" applyNumberFormat="1" applyFont="1" applyFill="1" applyBorder="1" applyAlignment="1" applyProtection="1">
      <alignment horizontal="center"/>
    </xf>
    <xf numFmtId="0" fontId="21" fillId="0" borderId="0" xfId="0" applyFont="1" applyFill="1" applyAlignment="1" applyProtection="1">
      <alignment horizontal="center" wrapText="1"/>
    </xf>
    <xf numFmtId="0" fontId="11" fillId="0" borderId="0" xfId="0" applyFont="1" applyAlignment="1" applyProtection="1">
      <alignment horizontal="right" vertical="top"/>
    </xf>
    <xf numFmtId="174" fontId="11" fillId="0" borderId="0" xfId="0" applyNumberFormat="1" applyFont="1" applyFill="1" applyProtection="1"/>
    <xf numFmtId="0" fontId="12" fillId="0" borderId="0" xfId="0" applyFont="1" applyAlignment="1" applyProtection="1">
      <alignment horizontal="center" vertical="center"/>
    </xf>
    <xf numFmtId="0" fontId="12" fillId="0" borderId="0" xfId="0" applyFont="1" applyAlignment="1" applyProtection="1"/>
    <xf numFmtId="0" fontId="11" fillId="0" borderId="5" xfId="0" applyFont="1" applyBorder="1" applyProtection="1"/>
    <xf numFmtId="0" fontId="12" fillId="0" borderId="0" xfId="0" applyFont="1" applyFill="1" applyBorder="1" applyAlignment="1" applyProtection="1">
      <alignment vertical="center" wrapText="1"/>
    </xf>
    <xf numFmtId="0" fontId="11" fillId="0" borderId="2" xfId="0" applyFont="1" applyBorder="1" applyAlignment="1" applyProtection="1"/>
    <xf numFmtId="9" fontId="11" fillId="0" borderId="0" xfId="0" applyNumberFormat="1" applyFont="1" applyProtection="1"/>
    <xf numFmtId="0" fontId="18" fillId="0" borderId="2" xfId="0" applyFont="1" applyBorder="1" applyAlignment="1" applyProtection="1">
      <alignment vertical="center"/>
    </xf>
    <xf numFmtId="0" fontId="12" fillId="0" borderId="2" xfId="0" applyFont="1" applyBorder="1" applyAlignment="1" applyProtection="1"/>
    <xf numFmtId="0" fontId="12" fillId="0" borderId="5" xfId="0" applyFont="1" applyBorder="1" applyAlignment="1" applyProtection="1">
      <alignment vertical="center"/>
    </xf>
    <xf numFmtId="0" fontId="23" fillId="0" borderId="0" xfId="0" applyFont="1" applyProtection="1"/>
    <xf numFmtId="0" fontId="11" fillId="0" borderId="13" xfId="0" applyFont="1" applyBorder="1" applyProtection="1"/>
    <xf numFmtId="0" fontId="23" fillId="0" borderId="0" xfId="0" applyFont="1" applyAlignment="1" applyProtection="1">
      <alignment vertical="center"/>
    </xf>
    <xf numFmtId="5" fontId="5" fillId="0" borderId="0" xfId="0" applyNumberFormat="1" applyFont="1" applyAlignment="1" applyProtection="1">
      <alignment horizontal="center" vertical="center"/>
    </xf>
    <xf numFmtId="0" fontId="12" fillId="0" borderId="0" xfId="0" applyFont="1" applyBorder="1" applyAlignment="1" applyProtection="1">
      <alignment horizontal="center"/>
    </xf>
    <xf numFmtId="164" fontId="11" fillId="0" borderId="0" xfId="0" applyNumberFormat="1" applyFont="1" applyAlignment="1" applyProtection="1">
      <alignment horizontal="center"/>
    </xf>
    <xf numFmtId="0" fontId="12" fillId="0" borderId="3" xfId="0" applyFont="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1" fillId="0" borderId="0" xfId="0" applyFont="1" applyBorder="1" applyAlignment="1" applyProtection="1">
      <alignment horizontal="right"/>
    </xf>
    <xf numFmtId="10" fontId="11" fillId="14" borderId="3" xfId="1" applyNumberFormat="1" applyFont="1" applyFill="1" applyBorder="1" applyAlignment="1" applyProtection="1">
      <alignment horizontal="center" vertical="center"/>
    </xf>
    <xf numFmtId="10" fontId="12" fillId="14" borderId="3" xfId="1" applyNumberFormat="1" applyFont="1" applyFill="1" applyBorder="1" applyAlignment="1" applyProtection="1">
      <alignment horizontal="center" vertical="center"/>
    </xf>
    <xf numFmtId="10" fontId="11" fillId="0" borderId="0" xfId="1" applyNumberFormat="1" applyFont="1" applyProtection="1"/>
    <xf numFmtId="0" fontId="11" fillId="0" borderId="0" xfId="0" applyFont="1" applyAlignment="1" applyProtection="1"/>
    <xf numFmtId="0" fontId="11" fillId="0" borderId="5" xfId="0" applyFont="1" applyBorder="1" applyAlignment="1" applyProtection="1"/>
    <xf numFmtId="0" fontId="11" fillId="0" borderId="0" xfId="0" applyFont="1" applyBorder="1" applyAlignment="1" applyProtection="1">
      <alignment horizontal="right" vertical="center"/>
    </xf>
    <xf numFmtId="0" fontId="12" fillId="0" borderId="0" xfId="0" applyFont="1" applyBorder="1" applyAlignment="1" applyProtection="1">
      <alignment horizontal="center" vertical="center"/>
    </xf>
    <xf numFmtId="0" fontId="14" fillId="0" borderId="2" xfId="0" applyFont="1" applyBorder="1" applyProtection="1"/>
    <xf numFmtId="0" fontId="12" fillId="0" borderId="5" xfId="0" applyFont="1" applyBorder="1" applyProtection="1"/>
    <xf numFmtId="0" fontId="20" fillId="0" borderId="0" xfId="0" applyFont="1" applyAlignment="1" applyProtection="1">
      <alignment horizontal="right" vertical="center"/>
    </xf>
    <xf numFmtId="0" fontId="21" fillId="0" borderId="0" xfId="0" applyFont="1" applyFill="1" applyAlignment="1" applyProtection="1">
      <alignment horizontal="center" vertical="center" wrapText="1"/>
    </xf>
    <xf numFmtId="0" fontId="12" fillId="14" borderId="3" xfId="0" applyFont="1" applyFill="1" applyBorder="1" applyAlignment="1" applyProtection="1">
      <alignment horizontal="center" wrapText="1"/>
    </xf>
    <xf numFmtId="0" fontId="12" fillId="15" borderId="6" xfId="0" applyFont="1" applyFill="1" applyBorder="1" applyAlignment="1" applyProtection="1">
      <alignment horizontal="center" vertical="center" wrapText="1"/>
    </xf>
    <xf numFmtId="0" fontId="12" fillId="15" borderId="1" xfId="0" applyFont="1" applyFill="1" applyBorder="1" applyAlignment="1" applyProtection="1">
      <alignment horizontal="center" vertical="center" wrapText="1"/>
    </xf>
    <xf numFmtId="0" fontId="12" fillId="15" borderId="7" xfId="0" applyFont="1" applyFill="1" applyBorder="1" applyAlignment="1" applyProtection="1">
      <alignment horizontal="center" vertical="center" wrapText="1"/>
    </xf>
    <xf numFmtId="5" fontId="26" fillId="15" borderId="4" xfId="0" applyNumberFormat="1" applyFont="1" applyFill="1" applyBorder="1" applyAlignment="1" applyProtection="1">
      <alignment vertical="center"/>
    </xf>
    <xf numFmtId="0" fontId="26" fillId="15" borderId="2" xfId="0" applyFont="1" applyFill="1" applyBorder="1" applyAlignment="1" applyProtection="1">
      <alignment horizontal="center" vertical="center"/>
    </xf>
    <xf numFmtId="0" fontId="26" fillId="14" borderId="2" xfId="0" applyFont="1" applyFill="1" applyBorder="1" applyAlignment="1" applyProtection="1">
      <alignment horizontal="center" vertical="center"/>
    </xf>
    <xf numFmtId="0" fontId="11" fillId="0" borderId="13" xfId="0" applyFont="1" applyBorder="1" applyAlignment="1" applyProtection="1">
      <alignment vertical="center"/>
    </xf>
    <xf numFmtId="0" fontId="12" fillId="0" borderId="13" xfId="0" applyFont="1" applyBorder="1" applyAlignment="1" applyProtection="1">
      <alignment vertical="center"/>
    </xf>
    <xf numFmtId="0" fontId="14" fillId="0" borderId="13" xfId="0" applyFont="1" applyFill="1" applyBorder="1" applyAlignment="1" applyProtection="1">
      <alignment vertical="center"/>
    </xf>
    <xf numFmtId="0" fontId="11" fillId="0" borderId="13"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1" xfId="0" applyFont="1" applyFill="1" applyBorder="1" applyAlignment="1" applyProtection="1">
      <alignment vertical="center"/>
    </xf>
    <xf numFmtId="0" fontId="11" fillId="0" borderId="1" xfId="0" applyFont="1" applyBorder="1" applyAlignment="1" applyProtection="1">
      <alignment vertical="center"/>
    </xf>
    <xf numFmtId="0" fontId="11" fillId="0" borderId="1" xfId="0" applyFont="1" applyFill="1" applyBorder="1" applyAlignment="1" applyProtection="1">
      <alignment horizontal="center" vertical="center"/>
    </xf>
    <xf numFmtId="0" fontId="11" fillId="0" borderId="13" xfId="0" applyFont="1" applyFill="1" applyBorder="1" applyProtection="1"/>
    <xf numFmtId="0" fontId="11" fillId="0" borderId="0" xfId="0" applyFont="1" applyFill="1" applyBorder="1" applyAlignment="1" applyProtection="1"/>
    <xf numFmtId="0" fontId="11" fillId="0" borderId="12" xfId="0" applyFont="1" applyBorder="1" applyProtection="1"/>
    <xf numFmtId="0" fontId="11" fillId="0" borderId="6" xfId="0" applyFont="1" applyBorder="1" applyProtection="1"/>
    <xf numFmtId="0" fontId="11" fillId="0" borderId="1" xfId="0" applyFont="1" applyFill="1" applyBorder="1" applyAlignment="1" applyProtection="1"/>
    <xf numFmtId="0" fontId="11" fillId="0" borderId="1" xfId="0" applyFont="1" applyFill="1" applyBorder="1" applyAlignment="1" applyProtection="1">
      <alignment horizontal="center"/>
    </xf>
    <xf numFmtId="0" fontId="11" fillId="0" borderId="1" xfId="0" applyFont="1" applyFill="1" applyBorder="1" applyProtection="1"/>
    <xf numFmtId="0" fontId="14" fillId="0" borderId="0" xfId="0" applyFont="1" applyFill="1" applyBorder="1" applyAlignment="1" applyProtection="1">
      <alignment vertical="center"/>
    </xf>
    <xf numFmtId="0" fontId="20" fillId="0" borderId="13" xfId="0" applyFont="1" applyBorder="1" applyProtection="1"/>
    <xf numFmtId="0" fontId="12" fillId="0" borderId="28" xfId="0" applyFont="1" applyBorder="1" applyAlignment="1" applyProtection="1">
      <alignment horizontal="center"/>
    </xf>
    <xf numFmtId="0" fontId="12" fillId="0" borderId="26" xfId="0" applyFont="1" applyBorder="1" applyAlignment="1" applyProtection="1">
      <alignment horizontal="center"/>
    </xf>
    <xf numFmtId="9" fontId="18" fillId="0" borderId="26" xfId="0" applyNumberFormat="1" applyFont="1" applyFill="1" applyBorder="1" applyAlignment="1" applyProtection="1">
      <alignment horizontal="center"/>
    </xf>
    <xf numFmtId="0" fontId="11" fillId="0" borderId="26" xfId="0" applyFont="1" applyBorder="1" applyProtection="1"/>
    <xf numFmtId="0" fontId="11" fillId="0" borderId="1" xfId="0" applyFont="1" applyBorder="1" applyAlignment="1" applyProtection="1">
      <alignment horizontal="center"/>
    </xf>
    <xf numFmtId="9" fontId="18" fillId="0" borderId="7" xfId="0" applyNumberFormat="1" applyFont="1" applyFill="1" applyBorder="1" applyAlignment="1" applyProtection="1">
      <alignment horizontal="center"/>
    </xf>
    <xf numFmtId="0" fontId="11" fillId="0" borderId="13" xfId="0" applyFont="1" applyBorder="1" applyAlignment="1" applyProtection="1">
      <alignment horizontal="center"/>
    </xf>
    <xf numFmtId="9" fontId="25" fillId="0" borderId="12" xfId="0" applyNumberFormat="1" applyFont="1" applyFill="1" applyBorder="1" applyAlignment="1" applyProtection="1">
      <alignment horizontal="center"/>
    </xf>
    <xf numFmtId="9" fontId="25" fillId="0" borderId="27" xfId="0" applyNumberFormat="1" applyFont="1" applyFill="1" applyBorder="1" applyAlignment="1" applyProtection="1">
      <alignment horizontal="center"/>
    </xf>
    <xf numFmtId="0" fontId="11" fillId="0" borderId="28" xfId="0" applyFont="1" applyBorder="1" applyProtection="1"/>
    <xf numFmtId="166" fontId="18" fillId="0" borderId="0" xfId="0" applyNumberFormat="1" applyFont="1" applyBorder="1" applyAlignment="1" applyProtection="1">
      <alignment horizontal="left"/>
    </xf>
    <xf numFmtId="0" fontId="11" fillId="0" borderId="0" xfId="0" applyFont="1" applyAlignment="1" applyProtection="1">
      <alignment horizontal="left"/>
    </xf>
    <xf numFmtId="166" fontId="18" fillId="0" borderId="1" xfId="0" applyNumberFormat="1" applyFont="1" applyBorder="1" applyAlignment="1" applyProtection="1">
      <alignment horizontal="center"/>
    </xf>
    <xf numFmtId="166" fontId="18" fillId="0" borderId="0" xfId="0" applyNumberFormat="1" applyFont="1" applyAlignment="1" applyProtection="1">
      <alignment horizontal="center"/>
    </xf>
    <xf numFmtId="166" fontId="18" fillId="0" borderId="0" xfId="0" applyNumberFormat="1" applyFont="1" applyBorder="1" applyAlignment="1" applyProtection="1">
      <alignment horizontal="center"/>
    </xf>
    <xf numFmtId="9" fontId="18" fillId="0" borderId="0" xfId="1" applyNumberFormat="1" applyFont="1" applyProtection="1"/>
    <xf numFmtId="37" fontId="18" fillId="0" borderId="0" xfId="2" applyNumberFormat="1" applyFont="1" applyAlignment="1" applyProtection="1">
      <alignment horizontal="center"/>
    </xf>
    <xf numFmtId="9" fontId="11" fillId="0" borderId="0" xfId="1" applyFont="1" applyAlignment="1" applyProtection="1">
      <alignment horizontal="center"/>
    </xf>
    <xf numFmtId="9" fontId="18" fillId="0" borderId="0" xfId="0" applyNumberFormat="1" applyFont="1" applyAlignment="1" applyProtection="1">
      <alignment horizontal="center"/>
    </xf>
    <xf numFmtId="0" fontId="11" fillId="14" borderId="12" xfId="0" applyFont="1" applyFill="1" applyBorder="1" applyAlignment="1" applyProtection="1">
      <alignment horizontal="center"/>
    </xf>
    <xf numFmtId="0" fontId="11" fillId="14" borderId="0" xfId="0" applyFont="1" applyFill="1" applyBorder="1" applyAlignment="1" applyProtection="1">
      <alignment horizontal="center"/>
    </xf>
    <xf numFmtId="0" fontId="11" fillId="14" borderId="27" xfId="0" applyFont="1" applyFill="1" applyBorder="1" applyAlignment="1" applyProtection="1">
      <alignment horizontal="center"/>
    </xf>
    <xf numFmtId="0" fontId="11" fillId="0" borderId="0" xfId="0" applyFont="1" applyFill="1" applyAlignment="1" applyProtection="1">
      <alignment horizontal="center"/>
    </xf>
    <xf numFmtId="0" fontId="20" fillId="0" borderId="0" xfId="0" applyFont="1" applyFill="1" applyAlignment="1" applyProtection="1">
      <alignment horizontal="right"/>
    </xf>
    <xf numFmtId="164" fontId="18" fillId="15" borderId="6" xfId="0" applyNumberFormat="1" applyFont="1" applyFill="1" applyBorder="1" applyAlignment="1" applyProtection="1">
      <alignment horizontal="center"/>
      <protection locked="0"/>
    </xf>
    <xf numFmtId="164" fontId="18" fillId="15" borderId="1" xfId="0" applyNumberFormat="1" applyFont="1" applyFill="1" applyBorder="1" applyAlignment="1" applyProtection="1">
      <alignment horizontal="center"/>
      <protection locked="0"/>
    </xf>
    <xf numFmtId="164" fontId="18" fillId="15" borderId="7" xfId="0" applyNumberFormat="1" applyFont="1" applyFill="1" applyBorder="1" applyAlignment="1" applyProtection="1">
      <alignment horizontal="center"/>
      <protection locked="0"/>
    </xf>
    <xf numFmtId="10" fontId="18" fillId="15" borderId="12" xfId="0" applyNumberFormat="1" applyFont="1" applyFill="1" applyBorder="1" applyAlignment="1" applyProtection="1">
      <alignment horizontal="center"/>
      <protection locked="0"/>
    </xf>
    <xf numFmtId="10" fontId="18" fillId="15" borderId="13" xfId="0" applyNumberFormat="1" applyFont="1" applyFill="1" applyBorder="1" applyAlignment="1" applyProtection="1">
      <alignment horizontal="center"/>
      <protection locked="0"/>
    </xf>
    <xf numFmtId="10" fontId="18" fillId="15" borderId="27" xfId="0" applyNumberFormat="1" applyFont="1" applyFill="1" applyBorder="1" applyAlignment="1" applyProtection="1">
      <alignment horizontal="center"/>
      <protection locked="0"/>
    </xf>
    <xf numFmtId="10" fontId="25" fillId="15" borderId="12" xfId="0" applyNumberFormat="1" applyFont="1" applyFill="1" applyBorder="1" applyAlignment="1" applyProtection="1">
      <alignment horizontal="center"/>
      <protection locked="0"/>
    </xf>
    <xf numFmtId="10" fontId="25" fillId="15" borderId="0" xfId="0" applyNumberFormat="1" applyFont="1" applyFill="1" applyBorder="1" applyAlignment="1" applyProtection="1">
      <alignment horizontal="center"/>
      <protection locked="0"/>
    </xf>
    <xf numFmtId="10" fontId="25" fillId="15" borderId="27" xfId="0" applyNumberFormat="1" applyFont="1" applyFill="1" applyBorder="1" applyAlignment="1" applyProtection="1">
      <alignment horizontal="center"/>
      <protection locked="0"/>
    </xf>
    <xf numFmtId="10" fontId="18" fillId="15" borderId="0" xfId="0" applyNumberFormat="1" applyFont="1" applyFill="1" applyBorder="1" applyAlignment="1" applyProtection="1">
      <alignment horizontal="center"/>
      <protection locked="0"/>
    </xf>
    <xf numFmtId="10" fontId="18" fillId="15" borderId="6" xfId="0" applyNumberFormat="1" applyFont="1" applyFill="1" applyBorder="1" applyAlignment="1" applyProtection="1">
      <alignment horizontal="center"/>
      <protection locked="0"/>
    </xf>
    <xf numFmtId="10" fontId="18" fillId="15" borderId="7" xfId="0" applyNumberFormat="1" applyFont="1" applyFill="1" applyBorder="1" applyAlignment="1" applyProtection="1">
      <alignment horizontal="center"/>
      <protection locked="0"/>
    </xf>
    <xf numFmtId="0" fontId="18" fillId="14" borderId="2" xfId="0" applyFont="1" applyFill="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15" borderId="2" xfId="0" applyFont="1" applyFill="1" applyBorder="1" applyAlignment="1" applyProtection="1">
      <alignment horizontal="center" vertical="center"/>
      <protection locked="0"/>
    </xf>
    <xf numFmtId="9" fontId="18" fillId="14" borderId="3" xfId="0" applyNumberFormat="1" applyFont="1" applyFill="1" applyBorder="1" applyAlignment="1" applyProtection="1">
      <alignment horizontal="center" vertical="center"/>
      <protection locked="0"/>
    </xf>
    <xf numFmtId="9" fontId="18" fillId="14" borderId="5" xfId="1" applyFont="1" applyFill="1" applyBorder="1" applyAlignment="1" applyProtection="1">
      <alignment horizontal="center" vertical="center"/>
      <protection locked="0"/>
    </xf>
    <xf numFmtId="9" fontId="18" fillId="14" borderId="3" xfId="1" applyFont="1" applyFill="1" applyBorder="1" applyAlignment="1" applyProtection="1">
      <alignment horizontal="center" vertical="center"/>
      <protection locked="0"/>
    </xf>
    <xf numFmtId="0" fontId="12" fillId="0" borderId="3" xfId="0" applyFont="1" applyBorder="1" applyAlignment="1" applyProtection="1">
      <alignment horizontal="center" vertical="top"/>
    </xf>
    <xf numFmtId="0" fontId="12" fillId="2" borderId="3" xfId="0" applyFont="1" applyFill="1" applyBorder="1" applyAlignment="1" applyProtection="1">
      <alignment horizontal="center" vertical="top" wrapText="1"/>
    </xf>
    <xf numFmtId="0" fontId="12" fillId="6" borderId="3" xfId="0" applyFont="1" applyFill="1" applyBorder="1" applyAlignment="1" applyProtection="1">
      <alignment horizontal="center" vertical="top" wrapText="1"/>
    </xf>
    <xf numFmtId="0" fontId="12" fillId="7" borderId="3" xfId="0" applyFont="1" applyFill="1" applyBorder="1" applyAlignment="1" applyProtection="1">
      <alignment horizontal="center" vertical="top" wrapText="1"/>
    </xf>
    <xf numFmtId="0" fontId="12" fillId="8" borderId="3" xfId="0" applyFont="1" applyFill="1" applyBorder="1" applyAlignment="1" applyProtection="1">
      <alignment horizontal="center" vertical="top" wrapText="1"/>
    </xf>
    <xf numFmtId="0" fontId="12" fillId="9" borderId="3" xfId="0" applyFont="1" applyFill="1" applyBorder="1" applyAlignment="1" applyProtection="1">
      <alignment horizontal="center" vertical="top" wrapText="1"/>
    </xf>
    <xf numFmtId="0" fontId="12" fillId="5" borderId="3" xfId="0" applyFont="1" applyFill="1" applyBorder="1" applyAlignment="1" applyProtection="1">
      <alignment horizontal="center" vertical="top" wrapText="1"/>
    </xf>
    <xf numFmtId="0" fontId="11" fillId="0" borderId="25" xfId="0" applyFont="1" applyBorder="1" applyAlignment="1" applyProtection="1">
      <alignment vertical="top"/>
    </xf>
    <xf numFmtId="2" fontId="11" fillId="2" borderId="25" xfId="0" applyNumberFormat="1" applyFont="1" applyFill="1" applyBorder="1" applyAlignment="1" applyProtection="1">
      <alignment vertical="top"/>
    </xf>
    <xf numFmtId="2" fontId="11" fillId="6" borderId="25" xfId="0" applyNumberFormat="1" applyFont="1" applyFill="1" applyBorder="1" applyAlignment="1" applyProtection="1">
      <alignment vertical="top"/>
    </xf>
    <xf numFmtId="2" fontId="11" fillId="7" borderId="25" xfId="0" applyNumberFormat="1" applyFont="1" applyFill="1" applyBorder="1" applyAlignment="1" applyProtection="1">
      <alignment vertical="top"/>
    </xf>
    <xf numFmtId="2" fontId="11" fillId="8" borderId="25" xfId="0" applyNumberFormat="1" applyFont="1" applyFill="1" applyBorder="1" applyAlignment="1" applyProtection="1">
      <alignment vertical="top"/>
    </xf>
    <xf numFmtId="2" fontId="11" fillId="9" borderId="25" xfId="0" applyNumberFormat="1" applyFont="1" applyFill="1" applyBorder="1" applyAlignment="1" applyProtection="1">
      <alignment vertical="top"/>
    </xf>
    <xf numFmtId="2" fontId="11" fillId="5" borderId="27" xfId="0" applyNumberFormat="1" applyFont="1" applyFill="1" applyBorder="1" applyAlignment="1" applyProtection="1">
      <alignment vertical="top"/>
    </xf>
    <xf numFmtId="2" fontId="11" fillId="5" borderId="25" xfId="0" applyNumberFormat="1" applyFont="1" applyFill="1" applyBorder="1" applyAlignment="1" applyProtection="1">
      <alignment vertical="top"/>
    </xf>
    <xf numFmtId="0" fontId="11" fillId="0" borderId="23" xfId="0" applyFont="1" applyBorder="1" applyAlignment="1" applyProtection="1">
      <alignment vertical="top"/>
    </xf>
    <xf numFmtId="2" fontId="11" fillId="2" borderId="23" xfId="0" applyNumberFormat="1" applyFont="1" applyFill="1" applyBorder="1" applyAlignment="1" applyProtection="1">
      <alignment vertical="top"/>
    </xf>
    <xf numFmtId="2" fontId="11" fillId="6" borderId="23" xfId="0" applyNumberFormat="1" applyFont="1" applyFill="1" applyBorder="1" applyAlignment="1" applyProtection="1">
      <alignment vertical="top"/>
    </xf>
    <xf numFmtId="2" fontId="11" fillId="7" borderId="23" xfId="0" applyNumberFormat="1" applyFont="1" applyFill="1" applyBorder="1" applyAlignment="1" applyProtection="1">
      <alignment vertical="top"/>
    </xf>
    <xf numFmtId="2" fontId="11" fillId="8" borderId="23" xfId="0" applyNumberFormat="1" applyFont="1" applyFill="1" applyBorder="1" applyAlignment="1" applyProtection="1">
      <alignment vertical="top"/>
    </xf>
    <xf numFmtId="2" fontId="11" fillId="9" borderId="23" xfId="0" applyNumberFormat="1" applyFont="1" applyFill="1" applyBorder="1" applyAlignment="1" applyProtection="1">
      <alignment vertical="top"/>
    </xf>
    <xf numFmtId="2" fontId="11" fillId="5" borderId="23" xfId="0" applyNumberFormat="1" applyFont="1" applyFill="1" applyBorder="1" applyAlignment="1" applyProtection="1">
      <alignment vertical="top"/>
    </xf>
    <xf numFmtId="0" fontId="12" fillId="0" borderId="23" xfId="0" applyFont="1" applyBorder="1" applyAlignment="1" applyProtection="1">
      <alignment horizontal="center" vertical="top"/>
    </xf>
    <xf numFmtId="2" fontId="11" fillId="2" borderId="23" xfId="0" applyNumberFormat="1" applyFont="1" applyFill="1" applyBorder="1" applyAlignment="1" applyProtection="1">
      <alignment horizontal="center" vertical="top"/>
    </xf>
    <xf numFmtId="2" fontId="11" fillId="6" borderId="23" xfId="0" applyNumberFormat="1" applyFont="1" applyFill="1" applyBorder="1" applyAlignment="1" applyProtection="1">
      <alignment horizontal="center" vertical="top"/>
    </xf>
    <xf numFmtId="2" fontId="11" fillId="7" borderId="23" xfId="0" applyNumberFormat="1" applyFont="1" applyFill="1" applyBorder="1" applyAlignment="1" applyProtection="1">
      <alignment horizontal="center" vertical="top"/>
    </xf>
    <xf numFmtId="2" fontId="11" fillId="8" borderId="23" xfId="0" applyNumberFormat="1" applyFont="1" applyFill="1" applyBorder="1" applyAlignment="1" applyProtection="1">
      <alignment horizontal="center" vertical="top"/>
    </xf>
    <xf numFmtId="2" fontId="11" fillId="9" borderId="23" xfId="0" applyNumberFormat="1" applyFont="1" applyFill="1" applyBorder="1" applyAlignment="1" applyProtection="1">
      <alignment horizontal="center" vertical="top"/>
    </xf>
    <xf numFmtId="2" fontId="11" fillId="5" borderId="27" xfId="0" applyNumberFormat="1" applyFont="1" applyFill="1" applyBorder="1" applyAlignment="1" applyProtection="1">
      <alignment horizontal="center" vertical="top"/>
    </xf>
    <xf numFmtId="2" fontId="11" fillId="5" borderId="23" xfId="0" applyNumberFormat="1" applyFont="1" applyFill="1" applyBorder="1" applyAlignment="1" applyProtection="1">
      <alignment horizontal="center" vertical="top"/>
    </xf>
    <xf numFmtId="0" fontId="12" fillId="0" borderId="23" xfId="0" applyFont="1" applyBorder="1" applyAlignment="1" applyProtection="1">
      <alignment horizontal="center"/>
    </xf>
    <xf numFmtId="0" fontId="11" fillId="6" borderId="23" xfId="0" applyFont="1" applyFill="1" applyBorder="1" applyAlignment="1" applyProtection="1">
      <alignment horizontal="center"/>
    </xf>
    <xf numFmtId="0" fontId="11" fillId="7" borderId="23" xfId="0" applyFont="1" applyFill="1" applyBorder="1" applyAlignment="1" applyProtection="1">
      <alignment horizontal="center"/>
    </xf>
    <xf numFmtId="0" fontId="11" fillId="8" borderId="23" xfId="0" applyFont="1" applyFill="1" applyBorder="1" applyAlignment="1" applyProtection="1">
      <alignment horizontal="center"/>
    </xf>
    <xf numFmtId="0" fontId="11" fillId="9" borderId="23" xfId="0" applyFont="1" applyFill="1" applyBorder="1" applyAlignment="1" applyProtection="1">
      <alignment horizontal="center"/>
    </xf>
    <xf numFmtId="0" fontId="11" fillId="5" borderId="27" xfId="0" applyFont="1" applyFill="1" applyBorder="1" applyAlignment="1" applyProtection="1">
      <alignment horizontal="center"/>
    </xf>
    <xf numFmtId="0" fontId="12" fillId="0" borderId="24" xfId="0" applyFont="1" applyBorder="1" applyAlignment="1" applyProtection="1">
      <alignment horizontal="center" vertical="top"/>
    </xf>
    <xf numFmtId="0" fontId="12" fillId="0" borderId="24" xfId="0" applyFont="1" applyBorder="1" applyAlignment="1" applyProtection="1">
      <alignment horizontal="center"/>
    </xf>
    <xf numFmtId="0" fontId="11" fillId="2" borderId="24" xfId="0" applyFont="1" applyFill="1" applyBorder="1" applyAlignment="1" applyProtection="1">
      <alignment horizontal="center"/>
    </xf>
    <xf numFmtId="0" fontId="11" fillId="6" borderId="24" xfId="0" applyFont="1" applyFill="1" applyBorder="1" applyAlignment="1" applyProtection="1">
      <alignment horizontal="center"/>
    </xf>
    <xf numFmtId="0" fontId="11" fillId="7" borderId="24" xfId="0" applyFont="1" applyFill="1" applyBorder="1" applyAlignment="1" applyProtection="1">
      <alignment horizontal="center"/>
    </xf>
    <xf numFmtId="0" fontId="11" fillId="8" borderId="24" xfId="0" applyFont="1" applyFill="1" applyBorder="1" applyAlignment="1" applyProtection="1">
      <alignment horizontal="center"/>
    </xf>
    <xf numFmtId="0" fontId="11" fillId="9" borderId="24" xfId="0" applyFont="1" applyFill="1" applyBorder="1" applyAlignment="1" applyProtection="1">
      <alignment horizontal="center"/>
    </xf>
    <xf numFmtId="0" fontId="11" fillId="5" borderId="7" xfId="0" applyFont="1" applyFill="1" applyBorder="1" applyAlignment="1" applyProtection="1">
      <alignment horizontal="center"/>
    </xf>
    <xf numFmtId="0" fontId="11" fillId="5" borderId="24" xfId="0" applyFont="1" applyFill="1" applyBorder="1" applyAlignment="1" applyProtection="1">
      <alignment horizontal="center"/>
    </xf>
    <xf numFmtId="0" fontId="12" fillId="0" borderId="25" xfId="0" applyFont="1" applyBorder="1" applyAlignment="1" applyProtection="1">
      <alignment horizontal="center"/>
    </xf>
    <xf numFmtId="0" fontId="12" fillId="0" borderId="25" xfId="0" applyFont="1" applyBorder="1" applyProtection="1"/>
    <xf numFmtId="0" fontId="12" fillId="0" borderId="23" xfId="0" applyFont="1" applyBorder="1" applyProtection="1"/>
    <xf numFmtId="0" fontId="12" fillId="0" borderId="24" xfId="0" applyFont="1" applyBorder="1" applyProtection="1"/>
    <xf numFmtId="0" fontId="11" fillId="0" borderId="25" xfId="0" applyFont="1" applyBorder="1" applyAlignment="1" applyProtection="1">
      <alignment horizontal="center"/>
    </xf>
    <xf numFmtId="0" fontId="11" fillId="0" borderId="23" xfId="0" applyFont="1" applyBorder="1" applyAlignment="1" applyProtection="1">
      <alignment horizontal="center"/>
    </xf>
    <xf numFmtId="0" fontId="11" fillId="0" borderId="24" xfId="0" applyFont="1" applyBorder="1" applyAlignment="1" applyProtection="1">
      <alignment horizontal="center"/>
    </xf>
    <xf numFmtId="2" fontId="18" fillId="2" borderId="23" xfId="0" applyNumberFormat="1" applyFont="1" applyFill="1" applyBorder="1" applyAlignment="1" applyProtection="1">
      <alignment vertical="top"/>
      <protection locked="0"/>
    </xf>
    <xf numFmtId="2" fontId="18" fillId="6" borderId="23" xfId="0" applyNumberFormat="1" applyFont="1" applyFill="1" applyBorder="1" applyAlignment="1" applyProtection="1">
      <alignment vertical="top"/>
      <protection locked="0"/>
    </xf>
    <xf numFmtId="2" fontId="18" fillId="7" borderId="23" xfId="0" applyNumberFormat="1" applyFont="1" applyFill="1" applyBorder="1" applyAlignment="1" applyProtection="1">
      <alignment vertical="top"/>
      <protection locked="0"/>
    </xf>
    <xf numFmtId="2" fontId="18" fillId="8" borderId="23" xfId="0" applyNumberFormat="1" applyFont="1" applyFill="1" applyBorder="1" applyAlignment="1" applyProtection="1">
      <alignment vertical="top"/>
      <protection locked="0"/>
    </xf>
    <xf numFmtId="2" fontId="18" fillId="9" borderId="23" xfId="0" applyNumberFormat="1" applyFont="1" applyFill="1" applyBorder="1" applyAlignment="1" applyProtection="1">
      <alignment vertical="top"/>
      <protection locked="0"/>
    </xf>
    <xf numFmtId="2" fontId="18" fillId="5" borderId="27" xfId="0" applyNumberFormat="1" applyFont="1" applyFill="1" applyBorder="1" applyAlignment="1" applyProtection="1">
      <alignment vertical="top"/>
      <protection locked="0"/>
    </xf>
    <xf numFmtId="0" fontId="18" fillId="2" borderId="23" xfId="0" applyFont="1" applyFill="1" applyBorder="1" applyProtection="1">
      <protection locked="0"/>
    </xf>
    <xf numFmtId="0" fontId="18" fillId="6" borderId="23" xfId="0" applyFont="1" applyFill="1" applyBorder="1" applyProtection="1">
      <protection locked="0"/>
    </xf>
    <xf numFmtId="0" fontId="18" fillId="7" borderId="23" xfId="0" applyFont="1" applyFill="1" applyBorder="1" applyProtection="1">
      <protection locked="0"/>
    </xf>
    <xf numFmtId="0" fontId="18" fillId="8" borderId="23" xfId="0" applyFont="1" applyFill="1" applyBorder="1" applyProtection="1">
      <protection locked="0"/>
    </xf>
    <xf numFmtId="0" fontId="18" fillId="9" borderId="23" xfId="0" applyFont="1" applyFill="1" applyBorder="1" applyProtection="1">
      <protection locked="0"/>
    </xf>
    <xf numFmtId="0" fontId="18" fillId="5" borderId="27" xfId="0" applyFont="1" applyFill="1" applyBorder="1" applyProtection="1">
      <protection locked="0"/>
    </xf>
    <xf numFmtId="0" fontId="18" fillId="2" borderId="24" xfId="0" applyFont="1" applyFill="1" applyBorder="1" applyProtection="1">
      <protection locked="0"/>
    </xf>
    <xf numFmtId="0" fontId="18" fillId="6" borderId="24" xfId="0" applyFont="1" applyFill="1" applyBorder="1" applyProtection="1">
      <protection locked="0"/>
    </xf>
    <xf numFmtId="0" fontId="18" fillId="7" borderId="24" xfId="0" applyFont="1" applyFill="1" applyBorder="1" applyProtection="1">
      <protection locked="0"/>
    </xf>
    <xf numFmtId="0" fontId="18" fillId="8" borderId="24" xfId="0" applyFont="1" applyFill="1" applyBorder="1" applyProtection="1">
      <protection locked="0"/>
    </xf>
    <xf numFmtId="0" fontId="18" fillId="9" borderId="24" xfId="0" applyFont="1" applyFill="1" applyBorder="1" applyProtection="1">
      <protection locked="0"/>
    </xf>
    <xf numFmtId="0" fontId="18" fillId="5" borderId="7" xfId="0" applyFont="1" applyFill="1" applyBorder="1" applyProtection="1">
      <protection locked="0"/>
    </xf>
    <xf numFmtId="0" fontId="12" fillId="14" borderId="29" xfId="0" applyFont="1" applyFill="1" applyBorder="1" applyAlignment="1">
      <alignment horizontal="center"/>
    </xf>
    <xf numFmtId="169" fontId="11" fillId="14" borderId="18" xfId="2" applyNumberFormat="1" applyFont="1" applyFill="1" applyBorder="1"/>
    <xf numFmtId="0" fontId="11" fillId="14" borderId="29" xfId="0" applyFont="1" applyFill="1" applyBorder="1" applyAlignment="1">
      <alignment horizontal="center"/>
    </xf>
    <xf numFmtId="0" fontId="12" fillId="0" borderId="0" xfId="0" applyFont="1" applyBorder="1" applyAlignment="1">
      <alignment horizontal="left"/>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1" fillId="0" borderId="0" xfId="0" applyFont="1" applyFill="1" applyBorder="1" applyAlignment="1">
      <alignment horizontal="center"/>
    </xf>
    <xf numFmtId="175" fontId="18" fillId="2" borderId="23" xfId="0" applyNumberFormat="1" applyFont="1" applyFill="1" applyBorder="1" applyAlignment="1" applyProtection="1">
      <alignment horizontal="center"/>
      <protection locked="0"/>
    </xf>
    <xf numFmtId="177" fontId="25" fillId="2" borderId="23" xfId="0" applyNumberFormat="1" applyFont="1" applyFill="1" applyBorder="1" applyAlignment="1" applyProtection="1">
      <alignment horizontal="center"/>
      <protection locked="0"/>
    </xf>
    <xf numFmtId="181" fontId="12" fillId="15" borderId="12" xfId="0" applyNumberFormat="1" applyFont="1" applyFill="1" applyBorder="1" applyAlignment="1">
      <alignment horizontal="center" vertical="center"/>
    </xf>
    <xf numFmtId="181" fontId="12" fillId="15" borderId="27" xfId="0" applyNumberFormat="1" applyFont="1" applyFill="1" applyBorder="1" applyAlignment="1">
      <alignment horizontal="center" vertical="center"/>
    </xf>
    <xf numFmtId="181" fontId="12" fillId="14" borderId="12" xfId="0" applyNumberFormat="1" applyFont="1" applyFill="1" applyBorder="1" applyAlignment="1">
      <alignment horizontal="center" vertical="center"/>
    </xf>
    <xf numFmtId="181" fontId="12" fillId="14" borderId="27" xfId="0" applyNumberFormat="1" applyFont="1" applyFill="1" applyBorder="1" applyAlignment="1">
      <alignment horizontal="center" vertical="center"/>
    </xf>
    <xf numFmtId="178" fontId="12" fillId="2" borderId="23" xfId="0" applyNumberFormat="1" applyFont="1" applyFill="1" applyBorder="1" applyAlignment="1">
      <alignment horizontal="center"/>
    </xf>
    <xf numFmtId="178" fontId="12" fillId="3" borderId="23" xfId="3" applyNumberFormat="1" applyFont="1" applyFill="1" applyBorder="1" applyAlignment="1">
      <alignment horizontal="center"/>
    </xf>
    <xf numFmtId="185" fontId="18" fillId="15" borderId="4" xfId="0" applyNumberFormat="1" applyFont="1" applyFill="1" applyBorder="1" applyAlignment="1" applyProtection="1">
      <alignment vertical="center"/>
      <protection locked="0"/>
    </xf>
    <xf numFmtId="185" fontId="11" fillId="15" borderId="5" xfId="0" applyNumberFormat="1" applyFont="1" applyFill="1" applyBorder="1" applyAlignment="1" applyProtection="1">
      <alignment vertical="center"/>
    </xf>
    <xf numFmtId="185" fontId="26" fillId="15" borderId="5" xfId="0" applyNumberFormat="1" applyFont="1" applyFill="1" applyBorder="1" applyAlignment="1" applyProtection="1">
      <alignment vertical="center"/>
    </xf>
    <xf numFmtId="185" fontId="26" fillId="15" borderId="4" xfId="0" applyNumberFormat="1" applyFont="1" applyFill="1" applyBorder="1" applyAlignment="1" applyProtection="1">
      <alignment vertical="center"/>
    </xf>
    <xf numFmtId="185" fontId="18" fillId="14" borderId="4" xfId="0" applyNumberFormat="1" applyFont="1" applyFill="1" applyBorder="1" applyAlignment="1" applyProtection="1">
      <alignment vertical="center"/>
      <protection locked="0"/>
    </xf>
    <xf numFmtId="185" fontId="26" fillId="14" borderId="4" xfId="0" applyNumberFormat="1" applyFont="1" applyFill="1" applyBorder="1" applyAlignment="1" applyProtection="1">
      <alignment vertical="center"/>
    </xf>
    <xf numFmtId="185" fontId="11" fillId="14" borderId="5" xfId="0" applyNumberFormat="1" applyFont="1" applyFill="1" applyBorder="1" applyAlignment="1" applyProtection="1">
      <alignment vertical="center"/>
    </xf>
    <xf numFmtId="185" fontId="26" fillId="14" borderId="5" xfId="0" applyNumberFormat="1" applyFont="1" applyFill="1" applyBorder="1" applyAlignment="1" applyProtection="1">
      <alignment vertical="center"/>
    </xf>
    <xf numFmtId="10" fontId="12" fillId="14" borderId="5" xfId="1" applyNumberFormat="1" applyFont="1" applyFill="1" applyBorder="1" applyAlignment="1" applyProtection="1">
      <alignment horizontal="center" vertical="center"/>
    </xf>
    <xf numFmtId="10" fontId="11" fillId="14" borderId="5" xfId="1" applyNumberFormat="1" applyFont="1" applyFill="1" applyBorder="1" applyAlignment="1" applyProtection="1">
      <alignment horizontal="center" vertical="center"/>
    </xf>
    <xf numFmtId="0" fontId="35" fillId="0" borderId="0" xfId="143" applyFont="1" applyFill="1" applyBorder="1"/>
    <xf numFmtId="0" fontId="11" fillId="0" borderId="0" xfId="0" applyFont="1" applyFill="1" applyBorder="1" applyAlignment="1">
      <alignment horizontal="center" vertical="center"/>
    </xf>
    <xf numFmtId="5" fontId="11" fillId="14" borderId="12" xfId="0" applyNumberFormat="1" applyFont="1" applyFill="1" applyBorder="1" applyAlignment="1">
      <alignment horizontal="center"/>
    </xf>
    <xf numFmtId="5" fontId="11" fillId="14" borderId="27" xfId="0" applyNumberFormat="1" applyFont="1" applyFill="1" applyBorder="1" applyAlignment="1">
      <alignment horizontal="center"/>
    </xf>
    <xf numFmtId="0" fontId="11" fillId="14" borderId="12" xfId="0" applyFont="1" applyFill="1" applyBorder="1" applyAlignment="1">
      <alignment horizontal="center"/>
    </xf>
    <xf numFmtId="0" fontId="11" fillId="14" borderId="27" xfId="0" applyFont="1" applyFill="1" applyBorder="1" applyAlignment="1">
      <alignment horizontal="center"/>
    </xf>
    <xf numFmtId="0" fontId="11" fillId="15" borderId="12" xfId="0" applyFont="1" applyFill="1" applyBorder="1" applyAlignment="1">
      <alignment horizontal="center" vertical="center"/>
    </xf>
    <xf numFmtId="0" fontId="11" fillId="15" borderId="27" xfId="0" applyFont="1" applyFill="1" applyBorder="1" applyAlignment="1">
      <alignment horizontal="center" vertical="center"/>
    </xf>
    <xf numFmtId="0" fontId="12" fillId="0" borderId="0" xfId="0" applyFont="1" applyFill="1" applyBorder="1" applyAlignment="1">
      <alignment horizontal="center" vertical="center"/>
    </xf>
    <xf numFmtId="0" fontId="12" fillId="15" borderId="12" xfId="0" applyFont="1" applyFill="1" applyBorder="1" applyAlignment="1">
      <alignment horizontal="center" vertical="center"/>
    </xf>
    <xf numFmtId="0" fontId="12" fillId="15" borderId="27" xfId="0" applyFont="1" applyFill="1" applyBorder="1" applyAlignment="1">
      <alignment horizontal="center" vertical="center"/>
    </xf>
    <xf numFmtId="0" fontId="11" fillId="0" borderId="0" xfId="0" applyFont="1" applyAlignment="1" applyProtection="1"/>
    <xf numFmtId="0" fontId="12" fillId="15" borderId="4" xfId="0" applyFont="1" applyFill="1" applyBorder="1" applyAlignment="1" applyProtection="1">
      <alignment horizontal="center" vertical="center" wrapText="1"/>
    </xf>
    <xf numFmtId="0" fontId="12" fillId="14" borderId="4" xfId="0" applyFont="1" applyFill="1" applyBorder="1" applyAlignment="1" applyProtection="1">
      <alignment horizontal="center" vertical="center" wrapText="1"/>
    </xf>
    <xf numFmtId="0" fontId="12" fillId="14" borderId="2" xfId="0" applyFont="1" applyFill="1" applyBorder="1" applyAlignment="1" applyProtection="1">
      <alignment horizontal="center" vertical="center" wrapText="1"/>
    </xf>
    <xf numFmtId="0" fontId="12" fillId="14" borderId="5" xfId="0" applyFont="1" applyFill="1" applyBorder="1" applyAlignment="1" applyProtection="1">
      <alignment horizontal="center" vertical="center" wrapText="1"/>
    </xf>
    <xf numFmtId="0" fontId="11" fillId="0" borderId="2" xfId="0" applyFont="1" applyBorder="1" applyAlignment="1" applyProtection="1">
      <alignment horizontal="left" vertical="center"/>
    </xf>
    <xf numFmtId="0" fontId="11" fillId="0" borderId="4" xfId="0" applyFont="1" applyBorder="1" applyAlignment="1" applyProtection="1">
      <alignment horizontal="left" vertical="center"/>
    </xf>
    <xf numFmtId="164" fontId="11" fillId="2" borderId="23" xfId="1" applyNumberFormat="1" applyFont="1" applyFill="1" applyBorder="1" applyAlignment="1" applyProtection="1">
      <alignment horizontal="center"/>
    </xf>
    <xf numFmtId="164" fontId="11" fillId="10" borderId="23" xfId="1" applyNumberFormat="1" applyFont="1" applyFill="1" applyBorder="1" applyAlignment="1" applyProtection="1">
      <alignment horizontal="center"/>
    </xf>
    <xf numFmtId="164" fontId="11" fillId="11" borderId="23" xfId="1" applyNumberFormat="1" applyFont="1" applyFill="1" applyBorder="1" applyAlignment="1" applyProtection="1">
      <alignment horizontal="center"/>
    </xf>
    <xf numFmtId="164" fontId="11" fillId="12" borderId="23" xfId="1" applyNumberFormat="1" applyFont="1" applyFill="1" applyBorder="1" applyAlignment="1" applyProtection="1">
      <alignment horizontal="center"/>
    </xf>
    <xf numFmtId="164" fontId="11" fillId="13" borderId="23" xfId="1" applyNumberFormat="1" applyFont="1" applyFill="1" applyBorder="1" applyAlignment="1" applyProtection="1">
      <alignment horizontal="center"/>
    </xf>
    <xf numFmtId="164" fontId="11" fillId="5" borderId="23" xfId="1" applyNumberFormat="1" applyFont="1" applyFill="1" applyBorder="1" applyAlignment="1" applyProtection="1">
      <alignment horizontal="center"/>
    </xf>
    <xf numFmtId="0" fontId="11" fillId="0" borderId="0" xfId="0" applyFont="1" applyFill="1" applyBorder="1" applyAlignment="1">
      <alignment horizontal="center"/>
    </xf>
    <xf numFmtId="0" fontId="11" fillId="0" borderId="0" xfId="0" applyFont="1" applyFill="1" applyBorder="1" applyAlignment="1">
      <alignment horizontal="center" vertical="center"/>
    </xf>
    <xf numFmtId="0" fontId="36" fillId="0" borderId="0" xfId="0" applyFont="1" applyProtection="1"/>
    <xf numFmtId="0" fontId="36" fillId="0" borderId="1" xfId="0" applyFont="1" applyBorder="1" applyProtection="1"/>
    <xf numFmtId="0" fontId="12" fillId="0" borderId="13" xfId="0" applyFont="1" applyBorder="1" applyAlignment="1" applyProtection="1">
      <alignment horizontal="left"/>
    </xf>
    <xf numFmtId="10" fontId="11" fillId="14" borderId="4" xfId="1" applyNumberFormat="1" applyFont="1" applyFill="1" applyBorder="1" applyAlignment="1" applyProtection="1">
      <alignment horizontal="center" vertical="center"/>
    </xf>
    <xf numFmtId="10" fontId="11" fillId="14" borderId="2" xfId="1" applyNumberFormat="1" applyFont="1" applyFill="1" applyBorder="1" applyAlignment="1" applyProtection="1">
      <alignment horizontal="center" vertical="center"/>
    </xf>
    <xf numFmtId="10" fontId="12" fillId="14" borderId="4" xfId="1" applyNumberFormat="1" applyFont="1" applyFill="1" applyBorder="1" applyAlignment="1" applyProtection="1">
      <alignment horizontal="center" vertical="center"/>
    </xf>
    <xf numFmtId="10" fontId="12" fillId="14" borderId="2" xfId="1" applyNumberFormat="1" applyFont="1" applyFill="1" applyBorder="1" applyAlignment="1" applyProtection="1">
      <alignment horizontal="center" vertical="center"/>
    </xf>
    <xf numFmtId="164" fontId="11" fillId="10" borderId="23" xfId="0" applyNumberFormat="1" applyFont="1" applyFill="1" applyBorder="1" applyAlignment="1">
      <alignment horizontal="center"/>
    </xf>
    <xf numFmtId="164" fontId="11" fillId="15" borderId="0" xfId="1" applyNumberFormat="1" applyFont="1" applyFill="1" applyBorder="1"/>
    <xf numFmtId="164" fontId="11" fillId="14" borderId="0" xfId="1" applyNumberFormat="1" applyFont="1" applyFill="1" applyBorder="1"/>
    <xf numFmtId="164" fontId="11" fillId="2" borderId="0" xfId="1" applyNumberFormat="1" applyFont="1" applyFill="1" applyBorder="1" applyAlignment="1">
      <alignment horizontal="right"/>
    </xf>
    <xf numFmtId="164" fontId="11" fillId="6" borderId="0" xfId="1" applyNumberFormat="1" applyFont="1" applyFill="1" applyBorder="1" applyAlignment="1">
      <alignment horizontal="right"/>
    </xf>
    <xf numFmtId="164" fontId="11" fillId="7" borderId="0" xfId="1" applyNumberFormat="1" applyFont="1" applyFill="1" applyBorder="1" applyAlignment="1">
      <alignment horizontal="right"/>
    </xf>
    <xf numFmtId="164" fontId="11" fillId="8" borderId="0" xfId="1" applyNumberFormat="1" applyFont="1" applyFill="1" applyBorder="1" applyAlignment="1">
      <alignment horizontal="right"/>
    </xf>
    <xf numFmtId="164" fontId="11" fillId="9" borderId="0" xfId="1" applyNumberFormat="1" applyFont="1" applyFill="1" applyBorder="1" applyAlignment="1">
      <alignment horizontal="right"/>
    </xf>
    <xf numFmtId="164" fontId="11" fillId="5" borderId="0" xfId="1" applyNumberFormat="1" applyFont="1" applyFill="1" applyBorder="1" applyAlignment="1">
      <alignment horizontal="right"/>
    </xf>
    <xf numFmtId="164" fontId="11" fillId="2" borderId="0" xfId="0" applyNumberFormat="1" applyFont="1" applyFill="1" applyBorder="1"/>
    <xf numFmtId="10" fontId="5" fillId="0" borderId="0" xfId="1" applyNumberFormat="1" applyFont="1" applyFill="1" applyBorder="1" applyAlignment="1">
      <alignment horizontal="center"/>
    </xf>
    <xf numFmtId="0" fontId="5" fillId="0" borderId="28" xfId="143" applyFont="1" applyFill="1" applyBorder="1"/>
    <xf numFmtId="0" fontId="5" fillId="0" borderId="13" xfId="143" applyFont="1" applyFill="1" applyBorder="1"/>
    <xf numFmtId="0" fontId="5" fillId="0" borderId="12" xfId="143" applyFont="1" applyFill="1" applyBorder="1"/>
    <xf numFmtId="0" fontId="5" fillId="0" borderId="6" xfId="143" applyFont="1" applyFill="1" applyBorder="1"/>
    <xf numFmtId="0" fontId="5" fillId="0" borderId="1" xfId="143" applyFont="1" applyFill="1" applyBorder="1"/>
    <xf numFmtId="178" fontId="12" fillId="10" borderId="23" xfId="0" applyNumberFormat="1" applyFont="1" applyFill="1" applyBorder="1" applyAlignment="1">
      <alignment horizontal="center"/>
    </xf>
    <xf numFmtId="178" fontId="12" fillId="13" borderId="23" xfId="0" applyNumberFormat="1" applyFont="1" applyFill="1" applyBorder="1" applyAlignment="1">
      <alignment horizontal="center"/>
    </xf>
    <xf numFmtId="178" fontId="12" fillId="11" borderId="23" xfId="0" applyNumberFormat="1" applyFont="1" applyFill="1" applyBorder="1" applyAlignment="1">
      <alignment horizontal="center"/>
    </xf>
    <xf numFmtId="178" fontId="12" fillId="12" borderId="23" xfId="0" applyNumberFormat="1" applyFont="1" applyFill="1" applyBorder="1" applyAlignment="1">
      <alignment horizontal="center"/>
    </xf>
    <xf numFmtId="0" fontId="11" fillId="0" borderId="0" xfId="0" applyFont="1" applyFill="1" applyBorder="1" applyAlignment="1">
      <alignment horizontal="left"/>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15" borderId="4" xfId="0" applyFont="1" applyFill="1" applyBorder="1" applyAlignment="1" applyProtection="1">
      <alignment horizontal="center" vertical="center" wrapText="1"/>
    </xf>
    <xf numFmtId="0" fontId="12" fillId="15" borderId="2" xfId="0" applyFont="1" applyFill="1" applyBorder="1" applyAlignment="1" applyProtection="1">
      <alignment horizontal="center" vertical="center" wrapText="1"/>
    </xf>
    <xf numFmtId="0" fontId="12" fillId="15" borderId="5" xfId="0" applyFont="1" applyFill="1" applyBorder="1" applyAlignment="1" applyProtection="1">
      <alignment horizontal="center" vertical="center" wrapText="1"/>
    </xf>
    <xf numFmtId="0" fontId="12" fillId="14" borderId="4" xfId="0" applyFont="1" applyFill="1" applyBorder="1" applyAlignment="1" applyProtection="1">
      <alignment horizontal="center" vertical="center" wrapText="1"/>
    </xf>
    <xf numFmtId="0" fontId="12" fillId="14" borderId="2" xfId="0" applyFont="1" applyFill="1" applyBorder="1" applyAlignment="1" applyProtection="1">
      <alignment horizontal="center" vertical="center" wrapText="1"/>
    </xf>
    <xf numFmtId="0" fontId="12" fillId="14" borderId="5" xfId="0" applyFont="1" applyFill="1" applyBorder="1" applyAlignment="1" applyProtection="1">
      <alignment horizontal="center" vertical="center" wrapText="1"/>
    </xf>
    <xf numFmtId="0" fontId="12" fillId="0" borderId="4" xfId="0" applyFont="1" applyBorder="1" applyAlignment="1" applyProtection="1">
      <alignment horizontal="left" vertical="center"/>
    </xf>
    <xf numFmtId="164" fontId="5" fillId="15" borderId="12" xfId="0" applyNumberFormat="1" applyFont="1" applyFill="1" applyBorder="1" applyAlignment="1" applyProtection="1">
      <alignment horizont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1" fillId="0" borderId="0" xfId="0" applyFont="1" applyFill="1" applyBorder="1" applyAlignment="1">
      <alignment horizontal="left"/>
    </xf>
    <xf numFmtId="0" fontId="12" fillId="0" borderId="4" xfId="0" applyFont="1" applyBorder="1" applyAlignment="1" applyProtection="1">
      <alignment horizontal="left" vertical="center"/>
    </xf>
    <xf numFmtId="0" fontId="12" fillId="15" borderId="4" xfId="0" applyFont="1" applyFill="1" applyBorder="1" applyAlignment="1" applyProtection="1">
      <alignment horizontal="center" vertical="center" wrapText="1"/>
    </xf>
    <xf numFmtId="0" fontId="12" fillId="15" borderId="2" xfId="0" applyFont="1" applyFill="1" applyBorder="1" applyAlignment="1" applyProtection="1">
      <alignment horizontal="center" vertical="center" wrapText="1"/>
    </xf>
    <xf numFmtId="0" fontId="12" fillId="15" borderId="5" xfId="0" applyFont="1" applyFill="1" applyBorder="1" applyAlignment="1" applyProtection="1">
      <alignment horizontal="center" vertical="center" wrapText="1"/>
    </xf>
    <xf numFmtId="0" fontId="12" fillId="14" borderId="4" xfId="0" applyFont="1" applyFill="1" applyBorder="1" applyAlignment="1" applyProtection="1">
      <alignment horizontal="center" vertical="center" wrapText="1"/>
    </xf>
    <xf numFmtId="0" fontId="12" fillId="14" borderId="2" xfId="0" applyFont="1" applyFill="1" applyBorder="1" applyAlignment="1" applyProtection="1">
      <alignment horizontal="center" vertical="center" wrapText="1"/>
    </xf>
    <xf numFmtId="0" fontId="12" fillId="14" borderId="5" xfId="0" applyFont="1" applyFill="1" applyBorder="1" applyAlignment="1" applyProtection="1">
      <alignment horizontal="center" vertical="center" wrapText="1"/>
    </xf>
    <xf numFmtId="0" fontId="39" fillId="0" borderId="0" xfId="144" applyFont="1" applyFill="1" applyBorder="1" applyAlignment="1" applyProtection="1"/>
    <xf numFmtId="164" fontId="5" fillId="15" borderId="6" xfId="0" applyNumberFormat="1" applyFont="1" applyFill="1" applyBorder="1" applyAlignment="1" applyProtection="1">
      <alignment horizontal="center"/>
      <protection locked="0"/>
    </xf>
    <xf numFmtId="164" fontId="5" fillId="15" borderId="1" xfId="0" applyNumberFormat="1" applyFont="1" applyFill="1" applyBorder="1" applyAlignment="1" applyProtection="1">
      <alignment horizontal="center"/>
      <protection locked="0"/>
    </xf>
    <xf numFmtId="164" fontId="5" fillId="15" borderId="7" xfId="0" applyNumberFormat="1" applyFont="1" applyFill="1" applyBorder="1" applyAlignment="1" applyProtection="1">
      <alignment horizontal="center"/>
      <protection locked="0"/>
    </xf>
    <xf numFmtId="10" fontId="5" fillId="15" borderId="12" xfId="0" applyNumberFormat="1" applyFont="1" applyFill="1" applyBorder="1" applyAlignment="1" applyProtection="1">
      <alignment horizontal="center"/>
      <protection locked="0"/>
    </xf>
    <xf numFmtId="10" fontId="5" fillId="15" borderId="13" xfId="0" applyNumberFormat="1" applyFont="1" applyFill="1" applyBorder="1" applyAlignment="1" applyProtection="1">
      <alignment horizontal="center"/>
      <protection locked="0"/>
    </xf>
    <xf numFmtId="10" fontId="5" fillId="15" borderId="27" xfId="0" applyNumberFormat="1" applyFont="1" applyFill="1" applyBorder="1" applyAlignment="1" applyProtection="1">
      <alignment horizontal="center"/>
      <protection locked="0"/>
    </xf>
    <xf numFmtId="10" fontId="5" fillId="15" borderId="0" xfId="0" applyNumberFormat="1" applyFont="1" applyFill="1" applyBorder="1" applyAlignment="1" applyProtection="1">
      <alignment horizontal="center"/>
      <protection locked="0"/>
    </xf>
    <xf numFmtId="10" fontId="5" fillId="15" borderId="6" xfId="0" applyNumberFormat="1" applyFont="1" applyFill="1" applyBorder="1" applyAlignment="1" applyProtection="1">
      <alignment horizontal="center"/>
      <protection locked="0"/>
    </xf>
    <xf numFmtId="10" fontId="5" fillId="15" borderId="7" xfId="0" applyNumberFormat="1" applyFont="1" applyFill="1" applyBorder="1" applyAlignment="1" applyProtection="1">
      <alignment horizontal="center"/>
      <protection locked="0"/>
    </xf>
    <xf numFmtId="0" fontId="5" fillId="0" borderId="0" xfId="145" applyFont="1" applyFill="1" applyBorder="1"/>
    <xf numFmtId="0" fontId="5" fillId="0" borderId="0" xfId="145" applyFont="1" applyFill="1" applyBorder="1" applyAlignment="1">
      <alignment horizontal="right"/>
    </xf>
    <xf numFmtId="0" fontId="9" fillId="19" borderId="0" xfId="145" applyFont="1" applyFill="1" applyBorder="1" applyAlignment="1">
      <alignment horizontal="left"/>
    </xf>
    <xf numFmtId="0" fontId="9" fillId="19" borderId="0" xfId="145" applyFont="1" applyFill="1" applyBorder="1"/>
    <xf numFmtId="0" fontId="10" fillId="19" borderId="0" xfId="145" applyFont="1" applyFill="1" applyBorder="1"/>
    <xf numFmtId="0" fontId="9" fillId="19" borderId="0" xfId="145" applyFont="1" applyFill="1" applyBorder="1" applyAlignment="1">
      <alignment horizontal="center"/>
    </xf>
    <xf numFmtId="0" fontId="32" fillId="0" borderId="0" xfId="145" applyFont="1" applyFill="1" applyBorder="1" applyAlignment="1">
      <alignment horizontal="center"/>
    </xf>
    <xf numFmtId="0" fontId="33" fillId="0" borderId="0" xfId="145" applyFont="1" applyFill="1" applyBorder="1"/>
    <xf numFmtId="0" fontId="26" fillId="0" borderId="0" xfId="145" applyFont="1" applyFill="1" applyBorder="1"/>
    <xf numFmtId="0" fontId="26" fillId="0" borderId="0" xfId="145" applyFont="1" applyFill="1" applyBorder="1" applyAlignment="1">
      <alignment horizontal="right"/>
    </xf>
    <xf numFmtId="0" fontId="5" fillId="0" borderId="0" xfId="145" applyFont="1" applyFill="1" applyBorder="1" applyAlignment="1">
      <alignment horizontal="center"/>
    </xf>
    <xf numFmtId="0" fontId="31" fillId="0" borderId="0" xfId="145" applyFont="1" applyFill="1" applyBorder="1" applyAlignment="1">
      <alignment horizontal="center"/>
    </xf>
    <xf numFmtId="0" fontId="5" fillId="0" borderId="0" xfId="145" applyFont="1"/>
    <xf numFmtId="0" fontId="5" fillId="0" borderId="0" xfId="145" applyFont="1" applyAlignment="1">
      <alignment horizontal="center"/>
    </xf>
    <xf numFmtId="37" fontId="5" fillId="0" borderId="0" xfId="145" applyNumberFormat="1" applyFont="1" applyAlignment="1">
      <alignment horizontal="center"/>
    </xf>
    <xf numFmtId="187" fontId="11" fillId="0" borderId="0" xfId="0" applyNumberFormat="1" applyFont="1" applyFill="1" applyBorder="1" applyAlignment="1">
      <alignment horizontal="center"/>
    </xf>
    <xf numFmtId="187"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1" fillId="0" borderId="0" xfId="0" applyFont="1" applyFill="1" applyBorder="1" applyAlignment="1">
      <alignment horizontal="left"/>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188" fontId="18" fillId="2" borderId="23" xfId="0" applyNumberFormat="1" applyFont="1" applyFill="1" applyBorder="1" applyAlignment="1" applyProtection="1">
      <alignment horizontal="center"/>
      <protection locked="0"/>
    </xf>
    <xf numFmtId="0" fontId="19" fillId="0" borderId="0" xfId="0" applyFont="1" applyFill="1" applyBorder="1"/>
    <xf numFmtId="189" fontId="11" fillId="0" borderId="0" xfId="0" applyNumberFormat="1" applyFont="1" applyFill="1" applyBorder="1"/>
    <xf numFmtId="182" fontId="11" fillId="0" borderId="0" xfId="0" applyNumberFormat="1" applyFont="1" applyFill="1" applyBorder="1"/>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xf>
    <xf numFmtId="190" fontId="37" fillId="0" borderId="0" xfId="145" applyNumberFormat="1" applyFont="1" applyFill="1" applyBorder="1" applyAlignment="1">
      <alignment horizontal="center"/>
    </xf>
    <xf numFmtId="9" fontId="37" fillId="0" borderId="0" xfId="1" applyFont="1"/>
    <xf numFmtId="191" fontId="11" fillId="0" borderId="0" xfId="0" applyNumberFormat="1" applyFont="1" applyProtection="1"/>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15" borderId="4" xfId="0" applyFont="1" applyFill="1" applyBorder="1" applyAlignment="1" applyProtection="1">
      <alignment horizontal="center" vertical="center" wrapText="1"/>
    </xf>
    <xf numFmtId="0" fontId="12" fillId="15" borderId="2" xfId="0" applyFont="1" applyFill="1" applyBorder="1" applyAlignment="1" applyProtection="1">
      <alignment horizontal="center" vertical="center" wrapText="1"/>
    </xf>
    <xf numFmtId="0" fontId="12" fillId="15" borderId="5" xfId="0" applyFont="1" applyFill="1" applyBorder="1" applyAlignment="1" applyProtection="1">
      <alignment horizontal="center" vertical="center" wrapText="1"/>
    </xf>
    <xf numFmtId="0" fontId="12" fillId="14" borderId="4" xfId="0" applyFont="1" applyFill="1" applyBorder="1" applyAlignment="1" applyProtection="1">
      <alignment horizontal="center" vertical="center" wrapText="1"/>
    </xf>
    <xf numFmtId="0" fontId="12" fillId="14" borderId="2" xfId="0" applyFont="1" applyFill="1" applyBorder="1" applyAlignment="1" applyProtection="1">
      <alignment horizontal="center" vertical="center" wrapText="1"/>
    </xf>
    <xf numFmtId="0" fontId="12" fillId="14" borderId="5" xfId="0" applyFont="1" applyFill="1" applyBorder="1" applyAlignment="1" applyProtection="1">
      <alignment horizontal="center" vertical="center" wrapText="1"/>
    </xf>
    <xf numFmtId="164" fontId="5" fillId="15" borderId="12" xfId="0" applyNumberFormat="1" applyFont="1" applyFill="1" applyBorder="1" applyAlignment="1" applyProtection="1">
      <alignment horizontal="center"/>
    </xf>
    <xf numFmtId="192" fontId="25" fillId="10" borderId="23" xfId="0" applyNumberFormat="1" applyFont="1" applyFill="1" applyBorder="1" applyAlignment="1" applyProtection="1">
      <alignment horizontal="center"/>
      <protection locked="0"/>
    </xf>
    <xf numFmtId="192" fontId="25" fillId="11" borderId="23" xfId="0" applyNumberFormat="1" applyFont="1" applyFill="1" applyBorder="1" applyAlignment="1" applyProtection="1">
      <alignment horizontal="center"/>
      <protection locked="0"/>
    </xf>
    <xf numFmtId="192" fontId="25" fillId="12" borderId="23" xfId="0" applyNumberFormat="1" applyFont="1" applyFill="1" applyBorder="1" applyAlignment="1" applyProtection="1">
      <alignment horizontal="center"/>
      <protection locked="0"/>
    </xf>
    <xf numFmtId="192" fontId="25" fillId="13" borderId="23" xfId="0" applyNumberFormat="1" applyFont="1" applyFill="1" applyBorder="1" applyAlignment="1" applyProtection="1">
      <alignment horizontal="center"/>
      <protection locked="0"/>
    </xf>
    <xf numFmtId="192" fontId="25" fillId="5" borderId="23" xfId="0" applyNumberFormat="1" applyFont="1" applyFill="1" applyBorder="1" applyAlignment="1" applyProtection="1">
      <alignment horizontal="center"/>
      <protection locked="0"/>
    </xf>
    <xf numFmtId="193" fontId="18" fillId="10" borderId="23" xfId="0" applyNumberFormat="1" applyFont="1" applyFill="1" applyBorder="1" applyAlignment="1" applyProtection="1">
      <alignment horizontal="center"/>
      <protection locked="0"/>
    </xf>
    <xf numFmtId="193" fontId="18" fillId="11" borderId="23" xfId="0" applyNumberFormat="1" applyFont="1" applyFill="1" applyBorder="1" applyAlignment="1" applyProtection="1">
      <alignment horizontal="center"/>
      <protection locked="0"/>
    </xf>
    <xf numFmtId="193" fontId="18" fillId="12" borderId="23" xfId="0" applyNumberFormat="1" applyFont="1" applyFill="1" applyBorder="1" applyAlignment="1" applyProtection="1">
      <alignment horizontal="center"/>
      <protection locked="0"/>
    </xf>
    <xf numFmtId="193" fontId="18" fillId="13" borderId="23" xfId="0" applyNumberFormat="1" applyFont="1" applyFill="1" applyBorder="1" applyAlignment="1" applyProtection="1">
      <alignment horizontal="center"/>
      <protection locked="0"/>
    </xf>
    <xf numFmtId="193" fontId="18" fillId="5" borderId="23" xfId="0" applyNumberFormat="1" applyFont="1" applyFill="1" applyBorder="1" applyAlignment="1" applyProtection="1">
      <alignment horizontal="center"/>
      <protection locked="0"/>
    </xf>
    <xf numFmtId="193" fontId="18" fillId="10" borderId="23" xfId="2" applyNumberFormat="1" applyFont="1" applyFill="1" applyBorder="1" applyAlignment="1" applyProtection="1">
      <alignment horizontal="center" vertical="center"/>
      <protection locked="0"/>
    </xf>
    <xf numFmtId="193" fontId="18" fillId="11" borderId="23" xfId="2" applyNumberFormat="1" applyFont="1" applyFill="1" applyBorder="1" applyAlignment="1" applyProtection="1">
      <alignment horizontal="center" vertical="center"/>
      <protection locked="0"/>
    </xf>
    <xf numFmtId="193" fontId="18" fillId="12" borderId="23" xfId="2" applyNumberFormat="1" applyFont="1" applyFill="1" applyBorder="1" applyAlignment="1" applyProtection="1">
      <alignment horizontal="center" vertical="center"/>
      <protection locked="0"/>
    </xf>
    <xf numFmtId="193" fontId="18" fillId="13" borderId="23" xfId="2" applyNumberFormat="1" applyFont="1" applyFill="1" applyBorder="1" applyAlignment="1" applyProtection="1">
      <alignment horizontal="center" vertical="center"/>
      <protection locked="0"/>
    </xf>
    <xf numFmtId="193" fontId="18" fillId="5" borderId="23" xfId="2" applyNumberFormat="1" applyFont="1" applyFill="1" applyBorder="1" applyAlignment="1" applyProtection="1">
      <alignment horizontal="center" vertical="center"/>
      <protection locked="0"/>
    </xf>
    <xf numFmtId="164" fontId="11" fillId="23" borderId="23" xfId="0" applyNumberFormat="1" applyFont="1" applyFill="1" applyBorder="1" applyAlignment="1">
      <alignment horizontal="center"/>
    </xf>
    <xf numFmtId="178" fontId="12" fillId="23" borderId="23" xfId="0" applyNumberFormat="1" applyFont="1" applyFill="1" applyBorder="1" applyAlignment="1">
      <alignment horizontal="center"/>
    </xf>
    <xf numFmtId="192" fontId="11" fillId="2" borderId="0" xfId="2" applyNumberFormat="1" applyFont="1" applyFill="1" applyBorder="1"/>
    <xf numFmtId="192" fontId="11" fillId="2" borderId="18" xfId="2" applyNumberFormat="1" applyFont="1" applyFill="1" applyBorder="1"/>
    <xf numFmtId="194" fontId="11" fillId="2" borderId="0" xfId="2" applyNumberFormat="1" applyFont="1" applyFill="1" applyBorder="1"/>
    <xf numFmtId="194" fontId="11" fillId="2" borderId="18" xfId="2" applyNumberFormat="1" applyFont="1" applyFill="1" applyBorder="1"/>
    <xf numFmtId="195" fontId="11" fillId="2" borderId="0" xfId="2" applyNumberFormat="1" applyFont="1" applyFill="1" applyBorder="1"/>
    <xf numFmtId="195" fontId="11" fillId="2" borderId="18" xfId="2" applyNumberFormat="1" applyFont="1" applyFill="1" applyBorder="1"/>
    <xf numFmtId="195" fontId="11" fillId="2" borderId="0" xfId="0" applyNumberFormat="1" applyFont="1" applyFill="1" applyBorder="1"/>
    <xf numFmtId="195" fontId="11" fillId="2" borderId="18" xfId="0" applyNumberFormat="1" applyFont="1" applyFill="1" applyBorder="1"/>
    <xf numFmtId="195" fontId="11" fillId="2" borderId="1" xfId="0" applyNumberFormat="1" applyFont="1" applyFill="1" applyBorder="1"/>
    <xf numFmtId="195" fontId="11" fillId="2" borderId="29" xfId="0" applyNumberFormat="1" applyFont="1" applyFill="1" applyBorder="1"/>
    <xf numFmtId="193" fontId="11" fillId="2" borderId="0" xfId="0" applyNumberFormat="1" applyFont="1" applyFill="1" applyBorder="1" applyAlignment="1">
      <alignment horizontal="right"/>
    </xf>
    <xf numFmtId="193" fontId="12" fillId="2" borderId="10" xfId="0" applyNumberFormat="1" applyFont="1" applyFill="1" applyBorder="1" applyAlignment="1">
      <alignment horizontal="right"/>
    </xf>
    <xf numFmtId="195" fontId="11" fillId="6" borderId="0" xfId="2" applyNumberFormat="1" applyFont="1" applyFill="1" applyBorder="1"/>
    <xf numFmtId="195" fontId="11" fillId="6" borderId="18" xfId="2" applyNumberFormat="1" applyFont="1" applyFill="1" applyBorder="1"/>
    <xf numFmtId="195" fontId="11" fillId="6" borderId="0" xfId="0" applyNumberFormat="1" applyFont="1" applyFill="1" applyBorder="1"/>
    <xf numFmtId="195" fontId="11" fillId="6" borderId="18" xfId="0" applyNumberFormat="1" applyFont="1" applyFill="1" applyBorder="1"/>
    <xf numFmtId="195" fontId="11" fillId="6" borderId="1" xfId="0" applyNumberFormat="1" applyFont="1" applyFill="1" applyBorder="1"/>
    <xf numFmtId="195" fontId="11" fillId="6" borderId="29" xfId="0" applyNumberFormat="1" applyFont="1" applyFill="1" applyBorder="1"/>
    <xf numFmtId="197" fontId="11" fillId="6" borderId="0" xfId="2" applyNumberFormat="1" applyFont="1" applyFill="1" applyBorder="1"/>
    <xf numFmtId="197" fontId="11" fillId="6" borderId="18" xfId="2" applyNumberFormat="1" applyFont="1" applyFill="1" applyBorder="1"/>
    <xf numFmtId="193" fontId="11" fillId="6" borderId="0" xfId="0" applyNumberFormat="1" applyFont="1" applyFill="1" applyBorder="1" applyAlignment="1">
      <alignment horizontal="right"/>
    </xf>
    <xf numFmtId="193" fontId="12" fillId="6" borderId="10" xfId="0" applyNumberFormat="1" applyFont="1" applyFill="1" applyBorder="1" applyAlignment="1">
      <alignment horizontal="right"/>
    </xf>
    <xf numFmtId="195" fontId="11" fillId="7" borderId="0" xfId="2" applyNumberFormat="1" applyFont="1" applyFill="1" applyBorder="1"/>
    <xf numFmtId="195" fontId="11" fillId="7" borderId="18" xfId="2" applyNumberFormat="1" applyFont="1" applyFill="1" applyBorder="1"/>
    <xf numFmtId="195" fontId="11" fillId="7" borderId="0" xfId="0" applyNumberFormat="1" applyFont="1" applyFill="1" applyBorder="1"/>
    <xf numFmtId="195" fontId="11" fillId="7" borderId="18" xfId="0" applyNumberFormat="1" applyFont="1" applyFill="1" applyBorder="1"/>
    <xf numFmtId="195" fontId="11" fillId="7" borderId="1" xfId="0" applyNumberFormat="1" applyFont="1" applyFill="1" applyBorder="1"/>
    <xf numFmtId="195" fontId="11" fillId="7" borderId="29" xfId="0" applyNumberFormat="1" applyFont="1" applyFill="1" applyBorder="1"/>
    <xf numFmtId="197" fontId="11" fillId="7" borderId="0" xfId="2" applyNumberFormat="1" applyFont="1" applyFill="1" applyBorder="1"/>
    <xf numFmtId="197" fontId="11" fillId="7" borderId="18" xfId="2" applyNumberFormat="1" applyFont="1" applyFill="1" applyBorder="1"/>
    <xf numFmtId="195" fontId="11" fillId="7" borderId="0" xfId="0" applyNumberFormat="1" applyFont="1" applyFill="1" applyBorder="1" applyAlignment="1">
      <alignment horizontal="right"/>
    </xf>
    <xf numFmtId="197" fontId="11" fillId="7" borderId="0" xfId="0" applyNumberFormat="1" applyFont="1" applyFill="1" applyBorder="1" applyAlignment="1">
      <alignment horizontal="right"/>
    </xf>
    <xf numFmtId="197" fontId="12" fillId="7" borderId="10" xfId="0" applyNumberFormat="1" applyFont="1" applyFill="1" applyBorder="1" applyAlignment="1">
      <alignment horizontal="right"/>
    </xf>
    <xf numFmtId="195" fontId="11" fillId="8" borderId="0" xfId="2" applyNumberFormat="1" applyFont="1" applyFill="1" applyBorder="1"/>
    <xf numFmtId="195" fontId="11" fillId="8" borderId="18" xfId="2" applyNumberFormat="1" applyFont="1" applyFill="1" applyBorder="1"/>
    <xf numFmtId="195" fontId="11" fillId="8" borderId="0" xfId="0" applyNumberFormat="1" applyFont="1" applyFill="1" applyBorder="1"/>
    <xf numFmtId="195" fontId="11" fillId="8" borderId="18" xfId="0" applyNumberFormat="1" applyFont="1" applyFill="1" applyBorder="1"/>
    <xf numFmtId="195" fontId="11" fillId="8" borderId="1" xfId="0" applyNumberFormat="1" applyFont="1" applyFill="1" applyBorder="1"/>
    <xf numFmtId="195" fontId="11" fillId="8" borderId="29" xfId="0" applyNumberFormat="1" applyFont="1" applyFill="1" applyBorder="1"/>
    <xf numFmtId="197" fontId="11" fillId="8" borderId="0" xfId="2" applyNumberFormat="1" applyFont="1" applyFill="1" applyBorder="1"/>
    <xf numFmtId="197" fontId="11" fillId="8" borderId="18" xfId="2" applyNumberFormat="1" applyFont="1" applyFill="1" applyBorder="1"/>
    <xf numFmtId="195" fontId="11" fillId="8" borderId="0" xfId="0" applyNumberFormat="1" applyFont="1" applyFill="1" applyBorder="1" applyAlignment="1">
      <alignment horizontal="right"/>
    </xf>
    <xf numFmtId="197" fontId="11" fillId="8" borderId="0" xfId="0" applyNumberFormat="1" applyFont="1" applyFill="1" applyBorder="1" applyAlignment="1">
      <alignment horizontal="right"/>
    </xf>
    <xf numFmtId="197" fontId="12" fillId="8" borderId="10" xfId="0" applyNumberFormat="1" applyFont="1" applyFill="1" applyBorder="1" applyAlignment="1">
      <alignment horizontal="right"/>
    </xf>
    <xf numFmtId="195" fontId="11" fillId="9" borderId="0" xfId="2" applyNumberFormat="1" applyFont="1" applyFill="1" applyBorder="1"/>
    <xf numFmtId="195" fontId="11" fillId="9" borderId="18" xfId="2" applyNumberFormat="1" applyFont="1" applyFill="1" applyBorder="1"/>
    <xf numFmtId="195" fontId="11" fillId="9" borderId="0" xfId="0" applyNumberFormat="1" applyFont="1" applyFill="1" applyBorder="1"/>
    <xf numFmtId="195" fontId="11" fillId="9" borderId="18" xfId="0" applyNumberFormat="1" applyFont="1" applyFill="1" applyBorder="1"/>
    <xf numFmtId="195" fontId="11" fillId="9" borderId="1" xfId="0" applyNumberFormat="1" applyFont="1" applyFill="1" applyBorder="1"/>
    <xf numFmtId="195" fontId="11" fillId="9" borderId="29" xfId="0" applyNumberFormat="1" applyFont="1" applyFill="1" applyBorder="1"/>
    <xf numFmtId="197" fontId="11" fillId="9" borderId="0" xfId="2" applyNumberFormat="1" applyFont="1" applyFill="1" applyBorder="1"/>
    <xf numFmtId="197" fontId="11" fillId="9" borderId="18" xfId="2" applyNumberFormat="1" applyFont="1" applyFill="1" applyBorder="1"/>
    <xf numFmtId="195" fontId="11" fillId="9" borderId="0" xfId="0" applyNumberFormat="1" applyFont="1" applyFill="1" applyBorder="1" applyAlignment="1">
      <alignment horizontal="right"/>
    </xf>
    <xf numFmtId="197" fontId="11" fillId="9" borderId="0" xfId="0" applyNumberFormat="1" applyFont="1" applyFill="1" applyBorder="1" applyAlignment="1">
      <alignment horizontal="right"/>
    </xf>
    <xf numFmtId="197" fontId="12" fillId="9" borderId="10" xfId="0" applyNumberFormat="1" applyFont="1" applyFill="1" applyBorder="1" applyAlignment="1">
      <alignment horizontal="right"/>
    </xf>
    <xf numFmtId="195" fontId="11" fillId="5" borderId="0" xfId="0" applyNumberFormat="1" applyFont="1" applyFill="1" applyBorder="1"/>
    <xf numFmtId="195" fontId="11" fillId="5" borderId="0" xfId="2" applyNumberFormat="1" applyFont="1" applyFill="1" applyBorder="1"/>
    <xf numFmtId="195" fontId="11" fillId="5" borderId="18" xfId="2" applyNumberFormat="1" applyFont="1" applyFill="1" applyBorder="1"/>
    <xf numFmtId="195" fontId="11" fillId="5" borderId="18" xfId="0" applyNumberFormat="1" applyFont="1" applyFill="1" applyBorder="1"/>
    <xf numFmtId="195" fontId="11" fillId="5" borderId="1" xfId="0" applyNumberFormat="1" applyFont="1" applyFill="1" applyBorder="1"/>
    <xf numFmtId="195" fontId="11" fillId="5" borderId="29" xfId="0" applyNumberFormat="1" applyFont="1" applyFill="1" applyBorder="1"/>
    <xf numFmtId="195" fontId="11" fillId="5" borderId="0" xfId="0" applyNumberFormat="1" applyFont="1" applyFill="1" applyBorder="1" applyAlignment="1">
      <alignment horizontal="right"/>
    </xf>
    <xf numFmtId="197" fontId="11" fillId="5" borderId="0" xfId="0" applyNumberFormat="1" applyFont="1" applyFill="1" applyBorder="1" applyAlignment="1">
      <alignment horizontal="right"/>
    </xf>
    <xf numFmtId="197" fontId="12" fillId="5" borderId="10" xfId="0" applyNumberFormat="1" applyFont="1" applyFill="1" applyBorder="1" applyAlignment="1">
      <alignment horizontal="right"/>
    </xf>
    <xf numFmtId="197" fontId="11" fillId="5" borderId="0" xfId="2" applyNumberFormat="1" applyFont="1" applyFill="1" applyBorder="1"/>
    <xf numFmtId="197" fontId="11" fillId="5" borderId="18" xfId="2" applyNumberFormat="1" applyFont="1" applyFill="1" applyBorder="1"/>
    <xf numFmtId="195" fontId="11" fillId="0" borderId="0" xfId="0" applyNumberFormat="1" applyFont="1"/>
    <xf numFmtId="195" fontId="11" fillId="2" borderId="27" xfId="0" applyNumberFormat="1" applyFont="1" applyFill="1" applyBorder="1"/>
    <xf numFmtId="195" fontId="11" fillId="2" borderId="7" xfId="0" applyNumberFormat="1" applyFont="1" applyFill="1" applyBorder="1"/>
    <xf numFmtId="195" fontId="11" fillId="10" borderId="0" xfId="0" applyNumberFormat="1" applyFont="1" applyFill="1" applyBorder="1"/>
    <xf numFmtId="195" fontId="11" fillId="10" borderId="27" xfId="0" applyNumberFormat="1" applyFont="1" applyFill="1" applyBorder="1"/>
    <xf numFmtId="195" fontId="11" fillId="10" borderId="1" xfId="0" applyNumberFormat="1" applyFont="1" applyFill="1" applyBorder="1"/>
    <xf numFmtId="195" fontId="11" fillId="10" borderId="7" xfId="0" applyNumberFormat="1" applyFont="1" applyFill="1" applyBorder="1"/>
    <xf numFmtId="195" fontId="11" fillId="11" borderId="0" xfId="0" applyNumberFormat="1" applyFont="1" applyFill="1" applyBorder="1"/>
    <xf numFmtId="195" fontId="11" fillId="11" borderId="27" xfId="0" applyNumberFormat="1" applyFont="1" applyFill="1" applyBorder="1"/>
    <xf numFmtId="195" fontId="11" fillId="11" borderId="1" xfId="0" applyNumberFormat="1" applyFont="1" applyFill="1" applyBorder="1"/>
    <xf numFmtId="195" fontId="11" fillId="11" borderId="7" xfId="0" applyNumberFormat="1" applyFont="1" applyFill="1" applyBorder="1"/>
    <xf numFmtId="195" fontId="11" fillId="12" borderId="0" xfId="0" applyNumberFormat="1" applyFont="1" applyFill="1" applyBorder="1"/>
    <xf numFmtId="195" fontId="11" fillId="12" borderId="27" xfId="0" applyNumberFormat="1" applyFont="1" applyFill="1" applyBorder="1"/>
    <xf numFmtId="195" fontId="11" fillId="12" borderId="1" xfId="0" applyNumberFormat="1" applyFont="1" applyFill="1" applyBorder="1"/>
    <xf numFmtId="195" fontId="11" fillId="12" borderId="7" xfId="0" applyNumberFormat="1" applyFont="1" applyFill="1" applyBorder="1"/>
    <xf numFmtId="195" fontId="11" fillId="13" borderId="0" xfId="0" applyNumberFormat="1" applyFont="1" applyFill="1" applyBorder="1"/>
    <xf numFmtId="195" fontId="11" fillId="13" borderId="27" xfId="0" applyNumberFormat="1" applyFont="1" applyFill="1" applyBorder="1"/>
    <xf numFmtId="195" fontId="11" fillId="13" borderId="1" xfId="0" applyNumberFormat="1" applyFont="1" applyFill="1" applyBorder="1"/>
    <xf numFmtId="195" fontId="11" fillId="13" borderId="7" xfId="0" applyNumberFormat="1" applyFont="1" applyFill="1" applyBorder="1"/>
    <xf numFmtId="195" fontId="11" fillId="5" borderId="27" xfId="0" applyNumberFormat="1" applyFont="1" applyFill="1" applyBorder="1"/>
    <xf numFmtId="195" fontId="11" fillId="5" borderId="7" xfId="0" applyNumberFormat="1" applyFont="1" applyFill="1" applyBorder="1"/>
    <xf numFmtId="195" fontId="11" fillId="15" borderId="0" xfId="0" applyNumberFormat="1" applyFont="1" applyFill="1" applyBorder="1"/>
    <xf numFmtId="195" fontId="11" fillId="15" borderId="0" xfId="2" applyNumberFormat="1" applyFont="1" applyFill="1" applyBorder="1"/>
    <xf numFmtId="195" fontId="11" fillId="15" borderId="18" xfId="2" applyNumberFormat="1" applyFont="1" applyFill="1" applyBorder="1"/>
    <xf numFmtId="195" fontId="11" fillId="15" borderId="18" xfId="0" applyNumberFormat="1" applyFont="1" applyFill="1" applyBorder="1"/>
    <xf numFmtId="195" fontId="11" fillId="15" borderId="1" xfId="0" applyNumberFormat="1" applyFont="1" applyFill="1" applyBorder="1"/>
    <xf numFmtId="195" fontId="11" fillId="15" borderId="29" xfId="0" applyNumberFormat="1" applyFont="1" applyFill="1" applyBorder="1"/>
    <xf numFmtId="197" fontId="11" fillId="15" borderId="0" xfId="0" applyNumberFormat="1" applyFont="1" applyFill="1" applyBorder="1"/>
    <xf numFmtId="197" fontId="12" fillId="15" borderId="10" xfId="0" applyNumberFormat="1" applyFont="1" applyFill="1" applyBorder="1"/>
    <xf numFmtId="195" fontId="11" fillId="14" borderId="0" xfId="0" applyNumberFormat="1" applyFont="1" applyFill="1" applyBorder="1"/>
    <xf numFmtId="195" fontId="11" fillId="14" borderId="0" xfId="2" applyNumberFormat="1" applyFont="1" applyFill="1" applyBorder="1"/>
    <xf numFmtId="195" fontId="11" fillId="14" borderId="18" xfId="2" applyNumberFormat="1" applyFont="1" applyFill="1" applyBorder="1"/>
    <xf numFmtId="195" fontId="11" fillId="14" borderId="18" xfId="0" applyNumberFormat="1" applyFont="1" applyFill="1" applyBorder="1"/>
    <xf numFmtId="195" fontId="11" fillId="14" borderId="1" xfId="0" applyNumberFormat="1" applyFont="1" applyFill="1" applyBorder="1"/>
    <xf numFmtId="195" fontId="11" fillId="14" borderId="29" xfId="0" applyNumberFormat="1" applyFont="1" applyFill="1" applyBorder="1"/>
    <xf numFmtId="197" fontId="11" fillId="14" borderId="0" xfId="0" applyNumberFormat="1" applyFont="1" applyFill="1" applyBorder="1"/>
    <xf numFmtId="197" fontId="12" fillId="14" borderId="10" xfId="0" applyNumberFormat="1" applyFont="1" applyFill="1" applyBorder="1"/>
    <xf numFmtId="195" fontId="18" fillId="15" borderId="0" xfId="0" applyNumberFormat="1" applyFont="1" applyFill="1" applyBorder="1"/>
    <xf numFmtId="195" fontId="18" fillId="15" borderId="18" xfId="0" applyNumberFormat="1" applyFont="1" applyFill="1" applyBorder="1"/>
    <xf numFmtId="195" fontId="11" fillId="17" borderId="0" xfId="0" applyNumberFormat="1" applyFont="1" applyFill="1" applyBorder="1"/>
    <xf numFmtId="195" fontId="11" fillId="17" borderId="18" xfId="0" applyNumberFormat="1" applyFont="1" applyFill="1" applyBorder="1"/>
    <xf numFmtId="195" fontId="11" fillId="17" borderId="1" xfId="0" applyNumberFormat="1" applyFont="1" applyFill="1" applyBorder="1"/>
    <xf numFmtId="195" fontId="11" fillId="17" borderId="29" xfId="0" applyNumberFormat="1" applyFont="1" applyFill="1" applyBorder="1"/>
    <xf numFmtId="195" fontId="18" fillId="17" borderId="0" xfId="0" applyNumberFormat="1" applyFont="1" applyFill="1" applyBorder="1"/>
    <xf numFmtId="195" fontId="18" fillId="17" borderId="18" xfId="0" applyNumberFormat="1" applyFont="1" applyFill="1" applyBorder="1"/>
    <xf numFmtId="195" fontId="11" fillId="18" borderId="0" xfId="0" applyNumberFormat="1" applyFont="1" applyFill="1" applyBorder="1"/>
    <xf numFmtId="195" fontId="11" fillId="18" borderId="18" xfId="0" applyNumberFormat="1" applyFont="1" applyFill="1" applyBorder="1"/>
    <xf numFmtId="195" fontId="11" fillId="18" borderId="1" xfId="0" applyNumberFormat="1" applyFont="1" applyFill="1" applyBorder="1"/>
    <xf numFmtId="195" fontId="11" fillId="18" borderId="29" xfId="0" applyNumberFormat="1" applyFont="1" applyFill="1" applyBorder="1"/>
    <xf numFmtId="195" fontId="37" fillId="15" borderId="0" xfId="2" applyNumberFormat="1" applyFont="1" applyFill="1" applyBorder="1"/>
    <xf numFmtId="195" fontId="37" fillId="14" borderId="0" xfId="2" applyNumberFormat="1" applyFont="1" applyFill="1" applyBorder="1"/>
    <xf numFmtId="195" fontId="11" fillId="15" borderId="0" xfId="0" applyNumberFormat="1" applyFont="1" applyFill="1" applyBorder="1" applyAlignment="1">
      <alignment horizontal="center"/>
    </xf>
    <xf numFmtId="195" fontId="11" fillId="15" borderId="0" xfId="0" applyNumberFormat="1" applyFont="1" applyFill="1" applyBorder="1" applyAlignment="1"/>
    <xf numFmtId="195" fontId="12" fillId="15" borderId="0" xfId="0" applyNumberFormat="1" applyFont="1" applyFill="1" applyBorder="1" applyAlignment="1">
      <alignment horizontal="center"/>
    </xf>
    <xf numFmtId="195" fontId="12" fillId="15" borderId="0" xfId="0" applyNumberFormat="1" applyFont="1" applyFill="1" applyBorder="1" applyAlignment="1"/>
    <xf numFmtId="195" fontId="11" fillId="15" borderId="1" xfId="0" applyNumberFormat="1" applyFont="1" applyFill="1" applyBorder="1" applyAlignment="1">
      <alignment horizontal="center"/>
    </xf>
    <xf numFmtId="195" fontId="11" fillId="15" borderId="1" xfId="0" applyNumberFormat="1" applyFont="1" applyFill="1" applyBorder="1" applyAlignment="1"/>
    <xf numFmtId="197" fontId="11" fillId="15" borderId="0" xfId="0" applyNumberFormat="1" applyFont="1" applyFill="1" applyBorder="1" applyAlignment="1"/>
    <xf numFmtId="195" fontId="11" fillId="14" borderId="0" xfId="0" applyNumberFormat="1" applyFont="1" applyFill="1" applyBorder="1" applyAlignment="1">
      <alignment horizontal="center"/>
    </xf>
    <xf numFmtId="195" fontId="11" fillId="14" borderId="0" xfId="0" applyNumberFormat="1" applyFont="1" applyFill="1" applyBorder="1" applyAlignment="1"/>
    <xf numFmtId="195" fontId="11" fillId="14" borderId="1" xfId="0" applyNumberFormat="1" applyFont="1" applyFill="1" applyBorder="1" applyAlignment="1">
      <alignment horizontal="center"/>
    </xf>
    <xf numFmtId="195" fontId="11" fillId="14" borderId="1" xfId="0" applyNumberFormat="1" applyFont="1" applyFill="1" applyBorder="1" applyAlignment="1"/>
    <xf numFmtId="195" fontId="12" fillId="14" borderId="0" xfId="0" applyNumberFormat="1" applyFont="1" applyFill="1" applyBorder="1" applyAlignment="1">
      <alignment horizontal="center"/>
    </xf>
    <xf numFmtId="195" fontId="12" fillId="14" borderId="0" xfId="0" applyNumberFormat="1" applyFont="1" applyFill="1" applyBorder="1" applyAlignment="1"/>
    <xf numFmtId="197" fontId="11" fillId="14" borderId="0" xfId="0" applyNumberFormat="1" applyFont="1" applyFill="1" applyBorder="1" applyAlignment="1"/>
    <xf numFmtId="195" fontId="11" fillId="0" borderId="23" xfId="3" applyNumberFormat="1" applyFont="1" applyBorder="1" applyProtection="1"/>
    <xf numFmtId="195" fontId="11" fillId="0" borderId="24" xfId="3" applyNumberFormat="1" applyFont="1" applyBorder="1" applyProtection="1"/>
    <xf numFmtId="195" fontId="5" fillId="0" borderId="0" xfId="145" applyNumberFormat="1" applyFont="1" applyFill="1" applyBorder="1" applyAlignment="1">
      <alignment horizontal="center"/>
    </xf>
    <xf numFmtId="195" fontId="5" fillId="0" borderId="0" xfId="145" applyNumberFormat="1" applyFont="1" applyAlignment="1">
      <alignment horizontal="center"/>
    </xf>
    <xf numFmtId="197" fontId="5" fillId="0" borderId="0" xfId="145" applyNumberFormat="1" applyFont="1" applyFill="1" applyBorder="1" applyAlignment="1">
      <alignment horizontal="center"/>
    </xf>
    <xf numFmtId="195" fontId="5" fillId="0" borderId="0" xfId="145" applyNumberFormat="1" applyFont="1"/>
    <xf numFmtId="195" fontId="37" fillId="0" borderId="0" xfId="145" applyNumberFormat="1" applyFont="1"/>
    <xf numFmtId="0" fontId="26" fillId="0" borderId="0" xfId="145" applyFont="1"/>
    <xf numFmtId="164" fontId="27" fillId="0" borderId="0" xfId="1" applyNumberFormat="1" applyFont="1"/>
    <xf numFmtId="0" fontId="37" fillId="0" borderId="0" xfId="145" applyFont="1"/>
    <xf numFmtId="1" fontId="5" fillId="0" borderId="0" xfId="145" applyNumberFormat="1" applyFont="1"/>
    <xf numFmtId="198" fontId="37" fillId="0" borderId="0" xfId="145" applyNumberFormat="1" applyFont="1"/>
    <xf numFmtId="0" fontId="26" fillId="0" borderId="0" xfId="145" applyFont="1" applyAlignment="1">
      <alignment horizontal="center"/>
    </xf>
    <xf numFmtId="198" fontId="26" fillId="0" borderId="0" xfId="145" applyNumberFormat="1" applyFont="1"/>
    <xf numFmtId="199" fontId="26" fillId="0" borderId="0" xfId="145" applyNumberFormat="1" applyFont="1"/>
    <xf numFmtId="0" fontId="41" fillId="22" borderId="0" xfId="0" applyFont="1" applyFill="1" applyBorder="1"/>
    <xf numFmtId="0" fontId="41" fillId="22" borderId="28" xfId="0" applyFont="1" applyFill="1" applyBorder="1"/>
    <xf numFmtId="0" fontId="41" fillId="22" borderId="13" xfId="0" applyFont="1" applyFill="1" applyBorder="1"/>
    <xf numFmtId="0" fontId="41" fillId="22" borderId="13" xfId="0" applyFont="1" applyFill="1" applyBorder="1" applyAlignment="1">
      <alignment horizontal="center"/>
    </xf>
    <xf numFmtId="0" fontId="41" fillId="22" borderId="26" xfId="0" applyFont="1" applyFill="1" applyBorder="1"/>
    <xf numFmtId="0" fontId="41" fillId="22" borderId="12" xfId="0" applyFont="1" applyFill="1" applyBorder="1"/>
    <xf numFmtId="0" fontId="41" fillId="22" borderId="27" xfId="0" applyFont="1" applyFill="1" applyBorder="1"/>
    <xf numFmtId="0" fontId="41" fillId="22" borderId="6" xfId="0" applyFont="1" applyFill="1" applyBorder="1"/>
    <xf numFmtId="0" fontId="41" fillId="22" borderId="1" xfId="0" applyFont="1" applyFill="1" applyBorder="1"/>
    <xf numFmtId="0" fontId="41" fillId="22" borderId="7" xfId="0" applyFont="1" applyFill="1" applyBorder="1"/>
    <xf numFmtId="0" fontId="41" fillId="0" borderId="0" xfId="0" applyFont="1"/>
    <xf numFmtId="0" fontId="41" fillId="18" borderId="25" xfId="0" applyFont="1" applyFill="1" applyBorder="1" applyAlignment="1">
      <alignment horizontal="center"/>
    </xf>
    <xf numFmtId="0" fontId="41" fillId="22" borderId="0" xfId="0" applyFont="1" applyFill="1" applyBorder="1" applyAlignment="1">
      <alignment horizontal="center"/>
    </xf>
    <xf numFmtId="0" fontId="41" fillId="18" borderId="23" xfId="0" applyFont="1" applyFill="1" applyBorder="1" applyAlignment="1">
      <alignment horizontal="center"/>
    </xf>
    <xf numFmtId="0" fontId="41" fillId="18" borderId="23" xfId="0" applyFont="1" applyFill="1" applyBorder="1"/>
    <xf numFmtId="0" fontId="42" fillId="18" borderId="23" xfId="0" applyFont="1" applyFill="1" applyBorder="1" applyAlignment="1">
      <alignment horizontal="center"/>
    </xf>
    <xf numFmtId="0" fontId="42" fillId="22" borderId="0" xfId="0" applyFont="1" applyFill="1" applyBorder="1" applyAlignment="1">
      <alignment horizontal="center"/>
    </xf>
    <xf numFmtId="164" fontId="41" fillId="18" borderId="23" xfId="1" applyNumberFormat="1" applyFont="1" applyFill="1" applyBorder="1" applyAlignment="1">
      <alignment horizontal="center"/>
    </xf>
    <xf numFmtId="164" fontId="41" fillId="22" borderId="0" xfId="1" applyNumberFormat="1" applyFont="1" applyFill="1" applyBorder="1" applyAlignment="1">
      <alignment horizontal="center"/>
    </xf>
    <xf numFmtId="9" fontId="41" fillId="18" borderId="23" xfId="0" applyNumberFormat="1" applyFont="1" applyFill="1" applyBorder="1" applyAlignment="1">
      <alignment horizontal="center"/>
    </xf>
    <xf numFmtId="9" fontId="41" fillId="22" borderId="0" xfId="0" applyNumberFormat="1" applyFont="1" applyFill="1" applyBorder="1" applyAlignment="1">
      <alignment horizontal="center"/>
    </xf>
    <xf numFmtId="196" fontId="41" fillId="18" borderId="23" xfId="0" applyNumberFormat="1" applyFont="1" applyFill="1" applyBorder="1" applyAlignment="1">
      <alignment horizontal="center"/>
    </xf>
    <xf numFmtId="196" fontId="41" fillId="22" borderId="0" xfId="0" applyNumberFormat="1" applyFont="1" applyFill="1" applyBorder="1" applyAlignment="1">
      <alignment horizontal="center"/>
    </xf>
    <xf numFmtId="196" fontId="41" fillId="18" borderId="23" xfId="0" applyNumberFormat="1" applyFont="1" applyFill="1" applyBorder="1"/>
    <xf numFmtId="196" fontId="41" fillId="22" borderId="0" xfId="0" applyNumberFormat="1" applyFont="1" applyFill="1" applyBorder="1"/>
    <xf numFmtId="196" fontId="43" fillId="22" borderId="0" xfId="0" applyNumberFormat="1" applyFont="1" applyFill="1" applyBorder="1" applyAlignment="1">
      <alignment horizontal="center"/>
    </xf>
    <xf numFmtId="0" fontId="41" fillId="22" borderId="0" xfId="0" applyFont="1" applyFill="1"/>
    <xf numFmtId="196" fontId="42" fillId="18" borderId="23" xfId="0" applyNumberFormat="1" applyFont="1" applyFill="1" applyBorder="1" applyAlignment="1">
      <alignment horizontal="center"/>
    </xf>
    <xf numFmtId="196" fontId="42" fillId="22" borderId="0" xfId="0" applyNumberFormat="1" applyFont="1" applyFill="1" applyBorder="1" applyAlignment="1">
      <alignment horizontal="center"/>
    </xf>
    <xf numFmtId="0" fontId="41" fillId="18" borderId="24" xfId="0" applyFont="1" applyFill="1" applyBorder="1"/>
    <xf numFmtId="0" fontId="11" fillId="0" borderId="0" xfId="0" applyFont="1" applyFill="1" applyBorder="1" applyAlignment="1">
      <alignment horizontal="center" vertical="center"/>
    </xf>
    <xf numFmtId="37" fontId="25" fillId="0" borderId="0" xfId="2" applyNumberFormat="1" applyFont="1" applyBorder="1" applyAlignment="1" applyProtection="1">
      <alignment horizontal="center"/>
      <protection locked="0"/>
    </xf>
    <xf numFmtId="10" fontId="11" fillId="0" borderId="0" xfId="0" applyNumberFormat="1" applyFont="1" applyProtection="1"/>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44" fillId="0" borderId="0" xfId="0" applyFont="1"/>
    <xf numFmtId="0" fontId="11" fillId="15" borderId="27" xfId="0" applyFont="1" applyFill="1" applyBorder="1" applyAlignment="1">
      <alignment horizontal="center" vertical="center"/>
    </xf>
    <xf numFmtId="0" fontId="11" fillId="14" borderId="27" xfId="0" applyFont="1" applyFill="1" applyBorder="1" applyAlignment="1">
      <alignment horizontal="center" vertical="center"/>
    </xf>
    <xf numFmtId="5" fontId="11" fillId="15" borderId="12" xfId="0" applyNumberFormat="1" applyFont="1" applyFill="1" applyBorder="1" applyAlignment="1">
      <alignment horizontal="center" vertical="center"/>
    </xf>
    <xf numFmtId="164" fontId="11" fillId="14" borderId="12" xfId="1" applyNumberFormat="1" applyFont="1" applyFill="1" applyBorder="1" applyAlignment="1">
      <alignment horizontal="center" vertical="center"/>
    </xf>
    <xf numFmtId="164" fontId="11" fillId="14" borderId="27" xfId="1" applyNumberFormat="1" applyFont="1" applyFill="1" applyBorder="1" applyAlignment="1">
      <alignment horizontal="center" vertical="center"/>
    </xf>
    <xf numFmtId="0" fontId="11" fillId="15" borderId="27" xfId="0" applyFont="1" applyFill="1" applyBorder="1" applyAlignment="1">
      <alignment horizontal="center" vertical="center"/>
    </xf>
    <xf numFmtId="0" fontId="11" fillId="14" borderId="27" xfId="0" applyFont="1" applyFill="1" applyBorder="1" applyAlignment="1">
      <alignment horizontal="center" vertical="center"/>
    </xf>
    <xf numFmtId="5" fontId="11" fillId="15" borderId="12" xfId="0" applyNumberFormat="1" applyFont="1" applyFill="1" applyBorder="1" applyAlignment="1">
      <alignment horizontal="center" vertical="center"/>
    </xf>
    <xf numFmtId="164" fontId="11" fillId="14" borderId="12" xfId="1" applyNumberFormat="1" applyFont="1" applyFill="1" applyBorder="1" applyAlignment="1">
      <alignment horizontal="center" vertical="center"/>
    </xf>
    <xf numFmtId="164" fontId="11" fillId="14" borderId="27" xfId="1" applyNumberFormat="1" applyFont="1" applyFill="1" applyBorder="1" applyAlignment="1">
      <alignment horizontal="center" vertical="center"/>
    </xf>
    <xf numFmtId="164" fontId="19" fillId="14" borderId="12" xfId="1" applyNumberFormat="1" applyFont="1" applyFill="1" applyBorder="1" applyAlignment="1">
      <alignment horizontal="center" vertical="center"/>
    </xf>
    <xf numFmtId="164" fontId="19" fillId="14" borderId="27" xfId="1" applyNumberFormat="1" applyFont="1" applyFill="1" applyBorder="1" applyAlignment="1">
      <alignment horizontal="center" vertical="center"/>
    </xf>
    <xf numFmtId="0" fontId="19" fillId="14" borderId="27" xfId="0" applyFont="1" applyFill="1" applyBorder="1" applyAlignment="1">
      <alignment horizontal="center" vertical="center"/>
    </xf>
    <xf numFmtId="5" fontId="19" fillId="14" borderId="12" xfId="0" applyNumberFormat="1" applyFont="1" applyFill="1" applyBorder="1" applyAlignment="1">
      <alignment horizontal="center" vertical="center"/>
    </xf>
    <xf numFmtId="0" fontId="11" fillId="15" borderId="27" xfId="0" applyFont="1" applyFill="1" applyBorder="1" applyAlignment="1">
      <alignment horizontal="center" vertical="center"/>
    </xf>
    <xf numFmtId="5" fontId="11" fillId="15" borderId="12" xfId="0" applyNumberFormat="1" applyFont="1" applyFill="1" applyBorder="1" applyAlignment="1">
      <alignment horizontal="center" vertical="center"/>
    </xf>
    <xf numFmtId="5" fontId="11" fillId="14" borderId="12" xfId="0" applyNumberFormat="1" applyFont="1" applyFill="1" applyBorder="1" applyAlignment="1">
      <alignment horizontal="center" vertical="center"/>
    </xf>
    <xf numFmtId="0" fontId="11" fillId="14" borderId="27" xfId="0" applyFont="1" applyFill="1" applyBorder="1" applyAlignment="1">
      <alignment horizontal="center" vertical="center"/>
    </xf>
    <xf numFmtId="164" fontId="11" fillId="14" borderId="12" xfId="1" applyNumberFormat="1" applyFont="1" applyFill="1" applyBorder="1" applyAlignment="1">
      <alignment horizontal="center" vertical="center"/>
    </xf>
    <xf numFmtId="164" fontId="11" fillId="14" borderId="27" xfId="1" applyNumberFormat="1" applyFont="1" applyFill="1" applyBorder="1" applyAlignment="1">
      <alignment horizontal="center" vertical="center"/>
    </xf>
    <xf numFmtId="171" fontId="11" fillId="15" borderId="12" xfId="0" applyNumberFormat="1" applyFont="1" applyFill="1" applyBorder="1" applyAlignment="1">
      <alignment horizontal="center" vertical="center"/>
    </xf>
    <xf numFmtId="171" fontId="11" fillId="15" borderId="27" xfId="0" applyNumberFormat="1" applyFont="1" applyFill="1" applyBorder="1" applyAlignment="1">
      <alignment horizontal="center" vertical="center"/>
    </xf>
    <xf numFmtId="0" fontId="11" fillId="15" borderId="27" xfId="0" applyFont="1" applyFill="1" applyBorder="1" applyAlignment="1">
      <alignment horizontal="center" vertical="center"/>
    </xf>
    <xf numFmtId="5" fontId="11" fillId="15" borderId="12" xfId="0" applyNumberFormat="1" applyFont="1" applyFill="1" applyBorder="1" applyAlignment="1">
      <alignment horizontal="center" vertical="center"/>
    </xf>
    <xf numFmtId="5" fontId="11" fillId="14" borderId="12" xfId="0" applyNumberFormat="1" applyFont="1" applyFill="1" applyBorder="1" applyAlignment="1">
      <alignment horizontal="center" vertical="center"/>
    </xf>
    <xf numFmtId="0" fontId="11" fillId="14" borderId="27" xfId="0" applyFont="1" applyFill="1" applyBorder="1" applyAlignment="1">
      <alignment horizontal="center" vertical="center"/>
    </xf>
    <xf numFmtId="164" fontId="11" fillId="14" borderId="12" xfId="1" applyNumberFormat="1" applyFont="1" applyFill="1" applyBorder="1" applyAlignment="1">
      <alignment horizontal="center" vertical="center"/>
    </xf>
    <xf numFmtId="164" fontId="11" fillId="14" borderId="27" xfId="1" applyNumberFormat="1" applyFont="1" applyFill="1" applyBorder="1" applyAlignment="1">
      <alignment horizontal="center" vertical="center"/>
    </xf>
    <xf numFmtId="171" fontId="11" fillId="15" borderId="12" xfId="0" applyNumberFormat="1" applyFont="1" applyFill="1" applyBorder="1" applyAlignment="1">
      <alignment horizontal="center" vertical="center"/>
    </xf>
    <xf numFmtId="7" fontId="11" fillId="15" borderId="27" xfId="0" applyNumberFormat="1" applyFont="1" applyFill="1" applyBorder="1" applyAlignment="1">
      <alignment horizontal="center" vertical="center"/>
    </xf>
    <xf numFmtId="171" fontId="11" fillId="15" borderId="27" xfId="0" applyNumberFormat="1" applyFont="1" applyFill="1" applyBorder="1" applyAlignment="1">
      <alignment horizontal="center" vertical="center"/>
    </xf>
    <xf numFmtId="7" fontId="11" fillId="15" borderId="12" xfId="0" applyNumberFormat="1" applyFont="1" applyFill="1" applyBorder="1" applyAlignment="1">
      <alignment horizontal="center" vertical="center"/>
    </xf>
    <xf numFmtId="164" fontId="5" fillId="15" borderId="12" xfId="0" applyNumberFormat="1" applyFont="1" applyFill="1" applyBorder="1" applyAlignment="1" applyProtection="1">
      <alignment horizontal="center"/>
    </xf>
    <xf numFmtId="164" fontId="11" fillId="15" borderId="12" xfId="1" applyNumberFormat="1" applyFont="1" applyFill="1" applyBorder="1" applyAlignment="1" applyProtection="1">
      <alignment horizontal="center"/>
    </xf>
    <xf numFmtId="164" fontId="11" fillId="15" borderId="0" xfId="1" applyNumberFormat="1" applyFont="1" applyFill="1" applyBorder="1" applyAlignment="1" applyProtection="1">
      <alignment horizontal="center"/>
    </xf>
    <xf numFmtId="164" fontId="11" fillId="15" borderId="27" xfId="1" applyNumberFormat="1" applyFont="1" applyFill="1" applyBorder="1" applyAlignment="1" applyProtection="1">
      <alignment horizontal="center"/>
    </xf>
    <xf numFmtId="164" fontId="11" fillId="14" borderId="28" xfId="1" applyNumberFormat="1" applyFont="1" applyFill="1" applyBorder="1" applyAlignment="1" applyProtection="1">
      <alignment horizontal="center"/>
    </xf>
    <xf numFmtId="164" fontId="11" fillId="14" borderId="0" xfId="1" applyNumberFormat="1" applyFont="1" applyFill="1" applyBorder="1" applyAlignment="1" applyProtection="1">
      <alignment horizontal="center"/>
    </xf>
    <xf numFmtId="164" fontId="11" fillId="14" borderId="27" xfId="1" applyNumberFormat="1" applyFont="1" applyFill="1" applyBorder="1" applyAlignment="1" applyProtection="1">
      <alignment horizontal="center"/>
    </xf>
    <xf numFmtId="164" fontId="5" fillId="14" borderId="6" xfId="0" applyNumberFormat="1" applyFont="1" applyFill="1" applyBorder="1" applyAlignment="1" applyProtection="1">
      <alignment horizontal="center"/>
    </xf>
    <xf numFmtId="164" fontId="5" fillId="14" borderId="1" xfId="0" applyNumberFormat="1" applyFont="1" applyFill="1" applyBorder="1" applyAlignment="1" applyProtection="1">
      <alignment horizontal="center"/>
    </xf>
    <xf numFmtId="164" fontId="5" fillId="14" borderId="7" xfId="0" applyNumberFormat="1" applyFont="1" applyFill="1" applyBorder="1" applyAlignment="1" applyProtection="1">
      <alignment horizontal="center"/>
    </xf>
    <xf numFmtId="164" fontId="12" fillId="15" borderId="6" xfId="0" applyNumberFormat="1" applyFont="1" applyFill="1" applyBorder="1" applyAlignment="1" applyProtection="1">
      <alignment horizontal="center"/>
    </xf>
    <xf numFmtId="164" fontId="12" fillId="15" borderId="1" xfId="0" applyNumberFormat="1" applyFont="1" applyFill="1" applyBorder="1" applyAlignment="1" applyProtection="1">
      <alignment horizontal="center"/>
    </xf>
    <xf numFmtId="164" fontId="12" fillId="14" borderId="6" xfId="0" applyNumberFormat="1" applyFont="1" applyFill="1" applyBorder="1" applyAlignment="1" applyProtection="1">
      <alignment horizontal="center"/>
    </xf>
    <xf numFmtId="164" fontId="12" fillId="14" borderId="1" xfId="0" applyNumberFormat="1" applyFont="1" applyFill="1" applyBorder="1" applyAlignment="1" applyProtection="1">
      <alignment horizontal="center"/>
    </xf>
    <xf numFmtId="164" fontId="12" fillId="14" borderId="7" xfId="0" applyNumberFormat="1" applyFont="1" applyFill="1" applyBorder="1" applyAlignment="1" applyProtection="1">
      <alignment horizontal="center"/>
    </xf>
    <xf numFmtId="10" fontId="5" fillId="14" borderId="12" xfId="0" applyNumberFormat="1" applyFont="1" applyFill="1" applyBorder="1" applyAlignment="1" applyProtection="1">
      <alignment horizontal="center"/>
    </xf>
    <xf numFmtId="10" fontId="5" fillId="14" borderId="28" xfId="0" applyNumberFormat="1" applyFont="1" applyFill="1" applyBorder="1" applyAlignment="1" applyProtection="1">
      <alignment horizontal="center" vertical="center"/>
    </xf>
    <xf numFmtId="10" fontId="5" fillId="14" borderId="13" xfId="0" applyNumberFormat="1" applyFont="1" applyFill="1" applyBorder="1" applyAlignment="1" applyProtection="1">
      <alignment horizontal="center" vertical="center"/>
    </xf>
    <xf numFmtId="10" fontId="5" fillId="14" borderId="26" xfId="0" applyNumberFormat="1" applyFont="1" applyFill="1" applyBorder="1" applyAlignment="1" applyProtection="1">
      <alignment horizontal="center" vertical="center"/>
    </xf>
    <xf numFmtId="10" fontId="5" fillId="14" borderId="12" xfId="0" applyNumberFormat="1" applyFont="1" applyFill="1" applyBorder="1" applyAlignment="1" applyProtection="1">
      <alignment horizontal="center" vertical="center"/>
    </xf>
    <xf numFmtId="10" fontId="5" fillId="14" borderId="0" xfId="0" applyNumberFormat="1" applyFont="1" applyFill="1" applyBorder="1" applyAlignment="1" applyProtection="1">
      <alignment horizontal="center" vertical="center"/>
    </xf>
    <xf numFmtId="10" fontId="5" fillId="14" borderId="27" xfId="0" applyNumberFormat="1" applyFont="1" applyFill="1" applyBorder="1" applyAlignment="1" applyProtection="1">
      <alignment horizontal="center" vertical="center"/>
    </xf>
    <xf numFmtId="10" fontId="5" fillId="14" borderId="6" xfId="0" applyNumberFormat="1" applyFont="1" applyFill="1" applyBorder="1" applyAlignment="1" applyProtection="1">
      <alignment horizontal="center"/>
    </xf>
    <xf numFmtId="10" fontId="5" fillId="14" borderId="1" xfId="0" applyNumberFormat="1" applyFont="1" applyFill="1" applyBorder="1" applyAlignment="1" applyProtection="1">
      <alignment horizontal="center"/>
    </xf>
    <xf numFmtId="10" fontId="5" fillId="14" borderId="7" xfId="0" applyNumberFormat="1" applyFont="1" applyFill="1" applyBorder="1" applyAlignment="1" applyProtection="1">
      <alignment horizontal="center"/>
    </xf>
    <xf numFmtId="164" fontId="12" fillId="15" borderId="6" xfId="1" applyNumberFormat="1" applyFont="1" applyFill="1" applyBorder="1" applyAlignment="1" applyProtection="1">
      <alignment horizontal="center"/>
    </xf>
    <xf numFmtId="164" fontId="12" fillId="15" borderId="4" xfId="1" applyNumberFormat="1" applyFont="1" applyFill="1" applyBorder="1" applyAlignment="1" applyProtection="1">
      <alignment horizontal="center"/>
    </xf>
    <xf numFmtId="164" fontId="12" fillId="15" borderId="2" xfId="1" applyNumberFormat="1" applyFont="1" applyFill="1" applyBorder="1" applyAlignment="1" applyProtection="1">
      <alignment horizontal="center"/>
    </xf>
    <xf numFmtId="164" fontId="12" fillId="15" borderId="5" xfId="1" applyNumberFormat="1" applyFont="1" applyFill="1" applyBorder="1" applyAlignment="1" applyProtection="1">
      <alignment horizontal="center"/>
    </xf>
    <xf numFmtId="164" fontId="12" fillId="14" borderId="6" xfId="1" applyNumberFormat="1" applyFont="1" applyFill="1" applyBorder="1" applyAlignment="1" applyProtection="1">
      <alignment horizontal="center"/>
    </xf>
    <xf numFmtId="164" fontId="12" fillId="14" borderId="4" xfId="1" applyNumberFormat="1" applyFont="1" applyFill="1" applyBorder="1" applyAlignment="1" applyProtection="1">
      <alignment horizontal="center"/>
    </xf>
    <xf numFmtId="164" fontId="12" fillId="14" borderId="2" xfId="1" applyNumberFormat="1" applyFont="1" applyFill="1" applyBorder="1" applyAlignment="1" applyProtection="1">
      <alignment horizontal="center"/>
    </xf>
    <xf numFmtId="164" fontId="12" fillId="14" borderId="5" xfId="1" applyNumberFormat="1" applyFont="1" applyFill="1" applyBorder="1" applyAlignment="1" applyProtection="1">
      <alignment horizontal="center"/>
    </xf>
    <xf numFmtId="2" fontId="18" fillId="2" borderId="23" xfId="0" applyNumberFormat="1" applyFont="1" applyFill="1" applyBorder="1" applyAlignment="1" applyProtection="1">
      <alignment vertical="top"/>
      <protection locked="0"/>
    </xf>
    <xf numFmtId="2" fontId="18" fillId="6" borderId="23" xfId="0" applyNumberFormat="1" applyFont="1" applyFill="1" applyBorder="1" applyAlignment="1" applyProtection="1">
      <alignment vertical="top"/>
      <protection locked="0"/>
    </xf>
    <xf numFmtId="2" fontId="18" fillId="7" borderId="23" xfId="0" applyNumberFormat="1" applyFont="1" applyFill="1" applyBorder="1" applyAlignment="1" applyProtection="1">
      <alignment vertical="top"/>
      <protection locked="0"/>
    </xf>
    <xf numFmtId="2" fontId="18" fillId="8" borderId="23" xfId="0" applyNumberFormat="1" applyFont="1" applyFill="1" applyBorder="1" applyAlignment="1" applyProtection="1">
      <alignment vertical="top"/>
      <protection locked="0"/>
    </xf>
    <xf numFmtId="2" fontId="18" fillId="9" borderId="23" xfId="0" applyNumberFormat="1" applyFont="1" applyFill="1" applyBorder="1" applyAlignment="1" applyProtection="1">
      <alignment vertical="top"/>
      <protection locked="0"/>
    </xf>
    <xf numFmtId="2" fontId="18" fillId="5" borderId="27" xfId="0" applyNumberFormat="1" applyFont="1" applyFill="1" applyBorder="1" applyAlignment="1" applyProtection="1">
      <alignment vertical="top"/>
      <protection locked="0"/>
    </xf>
    <xf numFmtId="164" fontId="5" fillId="15" borderId="6" xfId="0" applyNumberFormat="1" applyFont="1" applyFill="1" applyBorder="1" applyAlignment="1" applyProtection="1">
      <alignment horizontal="center"/>
      <protection locked="0"/>
    </xf>
    <xf numFmtId="164" fontId="5" fillId="15" borderId="1" xfId="0" applyNumberFormat="1" applyFont="1" applyFill="1" applyBorder="1" applyAlignment="1" applyProtection="1">
      <alignment horizontal="center"/>
      <protection locked="0"/>
    </xf>
    <xf numFmtId="164" fontId="5" fillId="15" borderId="7" xfId="0" applyNumberFormat="1" applyFont="1" applyFill="1" applyBorder="1" applyAlignment="1" applyProtection="1">
      <alignment horizontal="center"/>
      <protection locked="0"/>
    </xf>
    <xf numFmtId="10" fontId="5" fillId="15" borderId="12" xfId="0" applyNumberFormat="1" applyFont="1" applyFill="1" applyBorder="1" applyAlignment="1" applyProtection="1">
      <alignment horizontal="center"/>
      <protection locked="0"/>
    </xf>
    <xf numFmtId="10" fontId="5" fillId="15" borderId="13" xfId="0" applyNumberFormat="1" applyFont="1" applyFill="1" applyBorder="1" applyAlignment="1" applyProtection="1">
      <alignment horizontal="center"/>
      <protection locked="0"/>
    </xf>
    <xf numFmtId="10" fontId="5" fillId="15" borderId="27" xfId="0" applyNumberFormat="1" applyFont="1" applyFill="1" applyBorder="1" applyAlignment="1" applyProtection="1">
      <alignment horizontal="center"/>
      <protection locked="0"/>
    </xf>
    <xf numFmtId="10" fontId="5" fillId="15" borderId="0" xfId="0" applyNumberFormat="1" applyFont="1" applyFill="1" applyBorder="1" applyAlignment="1" applyProtection="1">
      <alignment horizontal="center"/>
      <protection locked="0"/>
    </xf>
    <xf numFmtId="10" fontId="5" fillId="15" borderId="6" xfId="0" applyNumberFormat="1" applyFont="1" applyFill="1" applyBorder="1" applyAlignment="1" applyProtection="1">
      <alignment horizontal="center"/>
      <protection locked="0"/>
    </xf>
    <xf numFmtId="10" fontId="5" fillId="15" borderId="7" xfId="0" applyNumberFormat="1" applyFont="1" applyFill="1" applyBorder="1" applyAlignment="1" applyProtection="1">
      <alignment horizontal="center"/>
      <protection locked="0"/>
    </xf>
    <xf numFmtId="0" fontId="11" fillId="15" borderId="27" xfId="0" applyFont="1" applyFill="1" applyBorder="1" applyAlignment="1">
      <alignment horizontal="center" vertical="center"/>
    </xf>
    <xf numFmtId="0" fontId="11" fillId="14" borderId="27" xfId="0" applyFont="1" applyFill="1" applyBorder="1" applyAlignment="1">
      <alignment horizontal="center" vertical="center"/>
    </xf>
    <xf numFmtId="5" fontId="11" fillId="15" borderId="12" xfId="0" applyNumberFormat="1" applyFont="1" applyFill="1" applyBorder="1" applyAlignment="1">
      <alignment horizontal="center" vertical="center"/>
    </xf>
    <xf numFmtId="164" fontId="11" fillId="14" borderId="12" xfId="1" applyNumberFormat="1" applyFont="1" applyFill="1" applyBorder="1" applyAlignment="1">
      <alignment horizontal="center" vertical="center"/>
    </xf>
    <xf numFmtId="164" fontId="11" fillId="14" borderId="27" xfId="1" applyNumberFormat="1" applyFont="1" applyFill="1" applyBorder="1" applyAlignment="1">
      <alignment horizontal="center" vertical="center"/>
    </xf>
    <xf numFmtId="164" fontId="19" fillId="14" borderId="28" xfId="1" applyNumberFormat="1" applyFont="1" applyFill="1" applyBorder="1" applyAlignment="1" applyProtection="1">
      <alignment horizontal="center"/>
    </xf>
    <xf numFmtId="164" fontId="45" fillId="14" borderId="6" xfId="0" applyNumberFormat="1" applyFont="1" applyFill="1" applyBorder="1" applyAlignment="1" applyProtection="1">
      <alignment horizontal="center"/>
    </xf>
    <xf numFmtId="0" fontId="11" fillId="0" borderId="0" xfId="0" applyFont="1" applyFill="1" applyBorder="1" applyAlignment="1">
      <alignment horizontal="center" vertical="center"/>
    </xf>
    <xf numFmtId="164" fontId="5" fillId="14" borderId="27" xfId="1" applyNumberFormat="1" applyFont="1" applyFill="1" applyBorder="1" applyAlignment="1" applyProtection="1">
      <alignment horizontal="center"/>
    </xf>
    <xf numFmtId="0" fontId="5" fillId="0" borderId="0" xfId="0" applyFont="1" applyFill="1" applyBorder="1"/>
    <xf numFmtId="0" fontId="26" fillId="0" borderId="0" xfId="0" applyFont="1" applyFill="1" applyBorder="1"/>
    <xf numFmtId="0" fontId="5" fillId="0" borderId="0" xfId="0" applyFont="1"/>
    <xf numFmtId="0" fontId="5"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17" fillId="0" borderId="0" xfId="0" applyFont="1" applyFill="1" applyBorder="1" applyAlignment="1">
      <alignment horizontal="center" vertical="center"/>
    </xf>
    <xf numFmtId="7" fontId="5" fillId="15" borderId="12" xfId="0" applyNumberFormat="1" applyFont="1" applyFill="1" applyBorder="1" applyAlignment="1">
      <alignment horizontal="center" vertical="center"/>
    </xf>
    <xf numFmtId="7" fontId="5" fillId="15" borderId="27" xfId="0" applyNumberFormat="1" applyFont="1" applyFill="1" applyBorder="1" applyAlignment="1">
      <alignment horizontal="center" vertical="center"/>
    </xf>
    <xf numFmtId="164" fontId="26" fillId="14" borderId="7" xfId="0" applyNumberFormat="1" applyFont="1" applyFill="1" applyBorder="1" applyAlignment="1" applyProtection="1">
      <alignment horizontal="center"/>
    </xf>
    <xf numFmtId="15" fontId="37" fillId="0" borderId="0" xfId="145" applyNumberFormat="1" applyFont="1" applyFill="1" applyBorder="1" applyAlignment="1">
      <alignment horizontal="center"/>
    </xf>
    <xf numFmtId="0" fontId="38" fillId="0" borderId="27" xfId="0" applyFont="1" applyBorder="1" applyAlignment="1">
      <alignment horizontal="center"/>
    </xf>
    <xf numFmtId="0" fontId="37" fillId="0" borderId="0" xfId="143" applyFont="1" applyFill="1" applyBorder="1" applyAlignment="1">
      <alignment horizontal="center"/>
    </xf>
    <xf numFmtId="0" fontId="37" fillId="0" borderId="13" xfId="143" applyFont="1" applyFill="1" applyBorder="1" applyAlignment="1">
      <alignment horizontal="center"/>
    </xf>
    <xf numFmtId="0" fontId="38" fillId="0" borderId="26" xfId="0" applyFont="1" applyBorder="1" applyAlignment="1">
      <alignment horizontal="center"/>
    </xf>
    <xf numFmtId="0" fontId="37" fillId="0" borderId="1" xfId="143" applyFont="1" applyFill="1" applyBorder="1" applyAlignment="1">
      <alignment horizontal="center"/>
    </xf>
    <xf numFmtId="0" fontId="38" fillId="0" borderId="7" xfId="0" applyFont="1" applyBorder="1" applyAlignment="1">
      <alignment horizontal="center"/>
    </xf>
    <xf numFmtId="179" fontId="11" fillId="14" borderId="12" xfId="0" applyNumberFormat="1" applyFont="1" applyFill="1" applyBorder="1" applyAlignment="1">
      <alignment horizontal="center" vertical="center"/>
    </xf>
    <xf numFmtId="179" fontId="11" fillId="14" borderId="27" xfId="0" applyNumberFormat="1" applyFont="1" applyFill="1" applyBorder="1" applyAlignment="1">
      <alignment horizontal="center" vertical="center"/>
    </xf>
    <xf numFmtId="179" fontId="11" fillId="15" borderId="12" xfId="0" applyNumberFormat="1" applyFont="1" applyFill="1" applyBorder="1" applyAlignment="1">
      <alignment horizontal="center" vertical="center"/>
    </xf>
    <xf numFmtId="179" fontId="11" fillId="15" borderId="27" xfId="0" applyNumberFormat="1" applyFont="1" applyFill="1" applyBorder="1" applyAlignment="1">
      <alignment horizontal="center" vertical="center"/>
    </xf>
    <xf numFmtId="179" fontId="12" fillId="15" borderId="12" xfId="0" applyNumberFormat="1" applyFont="1" applyFill="1" applyBorder="1" applyAlignment="1">
      <alignment horizontal="center" vertical="center"/>
    </xf>
    <xf numFmtId="179" fontId="12" fillId="15" borderId="27" xfId="0" applyNumberFormat="1" applyFont="1" applyFill="1" applyBorder="1" applyAlignment="1">
      <alignment horizontal="center" vertical="center"/>
    </xf>
    <xf numFmtId="179" fontId="12" fillId="14" borderId="12" xfId="0" applyNumberFormat="1" applyFont="1" applyFill="1" applyBorder="1" applyAlignment="1">
      <alignment horizontal="center" vertical="center"/>
    </xf>
    <xf numFmtId="179" fontId="12" fillId="14" borderId="27" xfId="0" applyNumberFormat="1" applyFont="1" applyFill="1" applyBorder="1" applyAlignment="1">
      <alignment horizontal="center" vertical="center"/>
    </xf>
    <xf numFmtId="164" fontId="11" fillId="15" borderId="12" xfId="1" applyNumberFormat="1" applyFont="1" applyFill="1" applyBorder="1" applyAlignment="1">
      <alignment horizontal="center" vertical="center"/>
    </xf>
    <xf numFmtId="164" fontId="0" fillId="0" borderId="27" xfId="1" applyNumberFormat="1" applyFont="1" applyBorder="1" applyAlignment="1">
      <alignment horizontal="center" vertical="center"/>
    </xf>
    <xf numFmtId="164" fontId="11" fillId="14" borderId="12" xfId="1" applyNumberFormat="1" applyFont="1" applyFill="1" applyBorder="1" applyAlignment="1">
      <alignment horizontal="center"/>
    </xf>
    <xf numFmtId="164" fontId="11" fillId="14" borderId="27" xfId="1" applyNumberFormat="1" applyFont="1" applyFill="1" applyBorder="1" applyAlignment="1">
      <alignment horizontal="center"/>
    </xf>
    <xf numFmtId="181" fontId="11" fillId="15" borderId="12" xfId="0" applyNumberFormat="1" applyFont="1" applyFill="1" applyBorder="1" applyAlignment="1">
      <alignment horizontal="center"/>
    </xf>
    <xf numFmtId="181" fontId="11" fillId="15" borderId="27" xfId="0" applyNumberFormat="1" applyFont="1" applyFill="1" applyBorder="1" applyAlignment="1">
      <alignment horizontal="center"/>
    </xf>
    <xf numFmtId="181" fontId="11" fillId="14" borderId="12" xfId="0" applyNumberFormat="1" applyFont="1" applyFill="1" applyBorder="1" applyAlignment="1">
      <alignment horizontal="center"/>
    </xf>
    <xf numFmtId="181" fontId="11" fillId="14" borderId="27" xfId="0" applyNumberFormat="1" applyFont="1" applyFill="1" applyBorder="1" applyAlignment="1">
      <alignment horizontal="center"/>
    </xf>
    <xf numFmtId="178" fontId="11" fillId="15" borderId="12" xfId="1" applyNumberFormat="1" applyFont="1" applyFill="1" applyBorder="1" applyAlignment="1">
      <alignment horizontal="center"/>
    </xf>
    <xf numFmtId="0" fontId="0" fillId="0" borderId="27" xfId="0" applyFont="1" applyBorder="1" applyAlignment="1">
      <alignment horizontal="center"/>
    </xf>
    <xf numFmtId="178" fontId="0" fillId="0" borderId="27" xfId="0" applyNumberFormat="1" applyFont="1" applyBorder="1" applyAlignment="1">
      <alignment horizontal="center"/>
    </xf>
    <xf numFmtId="178" fontId="37" fillId="15" borderId="12" xfId="1" applyNumberFormat="1" applyFont="1" applyFill="1" applyBorder="1" applyAlignment="1">
      <alignment horizontal="center"/>
    </xf>
    <xf numFmtId="178" fontId="37" fillId="15" borderId="27" xfId="1" applyNumberFormat="1" applyFont="1" applyFill="1" applyBorder="1" applyAlignment="1">
      <alignment horizontal="center"/>
    </xf>
    <xf numFmtId="178" fontId="11" fillId="14" borderId="12" xfId="1" applyNumberFormat="1" applyFont="1" applyFill="1" applyBorder="1" applyAlignment="1">
      <alignment horizontal="center"/>
    </xf>
    <xf numFmtId="178" fontId="37" fillId="14" borderId="12" xfId="1" applyNumberFormat="1" applyFont="1" applyFill="1" applyBorder="1" applyAlignment="1">
      <alignment horizontal="center"/>
    </xf>
    <xf numFmtId="178" fontId="37" fillId="14" borderId="27" xfId="1" applyNumberFormat="1" applyFont="1" applyFill="1" applyBorder="1" applyAlignment="1">
      <alignment horizontal="center"/>
    </xf>
    <xf numFmtId="178" fontId="12" fillId="15" borderId="12" xfId="1" applyNumberFormat="1" applyFont="1" applyFill="1" applyBorder="1" applyAlignment="1">
      <alignment horizontal="center"/>
    </xf>
    <xf numFmtId="0" fontId="0" fillId="0" borderId="27" xfId="0" applyBorder="1" applyAlignment="1">
      <alignment horizontal="center"/>
    </xf>
    <xf numFmtId="178" fontId="12" fillId="14" borderId="12" xfId="1" applyNumberFormat="1" applyFont="1" applyFill="1" applyBorder="1" applyAlignment="1">
      <alignment horizontal="center"/>
    </xf>
    <xf numFmtId="181" fontId="11" fillId="15" borderId="12" xfId="0" applyNumberFormat="1" applyFont="1" applyFill="1" applyBorder="1" applyAlignment="1">
      <alignment horizontal="center" vertical="center"/>
    </xf>
    <xf numFmtId="181" fontId="11" fillId="15" borderId="27" xfId="0" applyNumberFormat="1" applyFont="1" applyFill="1" applyBorder="1" applyAlignment="1">
      <alignment horizontal="center" vertical="center"/>
    </xf>
    <xf numFmtId="0" fontId="12" fillId="15" borderId="12" xfId="0" applyFont="1" applyFill="1" applyBorder="1" applyAlignment="1">
      <alignment horizontal="center" vertical="center"/>
    </xf>
    <xf numFmtId="0" fontId="12" fillId="15" borderId="27" xfId="0" applyFont="1" applyFill="1" applyBorder="1" applyAlignment="1">
      <alignment horizontal="center" vertical="center"/>
    </xf>
    <xf numFmtId="181" fontId="12" fillId="15" borderId="12" xfId="0" applyNumberFormat="1" applyFont="1" applyFill="1" applyBorder="1" applyAlignment="1">
      <alignment horizontal="center"/>
    </xf>
    <xf numFmtId="181" fontId="12" fillId="15" borderId="27" xfId="0" applyNumberFormat="1" applyFont="1" applyFill="1" applyBorder="1" applyAlignment="1">
      <alignment horizontal="center"/>
    </xf>
    <xf numFmtId="181" fontId="12" fillId="14" borderId="12" xfId="0" applyNumberFormat="1" applyFont="1" applyFill="1" applyBorder="1" applyAlignment="1">
      <alignment horizontal="center"/>
    </xf>
    <xf numFmtId="181" fontId="12" fillId="14" borderId="27" xfId="0" applyNumberFormat="1" applyFont="1" applyFill="1" applyBorder="1" applyAlignment="1">
      <alignment horizontal="center"/>
    </xf>
    <xf numFmtId="0" fontId="11" fillId="14" borderId="12" xfId="0" applyFont="1" applyFill="1" applyBorder="1" applyAlignment="1">
      <alignment horizontal="center"/>
    </xf>
    <xf numFmtId="0" fontId="11" fillId="14" borderId="27" xfId="0" applyFont="1" applyFill="1" applyBorder="1" applyAlignment="1">
      <alignment horizontal="center"/>
    </xf>
    <xf numFmtId="0" fontId="11" fillId="0" borderId="0" xfId="0" applyFont="1" applyFill="1" applyBorder="1" applyAlignment="1">
      <alignment horizontal="left"/>
    </xf>
    <xf numFmtId="181" fontId="11" fillId="15" borderId="6" xfId="0" applyNumberFormat="1" applyFont="1" applyFill="1" applyBorder="1" applyAlignment="1">
      <alignment horizontal="center"/>
    </xf>
    <xf numFmtId="181" fontId="11" fillId="15" borderId="7" xfId="0" applyNumberFormat="1" applyFont="1" applyFill="1" applyBorder="1" applyAlignment="1">
      <alignment horizontal="center"/>
    </xf>
    <xf numFmtId="183" fontId="11" fillId="14" borderId="12" xfId="0" applyNumberFormat="1" applyFont="1" applyFill="1" applyBorder="1" applyAlignment="1">
      <alignment horizontal="center"/>
    </xf>
    <xf numFmtId="183" fontId="11" fillId="14" borderId="27" xfId="0" applyNumberFormat="1" applyFont="1" applyFill="1" applyBorder="1" applyAlignment="1">
      <alignment horizontal="center"/>
    </xf>
    <xf numFmtId="181" fontId="11" fillId="14" borderId="6" xfId="0" applyNumberFormat="1" applyFont="1" applyFill="1" applyBorder="1" applyAlignment="1">
      <alignment horizontal="center"/>
    </xf>
    <xf numFmtId="181" fontId="11" fillId="14" borderId="7" xfId="0" applyNumberFormat="1" applyFont="1" applyFill="1" applyBorder="1" applyAlignment="1">
      <alignment horizontal="center"/>
    </xf>
    <xf numFmtId="5" fontId="11" fillId="14" borderId="12" xfId="0" applyNumberFormat="1" applyFont="1" applyFill="1" applyBorder="1" applyAlignment="1">
      <alignment horizontal="center"/>
    </xf>
    <xf numFmtId="5" fontId="11" fillId="14" borderId="27" xfId="0" applyNumberFormat="1" applyFont="1" applyFill="1" applyBorder="1" applyAlignment="1">
      <alignment horizontal="center"/>
    </xf>
    <xf numFmtId="37" fontId="11" fillId="14" borderId="12" xfId="1" applyNumberFormat="1" applyFont="1" applyFill="1" applyBorder="1" applyAlignment="1">
      <alignment horizontal="center"/>
    </xf>
    <xf numFmtId="37" fontId="11" fillId="14" borderId="27" xfId="1" applyNumberFormat="1" applyFont="1" applyFill="1" applyBorder="1" applyAlignment="1">
      <alignment horizontal="center"/>
    </xf>
    <xf numFmtId="37" fontId="11" fillId="14" borderId="6" xfId="1" applyNumberFormat="1" applyFont="1" applyFill="1" applyBorder="1" applyAlignment="1">
      <alignment horizontal="center"/>
    </xf>
    <xf numFmtId="37" fontId="11" fillId="14" borderId="7" xfId="1" applyNumberFormat="1" applyFont="1" applyFill="1" applyBorder="1" applyAlignment="1">
      <alignment horizontal="center"/>
    </xf>
    <xf numFmtId="0" fontId="11" fillId="0" borderId="0" xfId="0" applyFont="1" applyFill="1" applyBorder="1" applyAlignment="1">
      <alignment horizontal="center" vertical="center"/>
    </xf>
    <xf numFmtId="164" fontId="11" fillId="0" borderId="0" xfId="1" applyNumberFormat="1" applyFont="1" applyFill="1" applyBorder="1" applyAlignment="1">
      <alignment horizontal="center" vertical="center"/>
    </xf>
    <xf numFmtId="181" fontId="11" fillId="14" borderId="12" xfId="0" applyNumberFormat="1" applyFont="1" applyFill="1" applyBorder="1" applyAlignment="1">
      <alignment horizontal="center" vertical="center"/>
    </xf>
    <xf numFmtId="181" fontId="11" fillId="14" borderId="27" xfId="0" applyNumberFormat="1" applyFont="1" applyFill="1" applyBorder="1" applyAlignment="1">
      <alignment horizontal="center" vertical="center"/>
    </xf>
    <xf numFmtId="0" fontId="12" fillId="0" borderId="4"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5" xfId="0" applyFont="1" applyFill="1" applyBorder="1" applyAlignment="1">
      <alignment horizontal="center" vertical="center"/>
    </xf>
    <xf numFmtId="0" fontId="12" fillId="15" borderId="4" xfId="0" applyFont="1" applyFill="1" applyBorder="1" applyAlignment="1">
      <alignment horizontal="center"/>
    </xf>
    <xf numFmtId="0" fontId="12" fillId="15" borderId="5" xfId="0" applyFont="1" applyFill="1" applyBorder="1" applyAlignment="1">
      <alignment horizontal="center"/>
    </xf>
    <xf numFmtId="0" fontId="12" fillId="14" borderId="4" xfId="0" applyFont="1" applyFill="1" applyBorder="1" applyAlignment="1">
      <alignment horizontal="center"/>
    </xf>
    <xf numFmtId="0" fontId="12" fillId="14" borderId="5" xfId="0" applyFont="1" applyFill="1" applyBorder="1" applyAlignment="1">
      <alignment horizontal="center"/>
    </xf>
    <xf numFmtId="166" fontId="12" fillId="14" borderId="12" xfId="0" applyNumberFormat="1" applyFont="1" applyFill="1" applyBorder="1" applyAlignment="1">
      <alignment horizontal="center" vertical="center"/>
    </xf>
    <xf numFmtId="166" fontId="12" fillId="14" borderId="27" xfId="0" applyNumberFormat="1" applyFont="1" applyFill="1" applyBorder="1" applyAlignment="1">
      <alignment horizontal="center" vertical="center"/>
    </xf>
    <xf numFmtId="0" fontId="12" fillId="14" borderId="12" xfId="0" applyFont="1" applyFill="1" applyBorder="1" applyAlignment="1">
      <alignment horizontal="center"/>
    </xf>
    <xf numFmtId="0" fontId="12" fillId="14" borderId="27" xfId="0" applyFont="1" applyFill="1" applyBorder="1" applyAlignment="1">
      <alignment horizontal="center"/>
    </xf>
    <xf numFmtId="166" fontId="12" fillId="15" borderId="12" xfId="0" applyNumberFormat="1" applyFont="1" applyFill="1" applyBorder="1" applyAlignment="1">
      <alignment horizontal="center" vertical="center"/>
    </xf>
    <xf numFmtId="166" fontId="12" fillId="15" borderId="27" xfId="0" applyNumberFormat="1" applyFont="1" applyFill="1" applyBorder="1" applyAlignment="1">
      <alignment horizontal="center" vertical="center"/>
    </xf>
    <xf numFmtId="0" fontId="12" fillId="15" borderId="12" xfId="0" applyFont="1" applyFill="1" applyBorder="1" applyAlignment="1">
      <alignment horizontal="center"/>
    </xf>
    <xf numFmtId="0" fontId="12" fillId="15" borderId="27" xfId="0" applyFont="1" applyFill="1" applyBorder="1" applyAlignment="1">
      <alignment horizontal="center"/>
    </xf>
    <xf numFmtId="0" fontId="11" fillId="15" borderId="12" xfId="0" applyFont="1" applyFill="1" applyBorder="1" applyAlignment="1">
      <alignment horizontal="center" vertical="center"/>
    </xf>
    <xf numFmtId="0" fontId="11" fillId="15" borderId="27" xfId="0" applyFont="1" applyFill="1" applyBorder="1" applyAlignment="1">
      <alignment horizontal="center" vertical="center"/>
    </xf>
    <xf numFmtId="0" fontId="11" fillId="14" borderId="12" xfId="0" applyFont="1" applyFill="1" applyBorder="1" applyAlignment="1">
      <alignment horizontal="center" vertical="center"/>
    </xf>
    <xf numFmtId="0" fontId="11" fillId="14" borderId="27" xfId="0" applyFont="1" applyFill="1" applyBorder="1" applyAlignment="1">
      <alignment horizontal="center" vertical="center"/>
    </xf>
    <xf numFmtId="164" fontId="11" fillId="15" borderId="12" xfId="1" applyNumberFormat="1" applyFont="1" applyFill="1" applyBorder="1" applyAlignment="1">
      <alignment horizontal="center"/>
    </xf>
    <xf numFmtId="164" fontId="11" fillId="15" borderId="27" xfId="1" applyNumberFormat="1" applyFont="1" applyFill="1" applyBorder="1" applyAlignment="1">
      <alignment horizontal="center"/>
    </xf>
    <xf numFmtId="0" fontId="12" fillId="0" borderId="0" xfId="0" applyFont="1" applyFill="1" applyBorder="1" applyAlignment="1">
      <alignment horizontal="center" vertical="center"/>
    </xf>
    <xf numFmtId="187" fontId="11" fillId="14" borderId="6" xfId="0" applyNumberFormat="1" applyFont="1" applyFill="1" applyBorder="1" applyAlignment="1">
      <alignment horizontal="center" vertical="center"/>
    </xf>
    <xf numFmtId="187" fontId="11" fillId="14" borderId="7" xfId="0" applyNumberFormat="1" applyFont="1" applyFill="1" applyBorder="1" applyAlignment="1">
      <alignment horizontal="center" vertical="center"/>
    </xf>
    <xf numFmtId="5" fontId="11" fillId="15" borderId="12" xfId="0" applyNumberFormat="1" applyFont="1" applyFill="1" applyBorder="1" applyAlignment="1">
      <alignment horizontal="center" vertical="center"/>
    </xf>
    <xf numFmtId="164" fontId="11" fillId="14" borderId="12" xfId="1" applyNumberFormat="1" applyFont="1" applyFill="1" applyBorder="1" applyAlignment="1">
      <alignment horizontal="center" vertical="center"/>
    </xf>
    <xf numFmtId="164" fontId="11" fillId="14" borderId="27" xfId="1" applyNumberFormat="1" applyFont="1" applyFill="1" applyBorder="1" applyAlignment="1">
      <alignment horizontal="center" vertical="center"/>
    </xf>
    <xf numFmtId="164" fontId="12" fillId="14" borderId="12" xfId="1" applyNumberFormat="1" applyFont="1" applyFill="1" applyBorder="1" applyAlignment="1">
      <alignment horizontal="center" vertical="center"/>
    </xf>
    <xf numFmtId="164" fontId="12" fillId="14" borderId="27" xfId="1" applyNumberFormat="1" applyFont="1" applyFill="1" applyBorder="1" applyAlignment="1">
      <alignment horizontal="center" vertical="center"/>
    </xf>
    <xf numFmtId="0" fontId="14" fillId="14" borderId="12" xfId="0" applyFont="1" applyFill="1" applyBorder="1" applyAlignment="1">
      <alignment horizontal="center" vertical="center"/>
    </xf>
    <xf numFmtId="0" fontId="14" fillId="14" borderId="27" xfId="0" applyFont="1" applyFill="1" applyBorder="1" applyAlignment="1">
      <alignment horizontal="center" vertical="center"/>
    </xf>
    <xf numFmtId="178" fontId="11" fillId="14" borderId="12" xfId="0" applyNumberFormat="1" applyFont="1" applyFill="1" applyBorder="1" applyAlignment="1">
      <alignment horizontal="center" vertical="center"/>
    </xf>
    <xf numFmtId="178" fontId="11" fillId="14" borderId="27" xfId="0" applyNumberFormat="1" applyFont="1" applyFill="1" applyBorder="1" applyAlignment="1">
      <alignment horizontal="center" vertical="center"/>
    </xf>
    <xf numFmtId="184" fontId="11" fillId="14" borderId="12" xfId="0" applyNumberFormat="1" applyFont="1" applyFill="1" applyBorder="1" applyAlignment="1">
      <alignment horizontal="center" vertical="center"/>
    </xf>
    <xf numFmtId="184" fontId="11" fillId="14" borderId="27" xfId="0" applyNumberFormat="1" applyFont="1" applyFill="1" applyBorder="1" applyAlignment="1">
      <alignment horizontal="center" vertical="center"/>
    </xf>
    <xf numFmtId="184" fontId="11" fillId="15" borderId="12" xfId="0" applyNumberFormat="1" applyFont="1" applyFill="1" applyBorder="1" applyAlignment="1">
      <alignment horizontal="center" vertical="center"/>
    </xf>
    <xf numFmtId="184" fontId="11" fillId="15" borderId="27" xfId="0" applyNumberFormat="1" applyFont="1" applyFill="1" applyBorder="1" applyAlignment="1">
      <alignment horizontal="center" vertical="center"/>
    </xf>
    <xf numFmtId="0" fontId="14" fillId="15" borderId="12" xfId="0" applyFont="1" applyFill="1" applyBorder="1" applyAlignment="1">
      <alignment horizontal="center" vertical="center"/>
    </xf>
    <xf numFmtId="0" fontId="14" fillId="15" borderId="27" xfId="0" applyFont="1" applyFill="1" applyBorder="1" applyAlignment="1">
      <alignment horizontal="center" vertical="center"/>
    </xf>
    <xf numFmtId="187" fontId="11" fillId="15" borderId="6" xfId="0" applyNumberFormat="1" applyFont="1" applyFill="1" applyBorder="1" applyAlignment="1">
      <alignment horizontal="center"/>
    </xf>
    <xf numFmtId="187" fontId="11" fillId="15" borderId="7" xfId="0" applyNumberFormat="1" applyFont="1" applyFill="1" applyBorder="1" applyAlignment="1">
      <alignment horizontal="center"/>
    </xf>
    <xf numFmtId="181" fontId="12" fillId="15" borderId="12" xfId="0" applyNumberFormat="1" applyFont="1" applyFill="1" applyBorder="1" applyAlignment="1">
      <alignment horizontal="center" vertical="center"/>
    </xf>
    <xf numFmtId="181" fontId="12" fillId="15" borderId="27" xfId="0" applyNumberFormat="1" applyFont="1" applyFill="1" applyBorder="1" applyAlignment="1">
      <alignment horizontal="center" vertical="center"/>
    </xf>
    <xf numFmtId="181" fontId="12" fillId="14" borderId="12" xfId="0" applyNumberFormat="1" applyFont="1" applyFill="1" applyBorder="1" applyAlignment="1">
      <alignment horizontal="center" vertical="center"/>
    </xf>
    <xf numFmtId="181" fontId="12" fillId="14" borderId="27" xfId="0" applyNumberFormat="1" applyFont="1" applyFill="1" applyBorder="1" applyAlignment="1">
      <alignment horizontal="center" vertical="center"/>
    </xf>
    <xf numFmtId="181" fontId="11" fillId="15" borderId="28" xfId="0" applyNumberFormat="1" applyFont="1" applyFill="1" applyBorder="1" applyAlignment="1">
      <alignment horizontal="center"/>
    </xf>
    <xf numFmtId="181" fontId="11" fillId="15" borderId="26" xfId="0" applyNumberFormat="1" applyFont="1" applyFill="1" applyBorder="1" applyAlignment="1">
      <alignment horizontal="center"/>
    </xf>
    <xf numFmtId="0" fontId="12" fillId="0" borderId="4" xfId="0" applyFont="1" applyFill="1" applyBorder="1" applyAlignment="1">
      <alignment horizontal="center"/>
    </xf>
    <xf numFmtId="0" fontId="12" fillId="0" borderId="2" xfId="0" applyFont="1" applyFill="1" applyBorder="1" applyAlignment="1">
      <alignment horizontal="center"/>
    </xf>
    <xf numFmtId="0" fontId="12" fillId="0" borderId="5" xfId="0" applyFont="1" applyFill="1" applyBorder="1" applyAlignment="1">
      <alignment horizontal="center"/>
    </xf>
    <xf numFmtId="178" fontId="11" fillId="14" borderId="12" xfId="0" applyNumberFormat="1" applyFont="1" applyFill="1" applyBorder="1" applyAlignment="1">
      <alignment horizontal="center"/>
    </xf>
    <xf numFmtId="178" fontId="11" fillId="14" borderId="27" xfId="0" applyNumberFormat="1" applyFont="1" applyFill="1" applyBorder="1" applyAlignment="1">
      <alignment horizontal="center"/>
    </xf>
    <xf numFmtId="180" fontId="11" fillId="14" borderId="12" xfId="0" applyNumberFormat="1" applyFont="1" applyFill="1" applyBorder="1" applyAlignment="1">
      <alignment horizontal="center"/>
    </xf>
    <xf numFmtId="180" fontId="11" fillId="14" borderId="27" xfId="0" applyNumberFormat="1" applyFont="1" applyFill="1" applyBorder="1" applyAlignment="1">
      <alignment horizontal="center"/>
    </xf>
    <xf numFmtId="180" fontId="11" fillId="14" borderId="6" xfId="0" applyNumberFormat="1" applyFont="1" applyFill="1" applyBorder="1" applyAlignment="1">
      <alignment horizontal="center"/>
    </xf>
    <xf numFmtId="180" fontId="11" fillId="14" borderId="7" xfId="0" applyNumberFormat="1" applyFont="1" applyFill="1" applyBorder="1" applyAlignment="1">
      <alignment horizontal="center"/>
    </xf>
    <xf numFmtId="5" fontId="11" fillId="15" borderId="12" xfId="0" applyNumberFormat="1" applyFont="1" applyFill="1" applyBorder="1" applyAlignment="1">
      <alignment horizontal="center"/>
    </xf>
    <xf numFmtId="5" fontId="11" fillId="15" borderId="27" xfId="0" applyNumberFormat="1" applyFont="1" applyFill="1" applyBorder="1" applyAlignment="1">
      <alignment horizontal="center"/>
    </xf>
    <xf numFmtId="5" fontId="11" fillId="15" borderId="6" xfId="0" applyNumberFormat="1" applyFont="1" applyFill="1" applyBorder="1" applyAlignment="1">
      <alignment horizontal="center"/>
    </xf>
    <xf numFmtId="5" fontId="11" fillId="15" borderId="7" xfId="0" applyNumberFormat="1" applyFont="1" applyFill="1" applyBorder="1" applyAlignment="1">
      <alignment horizontal="center"/>
    </xf>
    <xf numFmtId="181" fontId="11" fillId="14" borderId="28" xfId="0" applyNumberFormat="1" applyFont="1" applyFill="1" applyBorder="1" applyAlignment="1">
      <alignment horizontal="center"/>
    </xf>
    <xf numFmtId="181" fontId="11" fillId="14" borderId="26" xfId="0" applyNumberFormat="1" applyFont="1" applyFill="1" applyBorder="1" applyAlignment="1">
      <alignment horizontal="center"/>
    </xf>
    <xf numFmtId="178" fontId="11" fillId="15" borderId="12" xfId="0" applyNumberFormat="1" applyFont="1" applyFill="1" applyBorder="1" applyAlignment="1">
      <alignment horizontal="center"/>
    </xf>
    <xf numFmtId="178" fontId="11" fillId="15" borderId="27" xfId="0" applyNumberFormat="1" applyFont="1" applyFill="1" applyBorder="1" applyAlignment="1">
      <alignment horizontal="center"/>
    </xf>
    <xf numFmtId="178" fontId="12" fillId="15" borderId="28" xfId="1" applyNumberFormat="1" applyFont="1" applyFill="1" applyBorder="1" applyAlignment="1">
      <alignment horizontal="center"/>
    </xf>
    <xf numFmtId="178" fontId="12" fillId="15" borderId="26" xfId="1" applyNumberFormat="1" applyFont="1" applyFill="1" applyBorder="1" applyAlignment="1">
      <alignment horizontal="center"/>
    </xf>
    <xf numFmtId="178" fontId="12" fillId="14" borderId="28" xfId="1" applyNumberFormat="1" applyFont="1" applyFill="1" applyBorder="1" applyAlignment="1">
      <alignment horizontal="center"/>
    </xf>
    <xf numFmtId="178" fontId="12" fillId="14" borderId="26" xfId="1" applyNumberFormat="1" applyFont="1" applyFill="1" applyBorder="1" applyAlignment="1">
      <alignment horizontal="center"/>
    </xf>
    <xf numFmtId="176" fontId="11" fillId="15" borderId="12" xfId="3" applyNumberFormat="1" applyFont="1" applyFill="1" applyBorder="1" applyAlignment="1">
      <alignment horizontal="center"/>
    </xf>
    <xf numFmtId="176" fontId="11" fillId="15" borderId="27" xfId="3" applyNumberFormat="1" applyFont="1" applyFill="1" applyBorder="1" applyAlignment="1">
      <alignment horizontal="center"/>
    </xf>
    <xf numFmtId="178" fontId="11" fillId="14" borderId="12" xfId="3" applyNumberFormat="1" applyFont="1" applyFill="1" applyBorder="1" applyAlignment="1">
      <alignment horizontal="center"/>
    </xf>
    <xf numFmtId="178" fontId="11" fillId="14" borderId="27" xfId="3" applyNumberFormat="1" applyFont="1" applyFill="1" applyBorder="1" applyAlignment="1">
      <alignment horizontal="center"/>
    </xf>
    <xf numFmtId="37" fontId="11" fillId="15" borderId="12" xfId="1" applyNumberFormat="1" applyFont="1" applyFill="1" applyBorder="1" applyAlignment="1">
      <alignment horizontal="center"/>
    </xf>
    <xf numFmtId="37" fontId="11" fillId="15" borderId="27" xfId="1" applyNumberFormat="1" applyFont="1" applyFill="1" applyBorder="1" applyAlignment="1">
      <alignment horizontal="center"/>
    </xf>
    <xf numFmtId="37" fontId="11" fillId="15" borderId="6" xfId="1" applyNumberFormat="1" applyFont="1" applyFill="1" applyBorder="1" applyAlignment="1">
      <alignment horizontal="center"/>
    </xf>
    <xf numFmtId="37" fontId="11" fillId="15" borderId="7" xfId="1" applyNumberFormat="1" applyFont="1" applyFill="1" applyBorder="1" applyAlignment="1">
      <alignment horizontal="center"/>
    </xf>
    <xf numFmtId="0" fontId="12" fillId="20" borderId="6" xfId="0" applyFont="1" applyFill="1" applyBorder="1" applyAlignment="1">
      <alignment horizontal="center" vertical="center"/>
    </xf>
    <xf numFmtId="0" fontId="0" fillId="20" borderId="1" xfId="0" applyFill="1" applyBorder="1" applyAlignment="1">
      <alignment horizontal="center" vertical="center"/>
    </xf>
    <xf numFmtId="0" fontId="0" fillId="20" borderId="7" xfId="0" applyFill="1" applyBorder="1" applyAlignment="1">
      <alignment horizontal="center" vertical="center"/>
    </xf>
    <xf numFmtId="37" fontId="11" fillId="0" borderId="0" xfId="0" applyNumberFormat="1" applyFont="1" applyFill="1" applyBorder="1" applyAlignment="1">
      <alignment horizontal="center"/>
    </xf>
    <xf numFmtId="0" fontId="11" fillId="0" borderId="0" xfId="0" applyFont="1" applyFill="1" applyBorder="1" applyAlignment="1">
      <alignment horizontal="center"/>
    </xf>
    <xf numFmtId="9" fontId="11" fillId="0" borderId="0" xfId="0" applyNumberFormat="1" applyFont="1" applyFill="1" applyBorder="1" applyAlignment="1">
      <alignment horizontal="center"/>
    </xf>
    <xf numFmtId="9" fontId="13" fillId="0" borderId="0" xfId="0" applyNumberFormat="1" applyFont="1" applyFill="1" applyBorder="1" applyAlignment="1">
      <alignment horizontal="center"/>
    </xf>
    <xf numFmtId="0" fontId="13" fillId="0" borderId="0" xfId="0" applyFont="1" applyFill="1" applyBorder="1" applyAlignment="1">
      <alignment horizontal="center"/>
    </xf>
    <xf numFmtId="186" fontId="11" fillId="15" borderId="12" xfId="0" applyNumberFormat="1" applyFont="1" applyFill="1" applyBorder="1" applyAlignment="1">
      <alignment horizontal="center"/>
    </xf>
    <xf numFmtId="186" fontId="11" fillId="15" borderId="27" xfId="0" applyNumberFormat="1" applyFont="1" applyFill="1" applyBorder="1" applyAlignment="1">
      <alignment horizontal="center"/>
    </xf>
    <xf numFmtId="0" fontId="12" fillId="0" borderId="28" xfId="0" applyFont="1" applyFill="1" applyBorder="1" applyAlignment="1">
      <alignment horizontal="center"/>
    </xf>
    <xf numFmtId="0" fontId="12" fillId="0" borderId="13" xfId="0" applyFont="1" applyFill="1" applyBorder="1" applyAlignment="1">
      <alignment horizontal="center"/>
    </xf>
    <xf numFmtId="0" fontId="12" fillId="0" borderId="26" xfId="0" applyFont="1" applyFill="1" applyBorder="1" applyAlignment="1">
      <alignment horizontal="center"/>
    </xf>
    <xf numFmtId="164" fontId="11" fillId="14" borderId="12" xfId="0" applyNumberFormat="1" applyFont="1" applyFill="1" applyBorder="1" applyAlignment="1">
      <alignment horizontal="center"/>
    </xf>
    <xf numFmtId="164" fontId="11" fillId="14" borderId="27" xfId="0" applyNumberFormat="1" applyFont="1" applyFill="1" applyBorder="1" applyAlignment="1">
      <alignment horizontal="center"/>
    </xf>
    <xf numFmtId="164" fontId="11" fillId="0" borderId="12" xfId="0" applyNumberFormat="1" applyFont="1" applyFill="1" applyBorder="1" applyAlignment="1">
      <alignment horizontal="center"/>
    </xf>
    <xf numFmtId="164" fontId="11" fillId="0" borderId="0" xfId="0" applyNumberFormat="1" applyFont="1" applyFill="1" applyBorder="1" applyAlignment="1">
      <alignment horizontal="center"/>
    </xf>
    <xf numFmtId="164" fontId="11" fillId="0" borderId="27" xfId="0" applyNumberFormat="1" applyFont="1" applyFill="1" applyBorder="1" applyAlignment="1">
      <alignment horizontal="center"/>
    </xf>
    <xf numFmtId="164" fontId="11" fillId="0" borderId="6" xfId="0" applyNumberFormat="1" applyFont="1" applyFill="1" applyBorder="1" applyAlignment="1">
      <alignment horizontal="center"/>
    </xf>
    <xf numFmtId="164" fontId="11" fillId="0" borderId="1" xfId="0" applyNumberFormat="1" applyFont="1" applyFill="1" applyBorder="1" applyAlignment="1">
      <alignment horizontal="center"/>
    </xf>
    <xf numFmtId="164" fontId="11" fillId="0" borderId="7" xfId="0" applyNumberFormat="1" applyFont="1" applyFill="1" applyBorder="1" applyAlignment="1">
      <alignment horizontal="center"/>
    </xf>
    <xf numFmtId="0" fontId="0" fillId="0" borderId="2" xfId="0" applyBorder="1" applyAlignment="1">
      <alignment horizontal="center"/>
    </xf>
    <xf numFmtId="0" fontId="0" fillId="0" borderId="5" xfId="0" applyBorder="1" applyAlignment="1">
      <alignment horizontal="center"/>
    </xf>
    <xf numFmtId="37" fontId="11" fillId="0" borderId="28" xfId="0" applyNumberFormat="1" applyFont="1" applyFill="1" applyBorder="1" applyAlignment="1">
      <alignment horizontal="center"/>
    </xf>
    <xf numFmtId="37" fontId="11" fillId="0" borderId="13" xfId="0" applyNumberFormat="1" applyFont="1" applyFill="1" applyBorder="1" applyAlignment="1">
      <alignment horizontal="center"/>
    </xf>
    <xf numFmtId="37" fontId="11" fillId="0" borderId="26" xfId="0" applyNumberFormat="1" applyFont="1" applyFill="1" applyBorder="1" applyAlignment="1">
      <alignment horizontal="center"/>
    </xf>
    <xf numFmtId="37" fontId="11" fillId="0" borderId="12" xfId="0" applyNumberFormat="1" applyFont="1" applyFill="1" applyBorder="1" applyAlignment="1">
      <alignment horizontal="center"/>
    </xf>
    <xf numFmtId="37" fontId="11" fillId="0" borderId="27" xfId="0" applyNumberFormat="1" applyFont="1" applyFill="1" applyBorder="1" applyAlignment="1">
      <alignment horizontal="center"/>
    </xf>
    <xf numFmtId="37" fontId="11" fillId="0" borderId="12" xfId="2" applyNumberFormat="1" applyFont="1" applyFill="1" applyBorder="1" applyAlignment="1">
      <alignment horizontal="center"/>
    </xf>
    <xf numFmtId="37" fontId="11" fillId="0" borderId="0" xfId="2" applyNumberFormat="1" applyFont="1" applyFill="1" applyBorder="1" applyAlignment="1">
      <alignment horizontal="center"/>
    </xf>
    <xf numFmtId="37" fontId="11" fillId="0" borderId="27" xfId="2" applyNumberFormat="1" applyFont="1" applyFill="1" applyBorder="1" applyAlignment="1">
      <alignment horizontal="center"/>
    </xf>
    <xf numFmtId="182" fontId="11" fillId="0" borderId="12" xfId="0" applyNumberFormat="1" applyFont="1" applyFill="1" applyBorder="1" applyAlignment="1">
      <alignment horizontal="center"/>
    </xf>
    <xf numFmtId="182" fontId="11" fillId="0" borderId="0" xfId="0" applyNumberFormat="1" applyFont="1" applyFill="1" applyBorder="1" applyAlignment="1">
      <alignment horizontal="center"/>
    </xf>
    <xf numFmtId="182" fontId="11" fillId="0" borderId="27" xfId="0" applyNumberFormat="1" applyFont="1" applyFill="1" applyBorder="1" applyAlignment="1">
      <alignment horizontal="center"/>
    </xf>
    <xf numFmtId="0" fontId="11" fillId="0" borderId="12" xfId="0" applyFont="1" applyFill="1" applyBorder="1" applyAlignment="1">
      <alignment horizontal="center" vertical="center"/>
    </xf>
    <xf numFmtId="0" fontId="11" fillId="0" borderId="27" xfId="0" applyFont="1" applyFill="1" applyBorder="1" applyAlignment="1">
      <alignment horizontal="center" vertical="center"/>
    </xf>
    <xf numFmtId="0" fontId="12" fillId="15" borderId="4" xfId="0" applyFont="1" applyFill="1" applyBorder="1" applyAlignment="1" applyProtection="1">
      <alignment horizontal="center"/>
    </xf>
    <xf numFmtId="0" fontId="12" fillId="15" borderId="2" xfId="0" applyFont="1" applyFill="1" applyBorder="1" applyAlignment="1" applyProtection="1">
      <alignment horizontal="center"/>
    </xf>
    <xf numFmtId="0" fontId="12" fillId="15" borderId="5" xfId="0" applyFont="1" applyFill="1" applyBorder="1" applyAlignment="1" applyProtection="1">
      <alignment horizontal="center"/>
    </xf>
    <xf numFmtId="177" fontId="5" fillId="0" borderId="12" xfId="0" applyNumberFormat="1" applyFont="1" applyFill="1" applyBorder="1" applyAlignment="1" applyProtection="1">
      <alignment horizontal="center"/>
      <protection locked="0"/>
    </xf>
    <xf numFmtId="177" fontId="5" fillId="0" borderId="27" xfId="0" applyNumberFormat="1" applyFont="1" applyFill="1" applyBorder="1" applyAlignment="1" applyProtection="1">
      <alignment horizontal="center"/>
      <protection locked="0"/>
    </xf>
    <xf numFmtId="177" fontId="5" fillId="0" borderId="28" xfId="0" applyNumberFormat="1" applyFont="1" applyFill="1" applyBorder="1" applyAlignment="1" applyProtection="1">
      <alignment horizontal="center"/>
      <protection locked="0"/>
    </xf>
    <xf numFmtId="177" fontId="5" fillId="0" borderId="26" xfId="0" applyNumberFormat="1" applyFont="1" applyFill="1" applyBorder="1" applyAlignment="1" applyProtection="1">
      <alignment horizontal="center"/>
      <protection locked="0"/>
    </xf>
    <xf numFmtId="0" fontId="12" fillId="0" borderId="4" xfId="0" applyFont="1" applyBorder="1" applyAlignment="1" applyProtection="1">
      <alignment horizontal="center"/>
    </xf>
    <xf numFmtId="0" fontId="12" fillId="0" borderId="5" xfId="0" applyFont="1" applyBorder="1" applyAlignment="1" applyProtection="1">
      <alignment horizontal="center"/>
    </xf>
    <xf numFmtId="177" fontId="5" fillId="0" borderId="6" xfId="0" applyNumberFormat="1" applyFont="1" applyFill="1" applyBorder="1" applyAlignment="1" applyProtection="1">
      <alignment horizontal="center"/>
      <protection locked="0"/>
    </xf>
    <xf numFmtId="177" fontId="5" fillId="0" borderId="7" xfId="0" applyNumberFormat="1" applyFont="1" applyFill="1" applyBorder="1" applyAlignment="1" applyProtection="1">
      <alignment horizontal="center"/>
      <protection locked="0"/>
    </xf>
    <xf numFmtId="177" fontId="25" fillId="0" borderId="12" xfId="0" applyNumberFormat="1" applyFont="1" applyFill="1" applyBorder="1" applyAlignment="1" applyProtection="1">
      <alignment horizontal="center"/>
      <protection locked="0"/>
    </xf>
    <xf numFmtId="177" fontId="25" fillId="0" borderId="27" xfId="0" applyNumberFormat="1" applyFont="1" applyFill="1" applyBorder="1" applyAlignment="1" applyProtection="1">
      <alignment horizontal="center"/>
      <protection locked="0"/>
    </xf>
    <xf numFmtId="37" fontId="25" fillId="0" borderId="28" xfId="2" applyNumberFormat="1" applyFont="1" applyBorder="1" applyAlignment="1" applyProtection="1">
      <alignment horizontal="center"/>
      <protection locked="0"/>
    </xf>
    <xf numFmtId="37" fontId="25" fillId="0" borderId="26" xfId="2" applyNumberFormat="1" applyFont="1" applyBorder="1" applyAlignment="1" applyProtection="1">
      <alignment horizontal="center"/>
      <protection locked="0"/>
    </xf>
    <xf numFmtId="177" fontId="25" fillId="0" borderId="28" xfId="0" applyNumberFormat="1" applyFont="1" applyFill="1" applyBorder="1" applyAlignment="1" applyProtection="1">
      <alignment horizontal="center"/>
      <protection locked="0"/>
    </xf>
    <xf numFmtId="177" fontId="25" fillId="0" borderId="26" xfId="0" applyNumberFormat="1" applyFont="1" applyFill="1" applyBorder="1" applyAlignment="1" applyProtection="1">
      <alignment horizontal="center"/>
      <protection locked="0"/>
    </xf>
    <xf numFmtId="37" fontId="25" fillId="0" borderId="12" xfId="2" applyNumberFormat="1" applyFont="1" applyBorder="1" applyAlignment="1" applyProtection="1">
      <alignment horizontal="center"/>
      <protection locked="0"/>
    </xf>
    <xf numFmtId="37" fontId="25" fillId="0" borderId="27" xfId="2" applyNumberFormat="1" applyFont="1" applyBorder="1" applyAlignment="1" applyProtection="1">
      <alignment horizontal="center"/>
      <protection locked="0"/>
    </xf>
    <xf numFmtId="37" fontId="25" fillId="0" borderId="6" xfId="2" applyNumberFormat="1" applyFont="1" applyBorder="1" applyAlignment="1" applyProtection="1">
      <alignment horizontal="center"/>
      <protection locked="0"/>
    </xf>
    <xf numFmtId="37" fontId="25" fillId="0" borderId="7" xfId="2" applyNumberFormat="1" applyFont="1" applyBorder="1" applyAlignment="1" applyProtection="1">
      <alignment horizontal="center"/>
      <protection locked="0"/>
    </xf>
    <xf numFmtId="0" fontId="11" fillId="0" borderId="4" xfId="0" applyFont="1" applyFill="1" applyBorder="1" applyAlignment="1" applyProtection="1">
      <alignment horizontal="left" vertical="center"/>
    </xf>
    <xf numFmtId="0" fontId="11" fillId="0" borderId="2" xfId="0" applyFont="1" applyBorder="1" applyAlignment="1" applyProtection="1">
      <alignment horizontal="left" vertical="center"/>
    </xf>
    <xf numFmtId="0" fontId="11" fillId="0" borderId="2"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37" fontId="18" fillId="15" borderId="28" xfId="0" applyNumberFormat="1" applyFont="1" applyFill="1" applyBorder="1" applyAlignment="1" applyProtection="1">
      <alignment horizontal="center" vertical="center"/>
    </xf>
    <xf numFmtId="37" fontId="18" fillId="15" borderId="13" xfId="0" applyNumberFormat="1" applyFont="1" applyFill="1" applyBorder="1" applyAlignment="1" applyProtection="1">
      <alignment horizontal="center" vertical="center"/>
    </xf>
    <xf numFmtId="37" fontId="18" fillId="15" borderId="26" xfId="0" applyNumberFormat="1" applyFont="1" applyFill="1" applyBorder="1" applyAlignment="1" applyProtection="1">
      <alignment horizontal="center" vertical="center"/>
    </xf>
    <xf numFmtId="164" fontId="18" fillId="15" borderId="12" xfId="0" applyNumberFormat="1" applyFont="1" applyFill="1" applyBorder="1" applyAlignment="1" applyProtection="1">
      <alignment horizontal="center" vertical="center"/>
      <protection locked="0"/>
    </xf>
    <xf numFmtId="164" fontId="18" fillId="15" borderId="0" xfId="0" applyNumberFormat="1" applyFont="1" applyFill="1" applyBorder="1" applyAlignment="1" applyProtection="1">
      <alignment horizontal="center" vertical="center"/>
      <protection locked="0"/>
    </xf>
    <xf numFmtId="164" fontId="18" fillId="15" borderId="27" xfId="0" applyNumberFormat="1" applyFont="1" applyFill="1" applyBorder="1" applyAlignment="1" applyProtection="1">
      <alignment horizontal="center" vertical="center"/>
      <protection locked="0"/>
    </xf>
    <xf numFmtId="37" fontId="18" fillId="15" borderId="12" xfId="0" applyNumberFormat="1" applyFont="1" applyFill="1" applyBorder="1" applyAlignment="1" applyProtection="1">
      <alignment horizontal="center" vertical="center"/>
      <protection locked="0"/>
    </xf>
    <xf numFmtId="37" fontId="18" fillId="15" borderId="0" xfId="0" applyNumberFormat="1" applyFont="1" applyFill="1" applyBorder="1" applyAlignment="1" applyProtection="1">
      <alignment horizontal="center" vertical="center"/>
      <protection locked="0"/>
    </xf>
    <xf numFmtId="37" fontId="18" fillId="15" borderId="27" xfId="0" applyNumberFormat="1" applyFont="1" applyFill="1" applyBorder="1" applyAlignment="1" applyProtection="1">
      <alignment horizontal="center" vertical="center"/>
      <protection locked="0"/>
    </xf>
    <xf numFmtId="9" fontId="25" fillId="14" borderId="12" xfId="0" applyNumberFormat="1" applyFont="1" applyFill="1" applyBorder="1" applyAlignment="1" applyProtection="1">
      <alignment horizontal="center"/>
      <protection locked="0"/>
    </xf>
    <xf numFmtId="9" fontId="25" fillId="14" borderId="0" xfId="0" applyNumberFormat="1" applyFont="1" applyFill="1" applyBorder="1" applyAlignment="1" applyProtection="1">
      <alignment horizontal="center"/>
      <protection locked="0"/>
    </xf>
    <xf numFmtId="9" fontId="25" fillId="14" borderId="27" xfId="0" applyNumberFormat="1" applyFont="1" applyFill="1" applyBorder="1" applyAlignment="1" applyProtection="1">
      <alignment horizontal="center"/>
      <protection locked="0"/>
    </xf>
    <xf numFmtId="9" fontId="25" fillId="14" borderId="6" xfId="0" applyNumberFormat="1" applyFont="1" applyFill="1" applyBorder="1" applyAlignment="1" applyProtection="1">
      <alignment horizontal="center"/>
      <protection locked="0"/>
    </xf>
    <xf numFmtId="9" fontId="25" fillId="14" borderId="1" xfId="0" applyNumberFormat="1" applyFont="1" applyFill="1" applyBorder="1" applyAlignment="1" applyProtection="1">
      <alignment horizontal="center"/>
      <protection locked="0"/>
    </xf>
    <xf numFmtId="9" fontId="25" fillId="14" borderId="7" xfId="0" applyNumberFormat="1" applyFont="1" applyFill="1" applyBorder="1" applyAlignment="1" applyProtection="1">
      <alignment horizontal="center"/>
      <protection locked="0"/>
    </xf>
    <xf numFmtId="0" fontId="19" fillId="0" borderId="13" xfId="0" applyFont="1" applyFill="1" applyBorder="1" applyAlignment="1" applyProtection="1">
      <alignment horizontal="center"/>
    </xf>
    <xf numFmtId="0" fontId="11" fillId="14" borderId="12" xfId="0" applyFont="1" applyFill="1" applyBorder="1" applyAlignment="1" applyProtection="1">
      <alignment horizontal="center"/>
    </xf>
    <xf numFmtId="0" fontId="11" fillId="14" borderId="0" xfId="0" applyFont="1" applyFill="1" applyBorder="1" applyAlignment="1" applyProtection="1">
      <alignment horizontal="center"/>
    </xf>
    <xf numFmtId="0" fontId="11" fillId="14" borderId="27" xfId="0" applyFont="1" applyFill="1" applyBorder="1" applyAlignment="1" applyProtection="1">
      <alignment horizontal="center"/>
    </xf>
    <xf numFmtId="0" fontId="12" fillId="15" borderId="4" xfId="0" applyFont="1" applyFill="1" applyBorder="1" applyAlignment="1" applyProtection="1">
      <alignment horizontal="center" vertical="center" wrapText="1"/>
    </xf>
    <xf numFmtId="0" fontId="12" fillId="15" borderId="2" xfId="0" applyFont="1" applyFill="1" applyBorder="1" applyAlignment="1" applyProtection="1">
      <alignment horizontal="center" vertical="center" wrapText="1"/>
    </xf>
    <xf numFmtId="0" fontId="12" fillId="15" borderId="5" xfId="0" applyFont="1" applyFill="1" applyBorder="1" applyAlignment="1" applyProtection="1">
      <alignment horizontal="center" vertical="center" wrapText="1"/>
    </xf>
    <xf numFmtId="0" fontId="11" fillId="15" borderId="28" xfId="0" applyFont="1" applyFill="1" applyBorder="1" applyAlignment="1" applyProtection="1">
      <alignment horizontal="center"/>
    </xf>
    <xf numFmtId="0" fontId="11" fillId="15" borderId="13" xfId="0" applyFont="1" applyFill="1" applyBorder="1" applyAlignment="1" applyProtection="1">
      <alignment horizontal="center"/>
    </xf>
    <xf numFmtId="0" fontId="11" fillId="15" borderId="26" xfId="0" applyFont="1" applyFill="1" applyBorder="1" applyAlignment="1" applyProtection="1">
      <alignment horizontal="center"/>
    </xf>
    <xf numFmtId="0" fontId="18" fillId="15" borderId="12" xfId="0" applyFont="1" applyFill="1" applyBorder="1" applyAlignment="1" applyProtection="1">
      <alignment horizontal="center" vertical="center" wrapText="1"/>
      <protection locked="0"/>
    </xf>
    <xf numFmtId="0" fontId="18" fillId="15" borderId="0" xfId="0" applyFont="1" applyFill="1" applyBorder="1" applyAlignment="1" applyProtection="1">
      <alignment horizontal="center" vertical="center" wrapText="1"/>
      <protection locked="0"/>
    </xf>
    <xf numFmtId="0" fontId="18" fillId="15" borderId="27" xfId="0" applyFont="1" applyFill="1" applyBorder="1" applyAlignment="1" applyProtection="1">
      <alignment horizontal="center" vertical="center" wrapText="1"/>
      <protection locked="0"/>
    </xf>
    <xf numFmtId="0" fontId="12" fillId="14" borderId="4" xfId="0" applyFont="1" applyFill="1" applyBorder="1" applyAlignment="1" applyProtection="1">
      <alignment horizontal="center" vertical="center" wrapText="1"/>
    </xf>
    <xf numFmtId="0" fontId="12" fillId="14" borderId="2" xfId="0" applyFont="1" applyFill="1" applyBorder="1" applyAlignment="1" applyProtection="1">
      <alignment horizontal="center" vertical="center" wrapText="1"/>
    </xf>
    <xf numFmtId="0" fontId="12" fillId="14" borderId="5" xfId="0" applyFont="1" applyFill="1" applyBorder="1" applyAlignment="1" applyProtection="1">
      <alignment horizontal="center" vertical="center" wrapText="1"/>
    </xf>
    <xf numFmtId="0" fontId="18" fillId="14" borderId="12" xfId="0" applyFont="1" applyFill="1" applyBorder="1" applyAlignment="1" applyProtection="1">
      <alignment horizontal="center" vertical="center" wrapText="1"/>
      <protection locked="0"/>
    </xf>
    <xf numFmtId="0" fontId="18" fillId="14" borderId="0" xfId="0" applyFont="1" applyFill="1" applyBorder="1" applyAlignment="1" applyProtection="1">
      <alignment horizontal="center" vertical="center" wrapText="1"/>
      <protection locked="0"/>
    </xf>
    <xf numFmtId="0" fontId="18" fillId="14" borderId="27" xfId="0" applyFont="1" applyFill="1" applyBorder="1" applyAlignment="1" applyProtection="1">
      <alignment horizontal="center" vertical="center" wrapText="1"/>
      <protection locked="0"/>
    </xf>
    <xf numFmtId="183" fontId="18" fillId="14" borderId="12" xfId="0" applyNumberFormat="1" applyFont="1" applyFill="1" applyBorder="1" applyAlignment="1" applyProtection="1">
      <alignment horizontal="center"/>
      <protection locked="0"/>
    </xf>
    <xf numFmtId="183" fontId="18" fillId="14" borderId="0" xfId="0" applyNumberFormat="1" applyFont="1" applyFill="1" applyBorder="1" applyAlignment="1" applyProtection="1">
      <alignment horizontal="center"/>
      <protection locked="0"/>
    </xf>
    <xf numFmtId="183" fontId="18" fillId="14" borderId="27" xfId="0" applyNumberFormat="1" applyFont="1" applyFill="1" applyBorder="1" applyAlignment="1" applyProtection="1">
      <alignment horizontal="center"/>
      <protection locked="0"/>
    </xf>
    <xf numFmtId="0" fontId="11" fillId="0" borderId="28" xfId="0" applyFont="1" applyBorder="1" applyAlignment="1" applyProtection="1">
      <alignment vertical="center"/>
    </xf>
    <xf numFmtId="0" fontId="0" fillId="0" borderId="13" xfId="0" applyBorder="1" applyAlignment="1"/>
    <xf numFmtId="0" fontId="0" fillId="0" borderId="6" xfId="0" applyBorder="1" applyAlignment="1"/>
    <xf numFmtId="0" fontId="0" fillId="0" borderId="1" xfId="0" applyBorder="1" applyAlignment="1"/>
    <xf numFmtId="166" fontId="25" fillId="0" borderId="6" xfId="0" applyNumberFormat="1" applyFont="1" applyBorder="1" applyAlignment="1" applyProtection="1">
      <alignment horizontal="center"/>
      <protection locked="0"/>
    </xf>
    <xf numFmtId="166" fontId="25" fillId="0" borderId="7" xfId="0" applyNumberFormat="1" applyFont="1" applyBorder="1" applyAlignment="1" applyProtection="1">
      <alignment horizontal="center"/>
      <protection locked="0"/>
    </xf>
    <xf numFmtId="37" fontId="25" fillId="0" borderId="28" xfId="2" applyNumberFormat="1" applyFont="1" applyFill="1" applyBorder="1" applyAlignment="1" applyProtection="1">
      <alignment horizontal="center"/>
      <protection locked="0"/>
    </xf>
    <xf numFmtId="37" fontId="25" fillId="0" borderId="26" xfId="2" applyNumberFormat="1" applyFont="1" applyFill="1" applyBorder="1" applyAlignment="1" applyProtection="1">
      <alignment horizontal="center"/>
      <protection locked="0"/>
    </xf>
    <xf numFmtId="10" fontId="11" fillId="0" borderId="12" xfId="1" applyNumberFormat="1" applyFont="1" applyBorder="1" applyAlignment="1" applyProtection="1">
      <alignment horizontal="center"/>
    </xf>
    <xf numFmtId="10" fontId="11" fillId="0" borderId="27" xfId="1" applyNumberFormat="1" applyFont="1" applyBorder="1" applyAlignment="1" applyProtection="1">
      <alignment horizontal="center"/>
    </xf>
    <xf numFmtId="0" fontId="11" fillId="0" borderId="2" xfId="0" applyFont="1" applyFill="1" applyBorder="1" applyAlignment="1" applyProtection="1">
      <alignment horizontal="left" vertical="center"/>
    </xf>
    <xf numFmtId="0" fontId="22" fillId="15" borderId="4" xfId="0" applyFont="1" applyFill="1" applyBorder="1" applyAlignment="1" applyProtection="1">
      <alignment horizontal="center" vertical="center"/>
      <protection locked="0"/>
    </xf>
    <xf numFmtId="0" fontId="22" fillId="15" borderId="2" xfId="0" applyFont="1" applyFill="1" applyBorder="1" applyAlignment="1" applyProtection="1">
      <alignment horizontal="center" vertical="center"/>
      <protection locked="0"/>
    </xf>
    <xf numFmtId="0" fontId="22" fillId="15" borderId="5" xfId="0" applyFont="1" applyFill="1" applyBorder="1" applyAlignment="1" applyProtection="1">
      <alignment horizontal="center" vertical="center"/>
      <protection locked="0"/>
    </xf>
    <xf numFmtId="0" fontId="12" fillId="14" borderId="4" xfId="0" applyFont="1" applyFill="1" applyBorder="1" applyAlignment="1" applyProtection="1">
      <alignment horizontal="center"/>
    </xf>
    <xf numFmtId="0" fontId="12" fillId="14" borderId="2" xfId="0" applyFont="1" applyFill="1" applyBorder="1" applyAlignment="1" applyProtection="1">
      <alignment horizontal="center"/>
    </xf>
    <xf numFmtId="0" fontId="12" fillId="14" borderId="5" xfId="0" applyFont="1" applyFill="1" applyBorder="1" applyAlignment="1" applyProtection="1">
      <alignment horizontal="center"/>
    </xf>
    <xf numFmtId="0" fontId="11" fillId="0" borderId="28" xfId="0" applyFont="1" applyBorder="1" applyAlignment="1" applyProtection="1">
      <alignment horizontal="left" vertical="center"/>
    </xf>
    <xf numFmtId="0" fontId="11" fillId="0" borderId="13" xfId="0" applyFont="1" applyBorder="1" applyAlignment="1" applyProtection="1">
      <alignment horizontal="left" vertical="center"/>
    </xf>
    <xf numFmtId="0" fontId="12" fillId="0" borderId="2" xfId="0" applyFont="1" applyBorder="1" applyAlignment="1" applyProtection="1">
      <alignment horizontal="left" vertical="center"/>
    </xf>
    <xf numFmtId="0" fontId="11" fillId="0" borderId="13" xfId="0" applyFont="1" applyBorder="1" applyAlignment="1" applyProtection="1">
      <alignment horizontal="left" vertical="center" wrapText="1"/>
    </xf>
    <xf numFmtId="0" fontId="11" fillId="0" borderId="1" xfId="0" applyFont="1" applyBorder="1" applyAlignment="1" applyProtection="1">
      <alignment horizontal="left" vertical="center" wrapText="1"/>
    </xf>
    <xf numFmtId="0" fontId="11" fillId="0" borderId="4" xfId="0" applyFont="1" applyBorder="1" applyAlignment="1" applyProtection="1">
      <alignment horizontal="left" vertical="center"/>
    </xf>
    <xf numFmtId="0" fontId="0" fillId="0" borderId="12" xfId="0" applyBorder="1" applyAlignment="1"/>
    <xf numFmtId="0" fontId="0" fillId="0" borderId="0" xfId="0" applyAlignment="1"/>
    <xf numFmtId="9" fontId="25" fillId="0" borderId="6" xfId="0" applyNumberFormat="1" applyFont="1" applyBorder="1" applyAlignment="1" applyProtection="1">
      <alignment horizontal="center"/>
      <protection locked="0"/>
    </xf>
    <xf numFmtId="9" fontId="25" fillId="0" borderId="7" xfId="0" applyNumberFormat="1" applyFont="1" applyBorder="1" applyAlignment="1" applyProtection="1">
      <alignment horizontal="center"/>
      <protection locked="0"/>
    </xf>
    <xf numFmtId="9" fontId="25" fillId="0" borderId="6" xfId="0" applyNumberFormat="1" applyFont="1" applyFill="1" applyBorder="1" applyAlignment="1" applyProtection="1">
      <alignment horizontal="center"/>
      <protection locked="0"/>
    </xf>
    <xf numFmtId="9" fontId="25" fillId="0" borderId="7" xfId="0" applyNumberFormat="1" applyFont="1" applyFill="1" applyBorder="1" applyAlignment="1" applyProtection="1">
      <alignment horizontal="center"/>
      <protection locked="0"/>
    </xf>
    <xf numFmtId="0" fontId="18" fillId="14" borderId="6" xfId="0" applyFont="1" applyFill="1" applyBorder="1" applyAlignment="1" applyProtection="1">
      <alignment horizontal="center"/>
      <protection locked="0"/>
    </xf>
    <xf numFmtId="0" fontId="18" fillId="14" borderId="1" xfId="0" applyFont="1" applyFill="1" applyBorder="1" applyAlignment="1" applyProtection="1">
      <alignment horizontal="center"/>
      <protection locked="0"/>
    </xf>
    <xf numFmtId="0" fontId="18" fillId="14" borderId="7" xfId="0" applyFont="1" applyFill="1" applyBorder="1" applyAlignment="1" applyProtection="1">
      <alignment horizontal="center"/>
      <protection locked="0"/>
    </xf>
    <xf numFmtId="0" fontId="18" fillId="14" borderId="12" xfId="0" applyFont="1" applyFill="1" applyBorder="1" applyAlignment="1" applyProtection="1">
      <alignment horizontal="center"/>
      <protection locked="0"/>
    </xf>
    <xf numFmtId="0" fontId="18" fillId="14" borderId="0" xfId="0" applyFont="1" applyFill="1" applyBorder="1" applyAlignment="1" applyProtection="1">
      <alignment horizontal="center"/>
      <protection locked="0"/>
    </xf>
    <xf numFmtId="0" fontId="18" fillId="14" borderId="27" xfId="0" applyFont="1" applyFill="1" applyBorder="1" applyAlignment="1" applyProtection="1">
      <alignment horizontal="center"/>
      <protection locked="0"/>
    </xf>
    <xf numFmtId="0" fontId="18" fillId="15" borderId="12" xfId="0" applyFont="1" applyFill="1" applyBorder="1" applyAlignment="1" applyProtection="1">
      <alignment horizontal="center"/>
      <protection locked="0"/>
    </xf>
    <xf numFmtId="0" fontId="18" fillId="15" borderId="0" xfId="0" applyFont="1" applyFill="1" applyBorder="1" applyAlignment="1" applyProtection="1">
      <alignment horizontal="center"/>
      <protection locked="0"/>
    </xf>
    <xf numFmtId="0" fontId="18" fillId="15" borderId="27" xfId="0" applyFont="1" applyFill="1" applyBorder="1" applyAlignment="1" applyProtection="1">
      <alignment horizontal="center"/>
      <protection locked="0"/>
    </xf>
    <xf numFmtId="9" fontId="25" fillId="15" borderId="12" xfId="0" applyNumberFormat="1" applyFont="1" applyFill="1" applyBorder="1" applyAlignment="1" applyProtection="1">
      <alignment horizontal="center"/>
      <protection locked="0"/>
    </xf>
    <xf numFmtId="9" fontId="25" fillId="15" borderId="0" xfId="0" applyNumberFormat="1" applyFont="1" applyFill="1" applyBorder="1" applyAlignment="1" applyProtection="1">
      <alignment horizontal="center"/>
      <protection locked="0"/>
    </xf>
    <xf numFmtId="9" fontId="25" fillId="15" borderId="27" xfId="0" applyNumberFormat="1" applyFont="1" applyFill="1" applyBorder="1" applyAlignment="1" applyProtection="1">
      <alignment horizontal="center"/>
      <protection locked="0"/>
    </xf>
    <xf numFmtId="9" fontId="25" fillId="15" borderId="6" xfId="0" applyNumberFormat="1" applyFont="1" applyFill="1" applyBorder="1" applyAlignment="1" applyProtection="1">
      <alignment horizontal="center"/>
      <protection locked="0"/>
    </xf>
    <xf numFmtId="9" fontId="25" fillId="15" borderId="1" xfId="0" applyNumberFormat="1" applyFont="1" applyFill="1" applyBorder="1" applyAlignment="1" applyProtection="1">
      <alignment horizontal="center"/>
      <protection locked="0"/>
    </xf>
    <xf numFmtId="9" fontId="25" fillId="15" borderId="7" xfId="0" applyNumberFormat="1" applyFont="1" applyFill="1" applyBorder="1" applyAlignment="1" applyProtection="1">
      <alignment horizontal="center"/>
      <protection locked="0"/>
    </xf>
    <xf numFmtId="164" fontId="18" fillId="14" borderId="12" xfId="1" applyNumberFormat="1" applyFont="1" applyFill="1" applyBorder="1" applyAlignment="1" applyProtection="1">
      <alignment horizontal="center"/>
      <protection locked="0"/>
    </xf>
    <xf numFmtId="164" fontId="18" fillId="14" borderId="0" xfId="1" applyNumberFormat="1" applyFont="1" applyFill="1" applyBorder="1" applyAlignment="1" applyProtection="1">
      <alignment horizontal="center"/>
      <protection locked="0"/>
    </xf>
    <xf numFmtId="164" fontId="18" fillId="14" borderId="27" xfId="1" applyNumberFormat="1" applyFont="1" applyFill="1" applyBorder="1" applyAlignment="1" applyProtection="1">
      <alignment horizontal="center"/>
      <protection locked="0"/>
    </xf>
    <xf numFmtId="9" fontId="18" fillId="14" borderId="12" xfId="0" applyNumberFormat="1" applyFont="1" applyFill="1" applyBorder="1" applyAlignment="1" applyProtection="1">
      <alignment horizontal="center" vertical="center"/>
      <protection locked="0"/>
    </xf>
    <xf numFmtId="9" fontId="18" fillId="14" borderId="0" xfId="0" applyNumberFormat="1" applyFont="1" applyFill="1" applyBorder="1" applyAlignment="1" applyProtection="1">
      <alignment horizontal="center" vertical="center"/>
      <protection locked="0"/>
    </xf>
    <xf numFmtId="9" fontId="18" fillId="14" borderId="27" xfId="0" applyNumberFormat="1" applyFont="1" applyFill="1" applyBorder="1" applyAlignment="1" applyProtection="1">
      <alignment horizontal="center" vertical="center"/>
      <protection locked="0"/>
    </xf>
    <xf numFmtId="9" fontId="18" fillId="15" borderId="12" xfId="0" applyNumberFormat="1" applyFont="1" applyFill="1" applyBorder="1" applyAlignment="1" applyProtection="1">
      <alignment horizontal="center"/>
      <protection locked="0"/>
    </xf>
    <xf numFmtId="9" fontId="18" fillId="15" borderId="0" xfId="0" applyNumberFormat="1" applyFont="1" applyFill="1" applyBorder="1" applyAlignment="1" applyProtection="1">
      <alignment horizontal="center"/>
      <protection locked="0"/>
    </xf>
    <xf numFmtId="9" fontId="18" fillId="15" borderId="27" xfId="0" applyNumberFormat="1" applyFont="1" applyFill="1" applyBorder="1" applyAlignment="1" applyProtection="1">
      <alignment horizontal="center"/>
      <protection locked="0"/>
    </xf>
    <xf numFmtId="0" fontId="22" fillId="14" borderId="4" xfId="0" applyFont="1" applyFill="1" applyBorder="1" applyAlignment="1" applyProtection="1">
      <alignment horizontal="center" vertical="center"/>
      <protection locked="0"/>
    </xf>
    <xf numFmtId="0" fontId="22" fillId="14" borderId="2" xfId="0" applyFont="1" applyFill="1" applyBorder="1" applyAlignment="1" applyProtection="1">
      <alignment horizontal="center" vertical="center"/>
      <protection locked="0"/>
    </xf>
    <xf numFmtId="0" fontId="22" fillId="14" borderId="5" xfId="0" applyFont="1" applyFill="1" applyBorder="1" applyAlignment="1" applyProtection="1">
      <alignment horizontal="center" vertical="center"/>
      <protection locked="0"/>
    </xf>
    <xf numFmtId="183" fontId="18" fillId="15" borderId="12" xfId="0" applyNumberFormat="1" applyFont="1" applyFill="1" applyBorder="1" applyAlignment="1" applyProtection="1">
      <alignment horizontal="center"/>
      <protection locked="0"/>
    </xf>
    <xf numFmtId="183" fontId="18" fillId="15" borderId="0" xfId="0" applyNumberFormat="1" applyFont="1" applyFill="1" applyBorder="1" applyAlignment="1" applyProtection="1">
      <alignment horizontal="center"/>
      <protection locked="0"/>
    </xf>
    <xf numFmtId="183" fontId="18" fillId="15" borderId="27" xfId="0" applyNumberFormat="1" applyFont="1" applyFill="1" applyBorder="1" applyAlignment="1" applyProtection="1">
      <alignment horizontal="center"/>
      <protection locked="0"/>
    </xf>
    <xf numFmtId="0" fontId="11" fillId="15" borderId="12" xfId="0" applyFont="1" applyFill="1" applyBorder="1" applyAlignment="1" applyProtection="1">
      <alignment horizontal="center"/>
    </xf>
    <xf numFmtId="0" fontId="11" fillId="15" borderId="0" xfId="0" applyFont="1" applyFill="1" applyBorder="1" applyAlignment="1" applyProtection="1">
      <alignment horizontal="center"/>
    </xf>
    <xf numFmtId="0" fontId="11" fillId="15" borderId="27" xfId="0" applyFont="1" applyFill="1" applyBorder="1" applyAlignment="1" applyProtection="1">
      <alignment horizontal="center"/>
    </xf>
    <xf numFmtId="164" fontId="18" fillId="15" borderId="12" xfId="1" applyNumberFormat="1" applyFont="1" applyFill="1" applyBorder="1" applyAlignment="1" applyProtection="1">
      <alignment horizontal="center"/>
      <protection locked="0"/>
    </xf>
    <xf numFmtId="164" fontId="18" fillId="15" borderId="0" xfId="1" applyNumberFormat="1" applyFont="1" applyFill="1" applyBorder="1" applyAlignment="1" applyProtection="1">
      <alignment horizontal="center"/>
      <protection locked="0"/>
    </xf>
    <xf numFmtId="164" fontId="18" fillId="15" borderId="27" xfId="1" applyNumberFormat="1" applyFont="1" applyFill="1" applyBorder="1" applyAlignment="1" applyProtection="1">
      <alignment horizontal="center"/>
      <protection locked="0"/>
    </xf>
    <xf numFmtId="37" fontId="18" fillId="15" borderId="28" xfId="0" applyNumberFormat="1" applyFont="1" applyFill="1" applyBorder="1" applyAlignment="1" applyProtection="1">
      <alignment horizontal="center"/>
    </xf>
    <xf numFmtId="37" fontId="18" fillId="15" borderId="13" xfId="0" applyNumberFormat="1" applyFont="1" applyFill="1" applyBorder="1" applyAlignment="1" applyProtection="1">
      <alignment horizontal="center"/>
    </xf>
    <xf numFmtId="37" fontId="18" fillId="15" borderId="26" xfId="0" applyNumberFormat="1" applyFont="1" applyFill="1" applyBorder="1" applyAlignment="1" applyProtection="1">
      <alignment horizontal="center"/>
    </xf>
    <xf numFmtId="164" fontId="5" fillId="14" borderId="12" xfId="0" applyNumberFormat="1" applyFont="1" applyFill="1" applyBorder="1" applyAlignment="1" applyProtection="1">
      <alignment horizontal="center"/>
    </xf>
    <xf numFmtId="164" fontId="5" fillId="14" borderId="0" xfId="0" applyNumberFormat="1" applyFont="1" applyFill="1" applyBorder="1" applyAlignment="1" applyProtection="1">
      <alignment horizontal="center"/>
    </xf>
    <xf numFmtId="164" fontId="5" fillId="14" borderId="27" xfId="0" applyNumberFormat="1" applyFont="1" applyFill="1" applyBorder="1" applyAlignment="1" applyProtection="1">
      <alignment horizontal="center"/>
    </xf>
    <xf numFmtId="37" fontId="18" fillId="14" borderId="28" xfId="0" applyNumberFormat="1" applyFont="1" applyFill="1" applyBorder="1" applyAlignment="1" applyProtection="1">
      <alignment horizontal="center"/>
    </xf>
    <xf numFmtId="37" fontId="18" fillId="14" borderId="13" xfId="0" applyNumberFormat="1" applyFont="1" applyFill="1" applyBorder="1" applyAlignment="1" applyProtection="1">
      <alignment horizontal="center"/>
    </xf>
    <xf numFmtId="37" fontId="18" fillId="14" borderId="26" xfId="0" applyNumberFormat="1" applyFont="1" applyFill="1" applyBorder="1" applyAlignment="1" applyProtection="1">
      <alignment horizontal="center"/>
    </xf>
    <xf numFmtId="37" fontId="18" fillId="14" borderId="6" xfId="0" applyNumberFormat="1" applyFont="1" applyFill="1" applyBorder="1" applyAlignment="1" applyProtection="1">
      <alignment horizontal="center" vertical="center"/>
      <protection locked="0"/>
    </xf>
    <xf numFmtId="37" fontId="18" fillId="14" borderId="1" xfId="0" applyNumberFormat="1" applyFont="1" applyFill="1" applyBorder="1" applyAlignment="1" applyProtection="1">
      <alignment horizontal="center" vertical="center"/>
      <protection locked="0"/>
    </xf>
    <xf numFmtId="37" fontId="18" fillId="14" borderId="7" xfId="0" applyNumberFormat="1" applyFont="1" applyFill="1" applyBorder="1" applyAlignment="1" applyProtection="1">
      <alignment horizontal="center" vertical="center"/>
      <protection locked="0"/>
    </xf>
    <xf numFmtId="37" fontId="18" fillId="14" borderId="28" xfId="0" applyNumberFormat="1" applyFont="1" applyFill="1" applyBorder="1" applyAlignment="1" applyProtection="1">
      <alignment horizontal="center" vertical="center"/>
    </xf>
    <xf numFmtId="37" fontId="18" fillId="14" borderId="13" xfId="0" applyNumberFormat="1" applyFont="1" applyFill="1" applyBorder="1" applyAlignment="1" applyProtection="1">
      <alignment horizontal="center" vertical="center"/>
    </xf>
    <xf numFmtId="37" fontId="18" fillId="14" borderId="26" xfId="0" applyNumberFormat="1" applyFont="1" applyFill="1" applyBorder="1" applyAlignment="1" applyProtection="1">
      <alignment horizontal="center" vertical="center"/>
    </xf>
    <xf numFmtId="37" fontId="11" fillId="15" borderId="12" xfId="0" applyNumberFormat="1" applyFont="1" applyFill="1" applyBorder="1" applyAlignment="1" applyProtection="1">
      <alignment horizontal="center"/>
    </xf>
    <xf numFmtId="37" fontId="11" fillId="15" borderId="0" xfId="0" applyNumberFormat="1" applyFont="1" applyFill="1" applyBorder="1" applyAlignment="1" applyProtection="1">
      <alignment horizontal="center"/>
    </xf>
    <xf numFmtId="37" fontId="11" fillId="15" borderId="27" xfId="0" applyNumberFormat="1" applyFont="1" applyFill="1" applyBorder="1" applyAlignment="1" applyProtection="1">
      <alignment horizontal="center"/>
    </xf>
    <xf numFmtId="0" fontId="12" fillId="0" borderId="4"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15" borderId="4" xfId="0" applyFont="1" applyFill="1" applyBorder="1" applyAlignment="1" applyProtection="1">
      <alignment horizontal="center" vertical="center"/>
    </xf>
    <xf numFmtId="0" fontId="12" fillId="15" borderId="2" xfId="0" applyFont="1" applyFill="1" applyBorder="1" applyAlignment="1" applyProtection="1">
      <alignment horizontal="center" vertical="center"/>
    </xf>
    <xf numFmtId="0" fontId="12" fillId="15" borderId="5" xfId="0" applyFont="1" applyFill="1" applyBorder="1" applyAlignment="1" applyProtection="1">
      <alignment horizontal="center" vertical="center"/>
    </xf>
    <xf numFmtId="0" fontId="12" fillId="14" borderId="4" xfId="0" applyFont="1" applyFill="1" applyBorder="1" applyAlignment="1" applyProtection="1">
      <alignment horizontal="center" vertical="center"/>
    </xf>
    <xf numFmtId="0" fontId="12" fillId="14" borderId="2" xfId="0" applyFont="1" applyFill="1" applyBorder="1" applyAlignment="1" applyProtection="1">
      <alignment horizontal="center" vertical="center"/>
    </xf>
    <xf numFmtId="0" fontId="12" fillId="14" borderId="5" xfId="0" applyFont="1" applyFill="1" applyBorder="1" applyAlignment="1" applyProtection="1">
      <alignment horizontal="center" vertical="center"/>
    </xf>
    <xf numFmtId="0" fontId="12" fillId="0" borderId="4" xfId="0" applyFont="1" applyBorder="1" applyAlignment="1" applyProtection="1">
      <alignment horizontal="left" vertical="center"/>
    </xf>
    <xf numFmtId="0" fontId="11" fillId="0" borderId="5" xfId="0" applyFont="1" applyBorder="1" applyAlignment="1" applyProtection="1">
      <alignment horizontal="left" vertical="center"/>
    </xf>
    <xf numFmtId="0" fontId="11" fillId="0" borderId="0" xfId="0" applyFont="1" applyAlignment="1" applyProtection="1">
      <alignment wrapText="1"/>
    </xf>
    <xf numFmtId="0" fontId="11" fillId="0" borderId="0" xfId="0" applyFont="1" applyAlignment="1" applyProtection="1"/>
    <xf numFmtId="0" fontId="11" fillId="0" borderId="0" xfId="0" applyFont="1" applyBorder="1" applyAlignment="1" applyProtection="1">
      <alignment horizontal="left" vertical="center" wrapText="1"/>
    </xf>
    <xf numFmtId="0" fontId="0" fillId="0" borderId="0" xfId="0" applyAlignment="1" applyProtection="1">
      <alignment wrapText="1"/>
    </xf>
    <xf numFmtId="0" fontId="11" fillId="0" borderId="0" xfId="0" applyFont="1" applyAlignment="1" applyProtection="1">
      <alignment vertical="center" wrapText="1"/>
    </xf>
    <xf numFmtId="0" fontId="11" fillId="0" borderId="0" xfId="0" applyFont="1" applyAlignment="1" applyProtection="1">
      <alignment horizontal="left" vertical="center" wrapText="1"/>
    </xf>
    <xf numFmtId="164" fontId="21" fillId="15" borderId="12" xfId="0" applyNumberFormat="1" applyFont="1" applyFill="1" applyBorder="1" applyAlignment="1" applyProtection="1">
      <alignment horizontal="center"/>
    </xf>
    <xf numFmtId="164" fontId="21" fillId="15" borderId="0" xfId="0" applyNumberFormat="1" applyFont="1" applyFill="1" applyBorder="1" applyAlignment="1" applyProtection="1">
      <alignment horizontal="center"/>
    </xf>
    <xf numFmtId="164" fontId="21" fillId="15" borderId="27" xfId="0" applyNumberFormat="1" applyFont="1" applyFill="1" applyBorder="1" applyAlignment="1" applyProtection="1">
      <alignment horizontal="center"/>
    </xf>
    <xf numFmtId="164" fontId="21" fillId="14" borderId="12" xfId="0" applyNumberFormat="1" applyFont="1" applyFill="1" applyBorder="1" applyAlignment="1" applyProtection="1">
      <alignment horizontal="center"/>
    </xf>
    <xf numFmtId="164" fontId="21" fillId="14" borderId="0" xfId="0" applyNumberFormat="1" applyFont="1" applyFill="1" applyBorder="1" applyAlignment="1" applyProtection="1">
      <alignment horizontal="center"/>
    </xf>
    <xf numFmtId="164" fontId="21" fillId="14" borderId="27" xfId="0" applyNumberFormat="1" applyFont="1" applyFill="1" applyBorder="1" applyAlignment="1" applyProtection="1">
      <alignment horizontal="center"/>
    </xf>
    <xf numFmtId="0" fontId="12" fillId="0" borderId="4" xfId="0" applyFont="1" applyFill="1" applyBorder="1" applyAlignment="1" applyProtection="1">
      <alignment horizontal="left" vertical="center"/>
    </xf>
    <xf numFmtId="164" fontId="5" fillId="15" borderId="12" xfId="0" applyNumberFormat="1" applyFont="1" applyFill="1" applyBorder="1" applyAlignment="1" applyProtection="1">
      <alignment horizontal="center"/>
    </xf>
    <xf numFmtId="164" fontId="5" fillId="15" borderId="0" xfId="0" applyNumberFormat="1" applyFont="1" applyFill="1" applyBorder="1" applyAlignment="1" applyProtection="1">
      <alignment horizontal="center"/>
    </xf>
    <xf numFmtId="164" fontId="5" fillId="15" borderId="27" xfId="0" applyNumberFormat="1" applyFont="1" applyFill="1" applyBorder="1" applyAlignment="1" applyProtection="1">
      <alignment horizontal="center"/>
    </xf>
    <xf numFmtId="164" fontId="18" fillId="15" borderId="12" xfId="0" applyNumberFormat="1" applyFont="1" applyFill="1" applyBorder="1" applyAlignment="1" applyProtection="1">
      <alignment horizontal="center"/>
      <protection locked="0"/>
    </xf>
    <xf numFmtId="164" fontId="18" fillId="15" borderId="0" xfId="0" applyNumberFormat="1" applyFont="1" applyFill="1" applyBorder="1" applyAlignment="1" applyProtection="1">
      <alignment horizontal="center"/>
      <protection locked="0"/>
    </xf>
    <xf numFmtId="164" fontId="18" fillId="15" borderId="27" xfId="0" applyNumberFormat="1" applyFont="1" applyFill="1" applyBorder="1" applyAlignment="1" applyProtection="1">
      <alignment horizontal="center"/>
      <protection locked="0"/>
    </xf>
    <xf numFmtId="164" fontId="11" fillId="14" borderId="12" xfId="0" applyNumberFormat="1" applyFont="1" applyFill="1" applyBorder="1" applyAlignment="1" applyProtection="1">
      <alignment horizontal="center"/>
    </xf>
    <xf numFmtId="164" fontId="11" fillId="14" borderId="0" xfId="0" applyNumberFormat="1" applyFont="1" applyFill="1" applyBorder="1" applyAlignment="1" applyProtection="1">
      <alignment horizontal="center"/>
    </xf>
    <xf numFmtId="164" fontId="11" fillId="14" borderId="27" xfId="0" applyNumberFormat="1" applyFont="1" applyFill="1" applyBorder="1" applyAlignment="1" applyProtection="1">
      <alignment horizontal="center"/>
    </xf>
    <xf numFmtId="0" fontId="21" fillId="15" borderId="12" xfId="0" applyFont="1" applyFill="1" applyBorder="1" applyAlignment="1" applyProtection="1">
      <alignment horizontal="center"/>
    </xf>
    <xf numFmtId="0" fontId="21" fillId="15" borderId="0" xfId="0" applyFont="1" applyFill="1" applyBorder="1" applyAlignment="1" applyProtection="1">
      <alignment horizontal="center"/>
    </xf>
    <xf numFmtId="0" fontId="21" fillId="15" borderId="27" xfId="0" applyFont="1" applyFill="1" applyBorder="1" applyAlignment="1" applyProtection="1">
      <alignment horizontal="center"/>
    </xf>
    <xf numFmtId="37" fontId="5" fillId="15" borderId="12" xfId="0" applyNumberFormat="1" applyFont="1" applyFill="1" applyBorder="1" applyAlignment="1" applyProtection="1">
      <alignment horizontal="center"/>
    </xf>
    <xf numFmtId="37" fontId="5" fillId="15" borderId="0" xfId="0" applyNumberFormat="1" applyFont="1" applyFill="1" applyBorder="1" applyAlignment="1" applyProtection="1">
      <alignment horizontal="center"/>
    </xf>
    <xf numFmtId="37" fontId="5" fillId="15" borderId="27" xfId="0" applyNumberFormat="1" applyFont="1" applyFill="1" applyBorder="1" applyAlignment="1" applyProtection="1">
      <alignment horizontal="center"/>
    </xf>
    <xf numFmtId="9" fontId="5" fillId="14" borderId="12" xfId="0" applyNumberFormat="1" applyFont="1" applyFill="1" applyBorder="1" applyAlignment="1" applyProtection="1">
      <alignment horizontal="center" vertical="center"/>
    </xf>
    <xf numFmtId="9" fontId="5" fillId="14" borderId="0" xfId="0" applyNumberFormat="1" applyFont="1" applyFill="1" applyBorder="1" applyAlignment="1" applyProtection="1">
      <alignment horizontal="center" vertical="center"/>
    </xf>
    <xf numFmtId="9" fontId="5" fillId="14" borderId="27" xfId="0" applyNumberFormat="1" applyFont="1" applyFill="1" applyBorder="1" applyAlignment="1" applyProtection="1">
      <alignment horizontal="center" vertical="center"/>
    </xf>
    <xf numFmtId="0" fontId="26" fillId="15" borderId="6" xfId="0" applyFont="1" applyFill="1" applyBorder="1" applyAlignment="1" applyProtection="1">
      <alignment horizontal="center" vertical="center"/>
    </xf>
    <xf numFmtId="0" fontId="26" fillId="15" borderId="1" xfId="0" applyFont="1" applyFill="1" applyBorder="1" applyAlignment="1" applyProtection="1">
      <alignment horizontal="center" vertical="center"/>
    </xf>
    <xf numFmtId="0" fontId="26" fillId="15" borderId="7" xfId="0" applyFont="1" applyFill="1" applyBorder="1" applyAlignment="1" applyProtection="1">
      <alignment horizontal="center" vertical="center"/>
    </xf>
    <xf numFmtId="0" fontId="25" fillId="0" borderId="12" xfId="0" applyFont="1" applyBorder="1" applyAlignment="1" applyProtection="1">
      <alignment horizontal="center"/>
      <protection locked="0"/>
    </xf>
    <xf numFmtId="0" fontId="25" fillId="0" borderId="27" xfId="0" applyFont="1" applyBorder="1" applyAlignment="1" applyProtection="1">
      <alignment horizontal="center"/>
      <protection locked="0"/>
    </xf>
    <xf numFmtId="37" fontId="18" fillId="0" borderId="28" xfId="0" applyNumberFormat="1" applyFont="1" applyFill="1" applyBorder="1" applyAlignment="1" applyProtection="1">
      <alignment horizontal="center"/>
      <protection locked="0"/>
    </xf>
    <xf numFmtId="37" fontId="18" fillId="0" borderId="26" xfId="0" applyNumberFormat="1" applyFont="1" applyFill="1" applyBorder="1" applyAlignment="1" applyProtection="1">
      <alignment horizontal="center"/>
      <protection locked="0"/>
    </xf>
    <xf numFmtId="37" fontId="25" fillId="0" borderId="12" xfId="0" applyNumberFormat="1" applyFont="1" applyFill="1" applyBorder="1" applyAlignment="1" applyProtection="1">
      <alignment horizontal="center"/>
      <protection locked="0"/>
    </xf>
    <xf numFmtId="37" fontId="25" fillId="0" borderId="27" xfId="0" applyNumberFormat="1" applyFont="1" applyFill="1" applyBorder="1" applyAlignment="1" applyProtection="1">
      <alignment horizontal="center"/>
      <protection locked="0"/>
    </xf>
    <xf numFmtId="9" fontId="25" fillId="0" borderId="12" xfId="1" applyNumberFormat="1" applyFont="1" applyFill="1" applyBorder="1" applyAlignment="1" applyProtection="1">
      <alignment horizontal="center"/>
      <protection locked="0"/>
    </xf>
    <xf numFmtId="9" fontId="25" fillId="0" borderId="27" xfId="1" applyNumberFormat="1" applyFont="1" applyFill="1" applyBorder="1" applyAlignment="1" applyProtection="1">
      <alignment horizontal="center"/>
      <protection locked="0"/>
    </xf>
    <xf numFmtId="37" fontId="18" fillId="15" borderId="6" xfId="0" applyNumberFormat="1" applyFont="1" applyFill="1" applyBorder="1" applyAlignment="1" applyProtection="1">
      <alignment horizontal="center" vertical="center"/>
      <protection locked="0"/>
    </xf>
    <xf numFmtId="37" fontId="18" fillId="15" borderId="1" xfId="0" applyNumberFormat="1" applyFont="1" applyFill="1" applyBorder="1" applyAlignment="1" applyProtection="1">
      <alignment horizontal="center" vertical="center"/>
      <protection locked="0"/>
    </xf>
    <xf numFmtId="37" fontId="18" fillId="15" borderId="7" xfId="0" applyNumberFormat="1" applyFont="1" applyFill="1" applyBorder="1" applyAlignment="1" applyProtection="1">
      <alignment horizontal="center" vertical="center"/>
      <protection locked="0"/>
    </xf>
    <xf numFmtId="37" fontId="18" fillId="15" borderId="12" xfId="0" applyNumberFormat="1" applyFont="1" applyFill="1" applyBorder="1" applyAlignment="1" applyProtection="1">
      <alignment horizontal="center"/>
      <protection locked="0"/>
    </xf>
    <xf numFmtId="37" fontId="18" fillId="15" borderId="0" xfId="0" applyNumberFormat="1" applyFont="1" applyFill="1" applyBorder="1" applyAlignment="1" applyProtection="1">
      <alignment horizontal="center"/>
      <protection locked="0"/>
    </xf>
    <xf numFmtId="37" fontId="18" fillId="15" borderId="27" xfId="0" applyNumberFormat="1" applyFont="1" applyFill="1" applyBorder="1" applyAlignment="1" applyProtection="1">
      <alignment horizontal="center"/>
      <protection locked="0"/>
    </xf>
    <xf numFmtId="37" fontId="18" fillId="15" borderId="6" xfId="0" applyNumberFormat="1" applyFont="1" applyFill="1" applyBorder="1" applyAlignment="1" applyProtection="1">
      <alignment horizontal="center"/>
      <protection locked="0"/>
    </xf>
    <xf numFmtId="37" fontId="18" fillId="15" borderId="1" xfId="0" applyNumberFormat="1" applyFont="1" applyFill="1" applyBorder="1" applyAlignment="1" applyProtection="1">
      <alignment horizontal="center"/>
      <protection locked="0"/>
    </xf>
    <xf numFmtId="37" fontId="18" fillId="15" borderId="7" xfId="0" applyNumberFormat="1" applyFont="1" applyFill="1" applyBorder="1" applyAlignment="1" applyProtection="1">
      <alignment horizontal="center"/>
      <protection locked="0"/>
    </xf>
    <xf numFmtId="0" fontId="18" fillId="15" borderId="6" xfId="0" applyFont="1" applyFill="1" applyBorder="1" applyAlignment="1" applyProtection="1">
      <alignment horizontal="center"/>
      <protection locked="0"/>
    </xf>
    <xf numFmtId="0" fontId="18" fillId="15" borderId="1" xfId="0" applyFont="1" applyFill="1" applyBorder="1" applyAlignment="1" applyProtection="1">
      <alignment horizontal="center"/>
      <protection locked="0"/>
    </xf>
    <xf numFmtId="0" fontId="18" fillId="15" borderId="7" xfId="0" applyFont="1" applyFill="1" applyBorder="1" applyAlignment="1" applyProtection="1">
      <alignment horizontal="center"/>
      <protection locked="0"/>
    </xf>
    <xf numFmtId="37" fontId="5" fillId="14" borderId="12" xfId="0" applyNumberFormat="1" applyFont="1" applyFill="1" applyBorder="1" applyAlignment="1" applyProtection="1">
      <alignment horizontal="center"/>
    </xf>
    <xf numFmtId="37" fontId="5" fillId="14" borderId="0" xfId="0" applyNumberFormat="1" applyFont="1" applyFill="1" applyBorder="1" applyAlignment="1" applyProtection="1">
      <alignment horizontal="center"/>
    </xf>
    <xf numFmtId="37" fontId="5" fillId="14" borderId="27" xfId="0" applyNumberFormat="1" applyFont="1" applyFill="1" applyBorder="1" applyAlignment="1" applyProtection="1">
      <alignment horizontal="center"/>
    </xf>
    <xf numFmtId="0" fontId="26" fillId="14" borderId="28" xfId="0" applyFont="1" applyFill="1" applyBorder="1" applyAlignment="1" applyProtection="1">
      <alignment horizontal="center" vertical="center"/>
    </xf>
    <xf numFmtId="0" fontId="26" fillId="14" borderId="13" xfId="0" applyFont="1" applyFill="1" applyBorder="1" applyAlignment="1" applyProtection="1">
      <alignment horizontal="center" vertical="center"/>
    </xf>
    <xf numFmtId="0" fontId="26" fillId="14" borderId="26" xfId="0" applyFont="1" applyFill="1" applyBorder="1" applyAlignment="1" applyProtection="1">
      <alignment horizontal="center" vertical="center"/>
    </xf>
    <xf numFmtId="0" fontId="26" fillId="15" borderId="28" xfId="0" applyFont="1" applyFill="1" applyBorder="1" applyAlignment="1" applyProtection="1">
      <alignment horizontal="center" vertical="center"/>
    </xf>
    <xf numFmtId="0" fontId="26" fillId="15" borderId="13" xfId="0" applyFont="1" applyFill="1" applyBorder="1" applyAlignment="1" applyProtection="1">
      <alignment horizontal="center" vertical="center"/>
    </xf>
    <xf numFmtId="0" fontId="26" fillId="15" borderId="26" xfId="0" applyFont="1" applyFill="1" applyBorder="1" applyAlignment="1" applyProtection="1">
      <alignment horizontal="center" vertical="center"/>
    </xf>
    <xf numFmtId="164" fontId="18" fillId="14" borderId="12" xfId="0" applyNumberFormat="1" applyFont="1" applyFill="1" applyBorder="1" applyAlignment="1" applyProtection="1">
      <alignment horizontal="center"/>
      <protection locked="0"/>
    </xf>
    <xf numFmtId="164" fontId="18" fillId="14" borderId="0" xfId="0" applyNumberFormat="1" applyFont="1" applyFill="1" applyBorder="1" applyAlignment="1" applyProtection="1">
      <alignment horizontal="center"/>
      <protection locked="0"/>
    </xf>
    <xf numFmtId="164" fontId="18" fillId="14" borderId="27" xfId="0" applyNumberFormat="1" applyFont="1" applyFill="1" applyBorder="1" applyAlignment="1" applyProtection="1">
      <alignment horizontal="center"/>
      <protection locked="0"/>
    </xf>
    <xf numFmtId="164" fontId="18" fillId="14" borderId="6" xfId="0" applyNumberFormat="1" applyFont="1" applyFill="1" applyBorder="1" applyAlignment="1" applyProtection="1">
      <alignment horizontal="center"/>
      <protection locked="0"/>
    </xf>
    <xf numFmtId="164" fontId="18" fillId="14" borderId="1" xfId="0" applyNumberFormat="1" applyFont="1" applyFill="1" applyBorder="1" applyAlignment="1" applyProtection="1">
      <alignment horizontal="center"/>
      <protection locked="0"/>
    </xf>
    <xf numFmtId="164" fontId="18" fillId="14" borderId="7" xfId="0" applyNumberFormat="1" applyFont="1" applyFill="1" applyBorder="1" applyAlignment="1" applyProtection="1">
      <alignment horizontal="center"/>
      <protection locked="0"/>
    </xf>
    <xf numFmtId="164" fontId="18" fillId="14" borderId="12" xfId="0" applyNumberFormat="1" applyFont="1" applyFill="1" applyBorder="1" applyAlignment="1" applyProtection="1">
      <alignment horizontal="center"/>
    </xf>
    <xf numFmtId="164" fontId="18" fillId="14" borderId="0" xfId="0" applyNumberFormat="1" applyFont="1" applyFill="1" applyBorder="1" applyAlignment="1" applyProtection="1">
      <alignment horizontal="center"/>
    </xf>
    <xf numFmtId="164" fontId="18" fillId="14" borderId="27" xfId="0" applyNumberFormat="1" applyFont="1" applyFill="1" applyBorder="1" applyAlignment="1" applyProtection="1">
      <alignment horizontal="center"/>
    </xf>
    <xf numFmtId="0" fontId="12" fillId="0" borderId="2" xfId="0" applyFont="1" applyBorder="1" applyAlignment="1" applyProtection="1">
      <alignment horizontal="center"/>
    </xf>
    <xf numFmtId="0" fontId="27" fillId="14" borderId="28" xfId="0" applyFont="1" applyFill="1" applyBorder="1" applyAlignment="1" applyProtection="1">
      <alignment horizontal="center"/>
    </xf>
    <xf numFmtId="0" fontId="27" fillId="14" borderId="13" xfId="0" applyFont="1" applyFill="1" applyBorder="1" applyAlignment="1" applyProtection="1">
      <alignment horizontal="center"/>
    </xf>
    <xf numFmtId="0" fontId="27" fillId="14" borderId="26" xfId="0" applyFont="1" applyFill="1" applyBorder="1" applyAlignment="1" applyProtection="1">
      <alignment horizontal="center"/>
    </xf>
    <xf numFmtId="37" fontId="18" fillId="14" borderId="6" xfId="0" applyNumberFormat="1" applyFont="1" applyFill="1" applyBorder="1" applyAlignment="1" applyProtection="1">
      <alignment horizontal="center"/>
      <protection locked="0"/>
    </xf>
    <xf numFmtId="37" fontId="18" fillId="14" borderId="1" xfId="0" applyNumberFormat="1" applyFont="1" applyFill="1" applyBorder="1" applyAlignment="1" applyProtection="1">
      <alignment horizontal="center"/>
      <protection locked="0"/>
    </xf>
    <xf numFmtId="37" fontId="18" fillId="14" borderId="7" xfId="0" applyNumberFormat="1" applyFont="1" applyFill="1" applyBorder="1" applyAlignment="1" applyProtection="1">
      <alignment horizontal="center"/>
      <protection locked="0"/>
    </xf>
    <xf numFmtId="37" fontId="18" fillId="14" borderId="12" xfId="0" applyNumberFormat="1" applyFont="1" applyFill="1" applyBorder="1" applyAlignment="1" applyProtection="1">
      <alignment horizontal="center"/>
      <protection locked="0"/>
    </xf>
    <xf numFmtId="37" fontId="18" fillId="14" borderId="0" xfId="0" applyNumberFormat="1" applyFont="1" applyFill="1" applyBorder="1" applyAlignment="1" applyProtection="1">
      <alignment horizontal="center"/>
      <protection locked="0"/>
    </xf>
    <xf numFmtId="37" fontId="18" fillId="14" borderId="27" xfId="0" applyNumberFormat="1" applyFont="1" applyFill="1" applyBorder="1" applyAlignment="1" applyProtection="1">
      <alignment horizontal="center"/>
      <protection locked="0"/>
    </xf>
    <xf numFmtId="37" fontId="18" fillId="14" borderId="12" xfId="0" applyNumberFormat="1" applyFont="1" applyFill="1" applyBorder="1" applyAlignment="1" applyProtection="1">
      <alignment horizontal="center"/>
    </xf>
    <xf numFmtId="37" fontId="18" fillId="14" borderId="0" xfId="0" applyNumberFormat="1" applyFont="1" applyFill="1" applyBorder="1" applyAlignment="1" applyProtection="1">
      <alignment horizontal="center"/>
    </xf>
    <xf numFmtId="37" fontId="18" fillId="14" borderId="27" xfId="0" applyNumberFormat="1" applyFont="1" applyFill="1" applyBorder="1" applyAlignment="1" applyProtection="1">
      <alignment horizontal="center"/>
    </xf>
    <xf numFmtId="0" fontId="12" fillId="0" borderId="4"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5" xfId="0" applyFont="1" applyBorder="1" applyAlignment="1" applyProtection="1">
      <alignment horizontal="center" vertical="center"/>
    </xf>
    <xf numFmtId="0" fontId="26" fillId="14" borderId="6" xfId="0" applyFont="1" applyFill="1" applyBorder="1" applyAlignment="1" applyProtection="1">
      <alignment horizontal="center" vertical="center"/>
    </xf>
    <xf numFmtId="0" fontId="26" fillId="14" borderId="1" xfId="0" applyFont="1" applyFill="1" applyBorder="1" applyAlignment="1" applyProtection="1">
      <alignment horizontal="center" vertical="center"/>
    </xf>
    <xf numFmtId="0" fontId="26" fillId="14" borderId="7" xfId="0" applyFont="1" applyFill="1" applyBorder="1" applyAlignment="1" applyProtection="1">
      <alignment horizontal="center" vertical="center"/>
    </xf>
    <xf numFmtId="9" fontId="5" fillId="15" borderId="12" xfId="0" applyNumberFormat="1" applyFont="1" applyFill="1" applyBorder="1" applyAlignment="1" applyProtection="1">
      <alignment horizontal="center" vertical="center"/>
    </xf>
    <xf numFmtId="9" fontId="5" fillId="15" borderId="0" xfId="0" applyNumberFormat="1" applyFont="1" applyFill="1" applyBorder="1" applyAlignment="1" applyProtection="1">
      <alignment horizontal="center" vertical="center"/>
    </xf>
    <xf numFmtId="9" fontId="5" fillId="15" borderId="27" xfId="0" applyNumberFormat="1" applyFont="1" applyFill="1" applyBorder="1" applyAlignment="1" applyProtection="1">
      <alignment horizontal="center" vertical="center"/>
    </xf>
    <xf numFmtId="9" fontId="5" fillId="15" borderId="12" xfId="0" applyNumberFormat="1" applyFont="1" applyFill="1" applyBorder="1" applyAlignment="1" applyProtection="1">
      <alignment horizontal="center"/>
    </xf>
    <xf numFmtId="9" fontId="5" fillId="15" borderId="0" xfId="0" applyNumberFormat="1" applyFont="1" applyFill="1" applyBorder="1" applyAlignment="1" applyProtection="1">
      <alignment horizontal="center"/>
    </xf>
    <xf numFmtId="9" fontId="5" fillId="15" borderId="27" xfId="0" applyNumberFormat="1" applyFont="1" applyFill="1" applyBorder="1" applyAlignment="1" applyProtection="1">
      <alignment horizontal="center"/>
    </xf>
    <xf numFmtId="164" fontId="5" fillId="14" borderId="12" xfId="1" applyNumberFormat="1" applyFont="1" applyFill="1" applyBorder="1" applyAlignment="1" applyProtection="1">
      <alignment horizontal="center"/>
    </xf>
    <xf numFmtId="164" fontId="5" fillId="14" borderId="0" xfId="1" applyNumberFormat="1" applyFont="1" applyFill="1" applyBorder="1" applyAlignment="1" applyProtection="1">
      <alignment horizontal="center"/>
    </xf>
    <xf numFmtId="164" fontId="5" fillId="14" borderId="27" xfId="1" applyNumberFormat="1" applyFont="1" applyFill="1" applyBorder="1" applyAlignment="1" applyProtection="1">
      <alignment horizontal="center"/>
    </xf>
    <xf numFmtId="0" fontId="0" fillId="0" borderId="13" xfId="0" applyBorder="1" applyAlignment="1">
      <alignment vertical="center"/>
    </xf>
    <xf numFmtId="0" fontId="0" fillId="0" borderId="12" xfId="0" applyBorder="1" applyAlignment="1">
      <alignment vertical="center"/>
    </xf>
    <xf numFmtId="0" fontId="0" fillId="0" borderId="0" xfId="0" applyAlignment="1">
      <alignment vertical="center"/>
    </xf>
    <xf numFmtId="0" fontId="0" fillId="0" borderId="6" xfId="0" applyBorder="1" applyAlignment="1">
      <alignment vertical="center"/>
    </xf>
    <xf numFmtId="0" fontId="0" fillId="0" borderId="1" xfId="0" applyBorder="1" applyAlignment="1">
      <alignment vertical="center"/>
    </xf>
    <xf numFmtId="9" fontId="18" fillId="15" borderId="6" xfId="0" applyNumberFormat="1" applyFont="1" applyFill="1" applyBorder="1" applyAlignment="1" applyProtection="1">
      <alignment horizontal="center" vertical="center"/>
      <protection locked="0"/>
    </xf>
    <xf numFmtId="9" fontId="18" fillId="15" borderId="1" xfId="0" applyNumberFormat="1" applyFont="1" applyFill="1" applyBorder="1" applyAlignment="1" applyProtection="1">
      <alignment horizontal="center" vertical="center"/>
      <protection locked="0"/>
    </xf>
    <xf numFmtId="9" fontId="18" fillId="15" borderId="7" xfId="0" applyNumberFormat="1" applyFont="1" applyFill="1" applyBorder="1" applyAlignment="1" applyProtection="1">
      <alignment horizontal="center" vertical="center"/>
      <protection locked="0"/>
    </xf>
    <xf numFmtId="0" fontId="22" fillId="15" borderId="28" xfId="0" applyFont="1" applyFill="1" applyBorder="1" applyAlignment="1" applyProtection="1">
      <alignment horizontal="center" vertical="center"/>
      <protection locked="0"/>
    </xf>
    <xf numFmtId="0" fontId="22" fillId="15" borderId="13" xfId="0" applyFont="1" applyFill="1" applyBorder="1" applyAlignment="1" applyProtection="1">
      <alignment horizontal="center" vertical="center"/>
      <protection locked="0"/>
    </xf>
    <xf numFmtId="0" fontId="22" fillId="15" borderId="26" xfId="0" applyFont="1" applyFill="1" applyBorder="1" applyAlignment="1" applyProtection="1">
      <alignment horizontal="center" vertical="center"/>
      <protection locked="0"/>
    </xf>
    <xf numFmtId="0" fontId="22" fillId="14" borderId="28" xfId="0" applyFont="1" applyFill="1" applyBorder="1" applyAlignment="1" applyProtection="1">
      <alignment horizontal="center" vertical="center"/>
      <protection locked="0"/>
    </xf>
    <xf numFmtId="0" fontId="22" fillId="14" borderId="13" xfId="0" applyFont="1" applyFill="1" applyBorder="1" applyAlignment="1" applyProtection="1">
      <alignment horizontal="center" vertical="center"/>
      <protection locked="0"/>
    </xf>
    <xf numFmtId="0" fontId="22" fillId="14" borderId="26" xfId="0" applyFont="1" applyFill="1" applyBorder="1" applyAlignment="1" applyProtection="1">
      <alignment horizontal="center" vertical="center"/>
      <protection locked="0"/>
    </xf>
    <xf numFmtId="9" fontId="18" fillId="14" borderId="6" xfId="0" applyNumberFormat="1" applyFont="1" applyFill="1" applyBorder="1" applyAlignment="1" applyProtection="1">
      <alignment horizontal="center" vertical="center"/>
      <protection locked="0"/>
    </xf>
    <xf numFmtId="9" fontId="18" fillId="14" borderId="1" xfId="0" applyNumberFormat="1" applyFont="1" applyFill="1" applyBorder="1" applyAlignment="1" applyProtection="1">
      <alignment horizontal="center" vertical="center"/>
      <protection locked="0"/>
    </xf>
    <xf numFmtId="9" fontId="18" fillId="14" borderId="7" xfId="0" applyNumberFormat="1" applyFont="1" applyFill="1" applyBorder="1" applyAlignment="1" applyProtection="1">
      <alignment horizontal="center" vertical="center"/>
      <protection locked="0"/>
    </xf>
    <xf numFmtId="0" fontId="21" fillId="14" borderId="12" xfId="0" applyFont="1" applyFill="1" applyBorder="1" applyAlignment="1" applyProtection="1">
      <alignment horizontal="center"/>
    </xf>
    <xf numFmtId="0" fontId="21" fillId="14" borderId="0" xfId="0" applyFont="1" applyFill="1" applyBorder="1" applyAlignment="1" applyProtection="1">
      <alignment horizontal="center"/>
    </xf>
    <xf numFmtId="0" fontId="21" fillId="14" borderId="27" xfId="0" applyFont="1" applyFill="1" applyBorder="1" applyAlignment="1" applyProtection="1">
      <alignment horizontal="center"/>
    </xf>
    <xf numFmtId="0" fontId="11" fillId="0" borderId="0" xfId="0" applyFont="1" applyAlignment="1" applyProtection="1">
      <alignment horizontal="left" vertical="top" wrapText="1"/>
    </xf>
    <xf numFmtId="0" fontId="12" fillId="0" borderId="4" xfId="0" applyFont="1" applyBorder="1" applyAlignment="1" applyProtection="1">
      <alignment horizontal="left"/>
    </xf>
    <xf numFmtId="0" fontId="12" fillId="0" borderId="2" xfId="0" applyFont="1" applyBorder="1" applyAlignment="1" applyProtection="1">
      <alignment horizontal="left"/>
    </xf>
    <xf numFmtId="0" fontId="11" fillId="0" borderId="4" xfId="0" applyFont="1" applyBorder="1" applyAlignment="1" applyProtection="1">
      <alignment horizontal="left" vertical="center" wrapText="1"/>
    </xf>
    <xf numFmtId="0" fontId="18" fillId="0" borderId="2" xfId="0" applyFont="1" applyBorder="1" applyAlignment="1" applyProtection="1">
      <alignment horizontal="left" vertical="center" wrapText="1"/>
      <protection locked="0"/>
    </xf>
    <xf numFmtId="0" fontId="11" fillId="0" borderId="2" xfId="0" applyFont="1" applyBorder="1" applyAlignment="1" applyProtection="1">
      <alignment horizontal="left" vertical="center" wrapText="1"/>
      <protection locked="0"/>
    </xf>
    <xf numFmtId="0" fontId="18" fillId="0" borderId="2" xfId="0" applyFont="1" applyFill="1" applyBorder="1" applyAlignment="1" applyProtection="1">
      <alignment horizontal="left" vertical="center" wrapText="1"/>
      <protection locked="0"/>
    </xf>
    <xf numFmtId="0" fontId="11" fillId="0" borderId="2" xfId="0" applyFont="1" applyBorder="1" applyAlignment="1" applyProtection="1">
      <alignment horizontal="left"/>
    </xf>
    <xf numFmtId="0" fontId="11" fillId="0" borderId="2" xfId="0" applyFont="1" applyFill="1" applyBorder="1" applyAlignment="1" applyProtection="1">
      <alignment horizontal="left" vertical="center" wrapText="1"/>
    </xf>
    <xf numFmtId="0" fontId="36" fillId="0" borderId="2" xfId="0" applyFont="1" applyBorder="1" applyAlignment="1" applyProtection="1">
      <alignment horizontal="left" vertical="center" wrapText="1"/>
    </xf>
    <xf numFmtId="39" fontId="18" fillId="0" borderId="6" xfId="0" applyNumberFormat="1" applyFont="1" applyFill="1" applyBorder="1" applyAlignment="1" applyProtection="1">
      <alignment horizontal="center"/>
      <protection locked="0"/>
    </xf>
    <xf numFmtId="39" fontId="18" fillId="0" borderId="7" xfId="0" applyNumberFormat="1" applyFont="1" applyFill="1" applyBorder="1" applyAlignment="1" applyProtection="1">
      <alignment horizontal="center"/>
      <protection locked="0"/>
    </xf>
    <xf numFmtId="0" fontId="27" fillId="14" borderId="12" xfId="0" applyFont="1" applyFill="1" applyBorder="1" applyAlignment="1" applyProtection="1">
      <alignment horizontal="center"/>
      <protection locked="0"/>
    </xf>
    <xf numFmtId="0" fontId="27" fillId="14" borderId="0" xfId="0" applyFont="1" applyFill="1" applyBorder="1" applyAlignment="1" applyProtection="1">
      <alignment horizontal="center"/>
      <protection locked="0"/>
    </xf>
    <xf numFmtId="0" fontId="27" fillId="14" borderId="27" xfId="0" applyFont="1" applyFill="1" applyBorder="1" applyAlignment="1" applyProtection="1">
      <alignment horizontal="center"/>
      <protection locked="0"/>
    </xf>
    <xf numFmtId="9" fontId="18" fillId="14" borderId="12" xfId="0" applyNumberFormat="1" applyFont="1" applyFill="1" applyBorder="1" applyAlignment="1" applyProtection="1">
      <alignment horizontal="center"/>
      <protection locked="0"/>
    </xf>
    <xf numFmtId="9" fontId="18" fillId="14" borderId="0" xfId="0" applyNumberFormat="1" applyFont="1" applyFill="1" applyBorder="1" applyAlignment="1" applyProtection="1">
      <alignment horizontal="center"/>
      <protection locked="0"/>
    </xf>
    <xf numFmtId="9" fontId="18" fillId="14" borderId="27" xfId="0" applyNumberFormat="1" applyFont="1" applyFill="1" applyBorder="1" applyAlignment="1" applyProtection="1">
      <alignment horizontal="center"/>
      <protection locked="0"/>
    </xf>
    <xf numFmtId="37" fontId="11" fillId="14" borderId="12" xfId="0" applyNumberFormat="1" applyFont="1" applyFill="1" applyBorder="1" applyAlignment="1" applyProtection="1">
      <alignment horizontal="center"/>
    </xf>
    <xf numFmtId="37" fontId="11" fillId="14" borderId="0" xfId="0" applyNumberFormat="1" applyFont="1" applyFill="1" applyBorder="1" applyAlignment="1" applyProtection="1">
      <alignment horizontal="center"/>
    </xf>
    <xf numFmtId="37" fontId="11" fillId="14" borderId="27" xfId="0" applyNumberFormat="1" applyFont="1" applyFill="1" applyBorder="1" applyAlignment="1" applyProtection="1">
      <alignment horizontal="center"/>
    </xf>
    <xf numFmtId="164" fontId="5" fillId="14" borderId="12" xfId="0" applyNumberFormat="1" applyFont="1" applyFill="1" applyBorder="1" applyAlignment="1" applyProtection="1">
      <alignment horizontal="center" vertical="center"/>
    </xf>
    <xf numFmtId="164" fontId="5" fillId="14" borderId="0" xfId="0" applyNumberFormat="1" applyFont="1" applyFill="1" applyBorder="1" applyAlignment="1" applyProtection="1">
      <alignment horizontal="center" vertical="center"/>
    </xf>
    <xf numFmtId="164" fontId="5" fillId="14" borderId="27" xfId="0" applyNumberFormat="1" applyFont="1" applyFill="1" applyBorder="1" applyAlignment="1" applyProtection="1">
      <alignment horizontal="center" vertical="center"/>
    </xf>
    <xf numFmtId="37" fontId="18" fillId="14" borderId="12" xfId="0" applyNumberFormat="1" applyFont="1" applyFill="1" applyBorder="1" applyAlignment="1" applyProtection="1">
      <alignment horizontal="center" vertical="center"/>
      <protection locked="0"/>
    </xf>
    <xf numFmtId="37" fontId="18" fillId="14" borderId="0" xfId="0" applyNumberFormat="1" applyFont="1" applyFill="1" applyBorder="1" applyAlignment="1" applyProtection="1">
      <alignment horizontal="center" vertical="center"/>
      <protection locked="0"/>
    </xf>
    <xf numFmtId="37" fontId="18" fillId="14" borderId="27" xfId="0" applyNumberFormat="1" applyFont="1" applyFill="1" applyBorder="1" applyAlignment="1" applyProtection="1">
      <alignment horizontal="center" vertical="center"/>
      <protection locked="0"/>
    </xf>
    <xf numFmtId="179" fontId="5" fillId="15" borderId="12" xfId="0" applyNumberFormat="1" applyFont="1" applyFill="1" applyBorder="1" applyAlignment="1">
      <alignment horizontal="center" vertical="center"/>
    </xf>
    <xf numFmtId="179" fontId="5" fillId="15" borderId="27" xfId="0" applyNumberFormat="1" applyFont="1" applyFill="1" applyBorder="1" applyAlignment="1">
      <alignment horizontal="center" vertical="center"/>
    </xf>
    <xf numFmtId="179" fontId="5" fillId="14" borderId="12" xfId="0" applyNumberFormat="1" applyFont="1" applyFill="1" applyBorder="1" applyAlignment="1">
      <alignment horizontal="center" vertical="center"/>
    </xf>
    <xf numFmtId="179" fontId="5" fillId="14" borderId="27" xfId="0" applyNumberFormat="1" applyFont="1" applyFill="1" applyBorder="1" applyAlignment="1">
      <alignment horizontal="center" vertical="center"/>
    </xf>
    <xf numFmtId="0" fontId="37" fillId="0" borderId="28" xfId="0" applyFont="1" applyFill="1" applyBorder="1" applyAlignment="1">
      <alignment vertical="top" wrapText="1"/>
    </xf>
    <xf numFmtId="0" fontId="38" fillId="0" borderId="13" xfId="0" applyFont="1" applyBorder="1" applyAlignment="1">
      <alignment vertical="top" wrapText="1"/>
    </xf>
    <xf numFmtId="0" fontId="38" fillId="0" borderId="26" xfId="0" applyFont="1" applyBorder="1" applyAlignment="1">
      <alignment vertical="top" wrapText="1"/>
    </xf>
    <xf numFmtId="0" fontId="38" fillId="0" borderId="12" xfId="0" applyFont="1" applyBorder="1" applyAlignment="1">
      <alignment vertical="top" wrapText="1"/>
    </xf>
    <xf numFmtId="0" fontId="38" fillId="0" borderId="0" xfId="0" applyFont="1" applyAlignment="1">
      <alignment vertical="top" wrapText="1"/>
    </xf>
    <xf numFmtId="0" fontId="38" fillId="0" borderId="27" xfId="0" applyFont="1" applyBorder="1" applyAlignment="1">
      <alignment vertical="top" wrapText="1"/>
    </xf>
    <xf numFmtId="0" fontId="38" fillId="0" borderId="6" xfId="0" applyFont="1" applyBorder="1" applyAlignment="1">
      <alignment vertical="top" wrapText="1"/>
    </xf>
    <xf numFmtId="0" fontId="38" fillId="0" borderId="1" xfId="0" applyFont="1" applyBorder="1" applyAlignment="1">
      <alignment vertical="top" wrapText="1"/>
    </xf>
    <xf numFmtId="0" fontId="38" fillId="0" borderId="7" xfId="0" applyFont="1" applyBorder="1" applyAlignment="1">
      <alignment vertical="top" wrapText="1"/>
    </xf>
    <xf numFmtId="164" fontId="5" fillId="14" borderId="12" xfId="1" applyNumberFormat="1" applyFont="1" applyFill="1" applyBorder="1" applyAlignment="1">
      <alignment horizontal="center" vertical="center"/>
    </xf>
    <xf numFmtId="164" fontId="5" fillId="14" borderId="27" xfId="1" applyNumberFormat="1" applyFont="1" applyFill="1" applyBorder="1" applyAlignment="1">
      <alignment horizontal="center" vertical="center"/>
    </xf>
    <xf numFmtId="9" fontId="25" fillId="0" borderId="28" xfId="1" applyFont="1" applyFill="1" applyBorder="1" applyAlignment="1" applyProtection="1">
      <alignment horizontal="center"/>
      <protection locked="0"/>
    </xf>
    <xf numFmtId="9" fontId="25" fillId="0" borderId="26" xfId="1" applyFont="1" applyFill="1" applyBorder="1" applyAlignment="1" applyProtection="1">
      <alignment horizontal="center"/>
      <protection locked="0"/>
    </xf>
    <xf numFmtId="9" fontId="25" fillId="0" borderId="6" xfId="1" applyFont="1" applyFill="1" applyBorder="1" applyAlignment="1" applyProtection="1">
      <alignment horizontal="center"/>
      <protection locked="0"/>
    </xf>
    <xf numFmtId="9" fontId="25" fillId="0" borderId="7" xfId="1" applyFont="1" applyFill="1" applyBorder="1" applyAlignment="1" applyProtection="1">
      <alignment horizontal="center"/>
      <protection locked="0"/>
    </xf>
    <xf numFmtId="178" fontId="11" fillId="15" borderId="27" xfId="1" applyNumberFormat="1" applyFont="1" applyFill="1" applyBorder="1" applyAlignment="1">
      <alignment horizontal="center"/>
    </xf>
    <xf numFmtId="178" fontId="11" fillId="14" borderId="27" xfId="1" applyNumberFormat="1" applyFont="1" applyFill="1" applyBorder="1" applyAlignment="1">
      <alignment horizontal="center"/>
    </xf>
    <xf numFmtId="179" fontId="26" fillId="15" borderId="12" xfId="0" applyNumberFormat="1" applyFont="1" applyFill="1" applyBorder="1" applyAlignment="1">
      <alignment horizontal="center" vertical="center"/>
    </xf>
    <xf numFmtId="179" fontId="26" fillId="15" borderId="27" xfId="0" applyNumberFormat="1" applyFont="1" applyFill="1" applyBorder="1" applyAlignment="1">
      <alignment horizontal="center" vertical="center"/>
    </xf>
    <xf numFmtId="179" fontId="26" fillId="14" borderId="12" xfId="0" applyNumberFormat="1" applyFont="1" applyFill="1" applyBorder="1" applyAlignment="1">
      <alignment horizontal="center" vertical="center"/>
    </xf>
    <xf numFmtId="179" fontId="26" fillId="14" borderId="27" xfId="0" applyNumberFormat="1" applyFont="1" applyFill="1" applyBorder="1" applyAlignment="1">
      <alignment horizontal="center" vertical="center"/>
    </xf>
    <xf numFmtId="176" fontId="12" fillId="15" borderId="4" xfId="1" applyNumberFormat="1" applyFont="1" applyFill="1" applyBorder="1" applyAlignment="1">
      <alignment horizontal="center"/>
    </xf>
    <xf numFmtId="176" fontId="12" fillId="15" borderId="5" xfId="1" applyNumberFormat="1" applyFont="1" applyFill="1" applyBorder="1" applyAlignment="1">
      <alignment horizontal="center"/>
    </xf>
    <xf numFmtId="178" fontId="12" fillId="14" borderId="4" xfId="1" applyNumberFormat="1" applyFont="1" applyFill="1" applyBorder="1" applyAlignment="1">
      <alignment horizontal="center"/>
    </xf>
    <xf numFmtId="178" fontId="12" fillId="14" borderId="5" xfId="1" applyNumberFormat="1" applyFont="1" applyFill="1" applyBorder="1" applyAlignment="1">
      <alignment horizontal="center"/>
    </xf>
    <xf numFmtId="0" fontId="12" fillId="15" borderId="28" xfId="0" applyFont="1" applyFill="1" applyBorder="1" applyAlignment="1">
      <alignment horizontal="center"/>
    </xf>
    <xf numFmtId="0" fontId="12" fillId="15" borderId="26" xfId="0" applyFont="1" applyFill="1" applyBorder="1" applyAlignment="1">
      <alignment horizontal="center"/>
    </xf>
    <xf numFmtId="0" fontId="12" fillId="14" borderId="28" xfId="0" applyFont="1" applyFill="1" applyBorder="1" applyAlignment="1">
      <alignment horizontal="center"/>
    </xf>
    <xf numFmtId="0" fontId="12" fillId="14" borderId="26" xfId="0" applyFont="1" applyFill="1" applyBorder="1" applyAlignment="1">
      <alignment horizontal="center"/>
    </xf>
    <xf numFmtId="0" fontId="26" fillId="0" borderId="4" xfId="143" applyFont="1" applyFill="1" applyBorder="1" applyAlignment="1">
      <alignment horizontal="center"/>
    </xf>
    <xf numFmtId="0" fontId="26" fillId="0" borderId="5" xfId="143" applyFont="1" applyFill="1" applyBorder="1" applyAlignment="1">
      <alignment horizontal="center"/>
    </xf>
    <xf numFmtId="9" fontId="25" fillId="0" borderId="12" xfId="1" quotePrefix="1" applyFont="1" applyFill="1" applyBorder="1" applyAlignment="1" applyProtection="1">
      <alignment horizontal="center"/>
      <protection locked="0"/>
    </xf>
    <xf numFmtId="9" fontId="25" fillId="0" borderId="27" xfId="1" applyFont="1" applyFill="1" applyBorder="1" applyAlignment="1" applyProtection="1">
      <alignment horizontal="center"/>
      <protection locked="0"/>
    </xf>
    <xf numFmtId="0" fontId="40" fillId="0" borderId="5" xfId="0" applyFont="1" applyBorder="1" applyAlignment="1">
      <alignment horizontal="center"/>
    </xf>
    <xf numFmtId="177" fontId="25" fillId="0" borderId="6" xfId="0" applyNumberFormat="1" applyFont="1" applyFill="1" applyBorder="1" applyAlignment="1" applyProtection="1">
      <alignment horizontal="center"/>
      <protection locked="0"/>
    </xf>
    <xf numFmtId="177" fontId="25" fillId="0" borderId="7" xfId="0" applyNumberFormat="1" applyFont="1" applyFill="1" applyBorder="1" applyAlignment="1" applyProtection="1">
      <alignment horizontal="center"/>
      <protection locked="0"/>
    </xf>
    <xf numFmtId="178" fontId="11" fillId="15" borderId="6" xfId="1" applyNumberFormat="1" applyFont="1" applyFill="1" applyBorder="1" applyAlignment="1">
      <alignment horizontal="center"/>
    </xf>
    <xf numFmtId="178" fontId="0" fillId="0" borderId="7" xfId="0" applyNumberFormat="1" applyFont="1" applyBorder="1" applyAlignment="1">
      <alignment horizontal="center"/>
    </xf>
    <xf numFmtId="178" fontId="11" fillId="14" borderId="6" xfId="1" applyNumberFormat="1" applyFont="1" applyFill="1" applyBorder="1" applyAlignment="1">
      <alignment horizontal="center"/>
    </xf>
    <xf numFmtId="0" fontId="0" fillId="0" borderId="7" xfId="0" applyFont="1" applyBorder="1" applyAlignment="1">
      <alignment horizontal="center"/>
    </xf>
    <xf numFmtId="0" fontId="11" fillId="14" borderId="7" xfId="1" applyNumberFormat="1" applyFont="1" applyFill="1" applyBorder="1" applyAlignment="1">
      <alignment horizontal="center"/>
    </xf>
    <xf numFmtId="0" fontId="11" fillId="15" borderId="27" xfId="1" applyNumberFormat="1" applyFont="1" applyFill="1" applyBorder="1" applyAlignment="1">
      <alignment horizontal="center"/>
    </xf>
    <xf numFmtId="0" fontId="11" fillId="14" borderId="27" xfId="1" applyNumberFormat="1" applyFont="1" applyFill="1" applyBorder="1" applyAlignment="1">
      <alignment horizontal="center"/>
    </xf>
    <xf numFmtId="178" fontId="11" fillId="15" borderId="7" xfId="1" applyNumberFormat="1" applyFont="1" applyFill="1" applyBorder="1" applyAlignment="1">
      <alignment horizontal="center"/>
    </xf>
    <xf numFmtId="181" fontId="5" fillId="14" borderId="12" xfId="0" applyNumberFormat="1" applyFont="1" applyFill="1" applyBorder="1" applyAlignment="1">
      <alignment horizontal="center" vertical="center"/>
    </xf>
    <xf numFmtId="181" fontId="5" fillId="14" borderId="27" xfId="0" applyNumberFormat="1" applyFont="1" applyFill="1" applyBorder="1" applyAlignment="1">
      <alignment horizontal="center" vertical="center"/>
    </xf>
    <xf numFmtId="178" fontId="5" fillId="14" borderId="12" xfId="1" applyNumberFormat="1" applyFont="1" applyFill="1" applyBorder="1" applyAlignment="1">
      <alignment horizontal="center"/>
    </xf>
    <xf numFmtId="0" fontId="5" fillId="14" borderId="27" xfId="1" applyNumberFormat="1" applyFont="1" applyFill="1" applyBorder="1" applyAlignment="1">
      <alignment horizontal="center"/>
    </xf>
    <xf numFmtId="178" fontId="5" fillId="14" borderId="6" xfId="1" applyNumberFormat="1" applyFont="1" applyFill="1" applyBorder="1" applyAlignment="1">
      <alignment horizontal="center"/>
    </xf>
    <xf numFmtId="0" fontId="5" fillId="14" borderId="7" xfId="1" applyNumberFormat="1" applyFont="1" applyFill="1" applyBorder="1" applyAlignment="1">
      <alignment horizontal="center"/>
    </xf>
    <xf numFmtId="0" fontId="46" fillId="14" borderId="12" xfId="0" applyFont="1" applyFill="1" applyBorder="1" applyAlignment="1">
      <alignment horizontal="center" vertical="center"/>
    </xf>
    <xf numFmtId="0" fontId="46" fillId="14" borderId="27" xfId="0" applyFont="1" applyFill="1" applyBorder="1" applyAlignment="1">
      <alignment horizontal="center" vertical="center"/>
    </xf>
    <xf numFmtId="178" fontId="5" fillId="14" borderId="12" xfId="0" applyNumberFormat="1" applyFont="1" applyFill="1" applyBorder="1" applyAlignment="1">
      <alignment horizontal="center" vertical="center"/>
    </xf>
    <xf numFmtId="178" fontId="5" fillId="14" borderId="27" xfId="0" applyNumberFormat="1" applyFont="1" applyFill="1" applyBorder="1" applyAlignment="1">
      <alignment horizontal="center" vertical="center"/>
    </xf>
    <xf numFmtId="184" fontId="5" fillId="14" borderId="12" xfId="0" applyNumberFormat="1" applyFont="1" applyFill="1" applyBorder="1" applyAlignment="1">
      <alignment horizontal="center" vertical="center"/>
    </xf>
    <xf numFmtId="184" fontId="5" fillId="14" borderId="27" xfId="0" applyNumberFormat="1" applyFont="1" applyFill="1" applyBorder="1" applyAlignment="1">
      <alignment horizontal="center" vertical="center"/>
    </xf>
    <xf numFmtId="166" fontId="26" fillId="14" borderId="12" xfId="0" applyNumberFormat="1" applyFont="1" applyFill="1" applyBorder="1" applyAlignment="1">
      <alignment horizontal="center" vertical="center"/>
    </xf>
    <xf numFmtId="166" fontId="26" fillId="14" borderId="27" xfId="0" applyNumberFormat="1" applyFont="1" applyFill="1" applyBorder="1" applyAlignment="1">
      <alignment horizontal="center" vertical="center"/>
    </xf>
    <xf numFmtId="178" fontId="26" fillId="14" borderId="28" xfId="1" applyNumberFormat="1" applyFont="1" applyFill="1" applyBorder="1" applyAlignment="1">
      <alignment horizontal="center"/>
    </xf>
    <xf numFmtId="178" fontId="26" fillId="14" borderId="26" xfId="1" applyNumberFormat="1" applyFont="1" applyFill="1" applyBorder="1" applyAlignment="1">
      <alignment horizontal="center"/>
    </xf>
    <xf numFmtId="187" fontId="5" fillId="15" borderId="6" xfId="0" applyNumberFormat="1" applyFont="1" applyFill="1" applyBorder="1" applyAlignment="1">
      <alignment horizontal="center"/>
    </xf>
    <xf numFmtId="187" fontId="5" fillId="15" borderId="7" xfId="0" applyNumberFormat="1" applyFont="1" applyFill="1" applyBorder="1" applyAlignment="1">
      <alignment horizontal="center"/>
    </xf>
    <xf numFmtId="187" fontId="5" fillId="14" borderId="6" xfId="0" applyNumberFormat="1" applyFont="1" applyFill="1" applyBorder="1" applyAlignment="1">
      <alignment horizontal="center" vertical="center"/>
    </xf>
    <xf numFmtId="187" fontId="5" fillId="14" borderId="7" xfId="0" applyNumberFormat="1" applyFont="1" applyFill="1" applyBorder="1" applyAlignment="1">
      <alignment horizontal="center" vertical="center"/>
    </xf>
    <xf numFmtId="179" fontId="17" fillId="15" borderId="12" xfId="0" applyNumberFormat="1" applyFont="1" applyFill="1" applyBorder="1" applyAlignment="1">
      <alignment horizontal="center" vertical="center"/>
    </xf>
    <xf numFmtId="179" fontId="17" fillId="15" borderId="27" xfId="0" applyNumberFormat="1" applyFont="1" applyFill="1" applyBorder="1" applyAlignment="1">
      <alignment horizontal="center" vertical="center"/>
    </xf>
    <xf numFmtId="179" fontId="17" fillId="14" borderId="12" xfId="0" applyNumberFormat="1" applyFont="1" applyFill="1" applyBorder="1" applyAlignment="1">
      <alignment horizontal="center" vertical="center"/>
    </xf>
    <xf numFmtId="179" fontId="17" fillId="14" borderId="27" xfId="0" applyNumberFormat="1" applyFont="1" applyFill="1" applyBorder="1" applyAlignment="1">
      <alignment horizontal="center" vertical="center"/>
    </xf>
    <xf numFmtId="178" fontId="37" fillId="15" borderId="6" xfId="1" applyNumberFormat="1" applyFont="1" applyFill="1" applyBorder="1" applyAlignment="1">
      <alignment horizontal="center"/>
    </xf>
    <xf numFmtId="178" fontId="37" fillId="15" borderId="7" xfId="1" applyNumberFormat="1" applyFont="1" applyFill="1" applyBorder="1" applyAlignment="1">
      <alignment horizontal="center"/>
    </xf>
    <xf numFmtId="178" fontId="37" fillId="14" borderId="6" xfId="1" applyNumberFormat="1" applyFont="1" applyFill="1" applyBorder="1" applyAlignment="1">
      <alignment horizontal="center"/>
    </xf>
    <xf numFmtId="178" fontId="37" fillId="14" borderId="7" xfId="1" applyNumberFormat="1" applyFont="1" applyFill="1" applyBorder="1" applyAlignment="1">
      <alignment horizontal="center"/>
    </xf>
    <xf numFmtId="178" fontId="12" fillId="15" borderId="4" xfId="1" applyNumberFormat="1" applyFont="1" applyFill="1" applyBorder="1" applyAlignment="1">
      <alignment horizontal="center"/>
    </xf>
    <xf numFmtId="178" fontId="12" fillId="15" borderId="5" xfId="1" applyNumberFormat="1" applyFont="1" applyFill="1" applyBorder="1" applyAlignment="1">
      <alignment horizontal="center"/>
    </xf>
    <xf numFmtId="9" fontId="41" fillId="22" borderId="0" xfId="0" applyNumberFormat="1" applyFont="1" applyFill="1" applyBorder="1" applyAlignment="1">
      <alignment horizontal="center"/>
    </xf>
    <xf numFmtId="0" fontId="41" fillId="22" borderId="0" xfId="0" applyFont="1" applyFill="1" applyBorder="1" applyAlignment="1">
      <alignment horizontal="center"/>
    </xf>
    <xf numFmtId="9" fontId="42" fillId="22" borderId="0" xfId="0" applyNumberFormat="1" applyFont="1" applyFill="1" applyBorder="1" applyAlignment="1">
      <alignment horizontal="center"/>
    </xf>
    <xf numFmtId="0" fontId="42" fillId="22" borderId="0" xfId="0" applyFont="1" applyFill="1" applyBorder="1" applyAlignment="1">
      <alignment horizontal="center"/>
    </xf>
    <xf numFmtId="37" fontId="41" fillId="22" borderId="0" xfId="0" applyNumberFormat="1" applyFont="1" applyFill="1" applyBorder="1" applyAlignment="1">
      <alignment horizontal="center"/>
    </xf>
    <xf numFmtId="164" fontId="41" fillId="22" borderId="0" xfId="0" applyNumberFormat="1" applyFont="1" applyFill="1" applyBorder="1" applyAlignment="1">
      <alignment horizontal="center"/>
    </xf>
    <xf numFmtId="165" fontId="41" fillId="22" borderId="0" xfId="0" applyNumberFormat="1" applyFont="1" applyFill="1" applyBorder="1" applyAlignment="1">
      <alignment horizontal="center"/>
    </xf>
    <xf numFmtId="0" fontId="12" fillId="16" borderId="4" xfId="0" applyFont="1" applyFill="1" applyBorder="1" applyAlignment="1" applyProtection="1">
      <alignment horizontal="center"/>
    </xf>
    <xf numFmtId="0" fontId="12" fillId="16" borderId="2" xfId="0" applyFont="1" applyFill="1" applyBorder="1" applyAlignment="1" applyProtection="1">
      <alignment horizontal="center"/>
    </xf>
    <xf numFmtId="0" fontId="12" fillId="16" borderId="5" xfId="0" applyFont="1" applyFill="1" applyBorder="1" applyAlignment="1" applyProtection="1">
      <alignment horizontal="center"/>
    </xf>
  </cellXfs>
  <cellStyles count="231">
    <cellStyle name="Check Cell 2" xfId="66"/>
    <cellStyle name="Comma" xfId="2" builtinId="3"/>
    <cellStyle name="Currency" xfId="3" builtinId="4"/>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49"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48" builtinId="9" hidden="1"/>
    <cellStyle name="Followed Hyperlink" xfId="46"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65" builtinId="9" hidden="1"/>
    <cellStyle name="Followed Hyperlink" xfId="82"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97"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4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5" builtinId="8" hidden="1"/>
    <cellStyle name="Hyperlink" xfId="64" builtinId="8" hidden="1"/>
    <cellStyle name="Hyperlink" xfId="83" builtinId="8" hidden="1"/>
    <cellStyle name="Hyperlink" xfId="87" builtinId="8" hidden="1"/>
    <cellStyle name="Hyperlink" xfId="89" builtinId="8" hidden="1"/>
    <cellStyle name="Hyperlink" xfId="91" builtinId="8" hidden="1"/>
    <cellStyle name="Hyperlink" xfId="93" builtinId="8" hidden="1"/>
    <cellStyle name="Hyperlink" xfId="98" builtinId="8" hidden="1"/>
    <cellStyle name="Hyperlink" xfId="84" builtinId="8" hidden="1"/>
    <cellStyle name="Hyperlink" xfId="96" builtinId="8" hidden="1"/>
    <cellStyle name="Hyperlink" xfId="100" builtinId="8" hidden="1"/>
    <cellStyle name="Hyperlink" xfId="102" builtinId="8" hidden="1"/>
    <cellStyle name="Hyperlink" xfId="104" builtinId="8" hidden="1"/>
    <cellStyle name="Hyperlink" xfId="106" builtinId="8" hidden="1"/>
    <cellStyle name="Hyperlink" xfId="81" builtinId="8" hidden="1"/>
    <cellStyle name="Hyperlink" xfId="95"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4" builtinId="8"/>
    <cellStyle name="Normal" xfId="0" builtinId="0"/>
    <cellStyle name="Normal 2" xfId="68"/>
    <cellStyle name="Normal 2 2 2" xfId="5"/>
    <cellStyle name="Normal 2 5" xfId="4"/>
    <cellStyle name="Normal 3" xfId="67"/>
    <cellStyle name="Normal 4" xfId="143"/>
    <cellStyle name="Normal 4 2" xfId="145"/>
    <cellStyle name="Percent" xfId="1" builtinId="5"/>
  </cellStyles>
  <dxfs count="3">
    <dxf>
      <font>
        <color theme="0" tint="-4.9989318521683403E-2"/>
      </font>
    </dxf>
    <dxf>
      <font>
        <color theme="0" tint="-0.14996795556505021"/>
      </font>
    </dxf>
    <dxf>
      <font>
        <color theme="6" tint="0.39994506668294322"/>
      </font>
    </dxf>
  </dxfs>
  <tableStyles count="0" defaultTableStyle="TableStyleMedium2" defaultPivotStyle="PivotStyleLight16"/>
  <colors>
    <mruColors>
      <color rgb="FF3527E9"/>
      <color rgb="FF07027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16</xdr:col>
      <xdr:colOff>104775</xdr:colOff>
      <xdr:row>2</xdr:row>
      <xdr:rowOff>38100</xdr:rowOff>
    </xdr:from>
    <xdr:to>
      <xdr:col>16</xdr:col>
      <xdr:colOff>771525</xdr:colOff>
      <xdr:row>8</xdr:row>
      <xdr:rowOff>17930</xdr:rowOff>
    </xdr:to>
    <xdr:pic>
      <xdr:nvPicPr>
        <xdr:cNvPr id="2" name="Picture 10" descr="undplogo2"/>
        <xdr:cNvPicPr>
          <a:picLocks noChangeAspect="1" noChangeArrowheads="1"/>
        </xdr:cNvPicPr>
      </xdr:nvPicPr>
      <xdr:blipFill>
        <a:blip xmlns:r="http://schemas.openxmlformats.org/officeDocument/2006/relationships" r:embed="rId1" cstate="print"/>
        <a:srcRect/>
        <a:stretch>
          <a:fillRect/>
        </a:stretch>
      </xdr:blipFill>
      <xdr:spPr bwMode="auto">
        <a:xfrm>
          <a:off x="9876304" y="378759"/>
          <a:ext cx="666750" cy="145900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44824</xdr:colOff>
      <xdr:row>8</xdr:row>
      <xdr:rowOff>11200</xdr:rowOff>
    </xdr:from>
    <xdr:to>
      <xdr:col>14</xdr:col>
      <xdr:colOff>412566</xdr:colOff>
      <xdr:row>11</xdr:row>
      <xdr:rowOff>93003</xdr:rowOff>
    </xdr:to>
    <xdr:pic>
      <xdr:nvPicPr>
        <xdr:cNvPr id="3"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82706" y="2207553"/>
          <a:ext cx="8391154" cy="5524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liver.waissbein/AppData/Local/Microsoft/Windows/Temporary%20Internet%20Files/Content.Outlook/BAK57TXO/DREI%20Tunisia%20WIND%20-%20LCOE%20Financial%20Tool%20(2014%2007%2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oliver.waissbein/Local%20Settings/Temporary%20Internet%20Files/OLK4E/Documents%20and%20Settings/Hande/Desktop/Sample%20Models/RETScreen/WIND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 Summary Outputs"/>
      <sheetName val="II. Inputs, Baseline Energy Mix"/>
      <sheetName val="III. Inputs, Renewable Energy"/>
      <sheetName val="IV. LCOE, Baseline Energy Mix"/>
      <sheetName val="V. LCOE, Ren. En. Generation"/>
      <sheetName val="VI. LCOE, Ren. En. Transmission"/>
      <sheetName val="VII. Additional Data"/>
      <sheetName val="VIII. Supplementary Info"/>
      <sheetName val="IX. Notes"/>
      <sheetName val="Backup"/>
    </sheetNames>
    <sheetDataSet>
      <sheetData sheetId="0" refreshError="1"/>
      <sheetData sheetId="1" refreshError="1"/>
      <sheetData sheetId="2" refreshError="1"/>
      <sheetData sheetId="3" refreshError="1"/>
      <sheetData sheetId="4" refreshError="1"/>
      <sheetData sheetId="5">
        <row r="20">
          <cell r="H20">
            <v>3689712</v>
          </cell>
        </row>
      </sheetData>
      <sheetData sheetId="6" refreshError="1"/>
      <sheetData sheetId="7" refreshError="1"/>
      <sheetData sheetId="8" refreshError="1"/>
      <sheetData sheetId="9"/>
      <sheetData sheetId="10">
        <row r="8">
          <cell r="C8" t="str">
            <v>Y</v>
          </cell>
          <cell r="F8" t="str">
            <v>Y</v>
          </cell>
          <cell r="J8" t="str">
            <v>Risk Waterfall</v>
          </cell>
        </row>
        <row r="9">
          <cell r="C9" t="str">
            <v>N</v>
          </cell>
          <cell r="F9" t="str">
            <v>N</v>
          </cell>
          <cell r="J9" t="str">
            <v>Manual Entry</v>
          </cell>
        </row>
        <row r="11">
          <cell r="J11" t="str">
            <v>Y</v>
          </cell>
        </row>
        <row r="12">
          <cell r="J12" t="str">
            <v>N</v>
          </cell>
        </row>
        <row r="14">
          <cell r="F14" t="str">
            <v>Model Default</v>
          </cell>
        </row>
        <row r="15">
          <cell r="F15" t="str">
            <v>User-defined, inflation adjusted</v>
          </cell>
        </row>
        <row r="17">
          <cell r="C17" t="str">
            <v>Model Default</v>
          </cell>
        </row>
        <row r="18">
          <cell r="C18" t="str">
            <v>User-defined, annually adjusted</v>
          </cell>
        </row>
        <row r="19">
          <cell r="C19" t="str">
            <v xml:space="preserve">User-defined, linear function </v>
          </cell>
        </row>
        <row r="20">
          <cell r="C20" t="str">
            <v>Manual Entry</v>
          </cell>
        </row>
        <row r="34">
          <cell r="J34" t="str">
            <v>Lump Sum</v>
          </cell>
        </row>
        <row r="35">
          <cell r="J35" t="str">
            <v>Annual Cost</v>
          </cell>
        </row>
        <row r="37">
          <cell r="J37" t="str">
            <v>Yes</v>
          </cell>
        </row>
        <row r="38">
          <cell r="J38"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Energy Model"/>
      <sheetName val="Equipment Data"/>
      <sheetName val="Cost Analysis"/>
      <sheetName val="Cost Range"/>
      <sheetName val="Currency"/>
      <sheetName val="GHG Analysis"/>
      <sheetName val="Financial Summary"/>
      <sheetName val="Sensitivity"/>
      <sheetName val="Sheet1"/>
      <sheetName val="Sheet2"/>
      <sheetName val="Sheet3"/>
      <sheetName val="Worksheet_Macros"/>
    </sheetNames>
    <sheetDataSet>
      <sheetData sheetId="0"/>
      <sheetData sheetId="1">
        <row r="58">
          <cell r="C58">
            <v>1</v>
          </cell>
        </row>
      </sheetData>
      <sheetData sheetId="2"/>
      <sheetData sheetId="3"/>
      <sheetData sheetId="4"/>
      <sheetData sheetId="5"/>
      <sheetData sheetId="6">
        <row r="131">
          <cell r="F131">
            <v>1</v>
          </cell>
        </row>
      </sheetData>
      <sheetData sheetId="7">
        <row r="14">
          <cell r="K14">
            <v>0.7</v>
          </cell>
        </row>
        <row r="16">
          <cell r="K16">
            <v>15</v>
          </cell>
        </row>
        <row r="61">
          <cell r="S61">
            <v>2</v>
          </cell>
          <cell r="AE61">
            <v>1</v>
          </cell>
        </row>
        <row r="117">
          <cell r="R117">
            <v>2</v>
          </cell>
        </row>
      </sheetData>
      <sheetData sheetId="8"/>
      <sheetData sheetId="9"/>
      <sheetData sheetId="10"/>
      <sheetData sheetId="1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undp.org/DREI"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Z333"/>
  <sheetViews>
    <sheetView showGridLines="0" tabSelected="1" zoomScale="85" zoomScaleNormal="85" zoomScalePageLayoutView="85" workbookViewId="0"/>
  </sheetViews>
  <sheetFormatPr defaultColWidth="0" defaultRowHeight="12.75" customHeight="1" zeroHeight="1" x14ac:dyDescent="0.25"/>
  <cols>
    <col min="1" max="6" width="2.6640625" style="735" customWidth="1"/>
    <col min="7" max="17" width="12.6640625" style="735" customWidth="1"/>
    <col min="18" max="18" width="2.6640625" style="735" customWidth="1"/>
    <col min="19" max="259" width="9.109375" style="735" hidden="1" customWidth="1"/>
    <col min="260" max="260" width="3.33203125" style="735" hidden="1" customWidth="1"/>
    <col min="261" max="263" width="2.6640625" style="735" hidden="1" customWidth="1"/>
    <col min="264" max="273" width="12.6640625" style="735" hidden="1" customWidth="1"/>
    <col min="274" max="274" width="2.6640625" style="735" hidden="1" customWidth="1"/>
    <col min="275" max="515" width="0" style="735" hidden="1"/>
    <col min="516" max="516" width="3.33203125" style="735" hidden="1" customWidth="1"/>
    <col min="517" max="519" width="2.6640625" style="735" hidden="1" customWidth="1"/>
    <col min="520" max="529" width="12.6640625" style="735" hidden="1" customWidth="1"/>
    <col min="530" max="530" width="2.6640625" style="735" hidden="1" customWidth="1"/>
    <col min="531" max="771" width="0" style="735" hidden="1"/>
    <col min="772" max="772" width="3.33203125" style="735" hidden="1" customWidth="1"/>
    <col min="773" max="775" width="2.6640625" style="735" hidden="1" customWidth="1"/>
    <col min="776" max="785" width="12.6640625" style="735" hidden="1" customWidth="1"/>
    <col min="786" max="786" width="2.6640625" style="735" hidden="1" customWidth="1"/>
    <col min="787" max="1027" width="0" style="735" hidden="1"/>
    <col min="1028" max="1028" width="3.33203125" style="735" hidden="1" customWidth="1"/>
    <col min="1029" max="1031" width="2.6640625" style="735" hidden="1" customWidth="1"/>
    <col min="1032" max="1041" width="12.6640625" style="735" hidden="1" customWidth="1"/>
    <col min="1042" max="1042" width="2.6640625" style="735" hidden="1" customWidth="1"/>
    <col min="1043" max="1283" width="0" style="735" hidden="1"/>
    <col min="1284" max="1284" width="3.33203125" style="735" hidden="1" customWidth="1"/>
    <col min="1285" max="1287" width="2.6640625" style="735" hidden="1" customWidth="1"/>
    <col min="1288" max="1297" width="12.6640625" style="735" hidden="1" customWidth="1"/>
    <col min="1298" max="1298" width="2.6640625" style="735" hidden="1" customWidth="1"/>
    <col min="1299" max="1539" width="0" style="735" hidden="1"/>
    <col min="1540" max="1540" width="3.33203125" style="735" hidden="1" customWidth="1"/>
    <col min="1541" max="1543" width="2.6640625" style="735" hidden="1" customWidth="1"/>
    <col min="1544" max="1553" width="12.6640625" style="735" hidden="1" customWidth="1"/>
    <col min="1554" max="1554" width="2.6640625" style="735" hidden="1" customWidth="1"/>
    <col min="1555" max="1795" width="0" style="735" hidden="1"/>
    <col min="1796" max="1796" width="3.33203125" style="735" hidden="1" customWidth="1"/>
    <col min="1797" max="1799" width="2.6640625" style="735" hidden="1" customWidth="1"/>
    <col min="1800" max="1809" width="12.6640625" style="735" hidden="1" customWidth="1"/>
    <col min="1810" max="1810" width="2.6640625" style="735" hidden="1" customWidth="1"/>
    <col min="1811" max="2051" width="0" style="735" hidden="1"/>
    <col min="2052" max="2052" width="3.33203125" style="735" hidden="1" customWidth="1"/>
    <col min="2053" max="2055" width="2.6640625" style="735" hidden="1" customWidth="1"/>
    <col min="2056" max="2065" width="12.6640625" style="735" hidden="1" customWidth="1"/>
    <col min="2066" max="2066" width="2.6640625" style="735" hidden="1" customWidth="1"/>
    <col min="2067" max="2307" width="0" style="735" hidden="1"/>
    <col min="2308" max="2308" width="3.33203125" style="735" hidden="1" customWidth="1"/>
    <col min="2309" max="2311" width="2.6640625" style="735" hidden="1" customWidth="1"/>
    <col min="2312" max="2321" width="12.6640625" style="735" hidden="1" customWidth="1"/>
    <col min="2322" max="2322" width="2.6640625" style="735" hidden="1" customWidth="1"/>
    <col min="2323" max="2563" width="0" style="735" hidden="1"/>
    <col min="2564" max="2564" width="3.33203125" style="735" hidden="1" customWidth="1"/>
    <col min="2565" max="2567" width="2.6640625" style="735" hidden="1" customWidth="1"/>
    <col min="2568" max="2577" width="12.6640625" style="735" hidden="1" customWidth="1"/>
    <col min="2578" max="2578" width="2.6640625" style="735" hidden="1" customWidth="1"/>
    <col min="2579" max="2819" width="0" style="735" hidden="1"/>
    <col min="2820" max="2820" width="3.33203125" style="735" hidden="1" customWidth="1"/>
    <col min="2821" max="2823" width="2.6640625" style="735" hidden="1" customWidth="1"/>
    <col min="2824" max="2833" width="12.6640625" style="735" hidden="1" customWidth="1"/>
    <col min="2834" max="2834" width="2.6640625" style="735" hidden="1" customWidth="1"/>
    <col min="2835" max="3075" width="0" style="735" hidden="1"/>
    <col min="3076" max="3076" width="3.33203125" style="735" hidden="1" customWidth="1"/>
    <col min="3077" max="3079" width="2.6640625" style="735" hidden="1" customWidth="1"/>
    <col min="3080" max="3089" width="12.6640625" style="735" hidden="1" customWidth="1"/>
    <col min="3090" max="3090" width="2.6640625" style="735" hidden="1" customWidth="1"/>
    <col min="3091" max="3331" width="0" style="735" hidden="1"/>
    <col min="3332" max="3332" width="3.33203125" style="735" hidden="1" customWidth="1"/>
    <col min="3333" max="3335" width="2.6640625" style="735" hidden="1" customWidth="1"/>
    <col min="3336" max="3345" width="12.6640625" style="735" hidden="1" customWidth="1"/>
    <col min="3346" max="3346" width="2.6640625" style="735" hidden="1" customWidth="1"/>
    <col min="3347" max="3587" width="0" style="735" hidden="1"/>
    <col min="3588" max="3588" width="3.33203125" style="735" hidden="1" customWidth="1"/>
    <col min="3589" max="3591" width="2.6640625" style="735" hidden="1" customWidth="1"/>
    <col min="3592" max="3601" width="12.6640625" style="735" hidden="1" customWidth="1"/>
    <col min="3602" max="3602" width="2.6640625" style="735" hidden="1" customWidth="1"/>
    <col min="3603" max="3843" width="0" style="735" hidden="1"/>
    <col min="3844" max="3844" width="3.33203125" style="735" hidden="1" customWidth="1"/>
    <col min="3845" max="3847" width="2.6640625" style="735" hidden="1" customWidth="1"/>
    <col min="3848" max="3857" width="12.6640625" style="735" hidden="1" customWidth="1"/>
    <col min="3858" max="3858" width="2.6640625" style="735" hidden="1" customWidth="1"/>
    <col min="3859" max="4099" width="0" style="735" hidden="1"/>
    <col min="4100" max="4100" width="3.33203125" style="735" hidden="1" customWidth="1"/>
    <col min="4101" max="4103" width="2.6640625" style="735" hidden="1" customWidth="1"/>
    <col min="4104" max="4113" width="12.6640625" style="735" hidden="1" customWidth="1"/>
    <col min="4114" max="4114" width="2.6640625" style="735" hidden="1" customWidth="1"/>
    <col min="4115" max="4355" width="0" style="735" hidden="1"/>
    <col min="4356" max="4356" width="3.33203125" style="735" hidden="1" customWidth="1"/>
    <col min="4357" max="4359" width="2.6640625" style="735" hidden="1" customWidth="1"/>
    <col min="4360" max="4369" width="12.6640625" style="735" hidden="1" customWidth="1"/>
    <col min="4370" max="4370" width="2.6640625" style="735" hidden="1" customWidth="1"/>
    <col min="4371" max="4611" width="0" style="735" hidden="1"/>
    <col min="4612" max="4612" width="3.33203125" style="735" hidden="1" customWidth="1"/>
    <col min="4613" max="4615" width="2.6640625" style="735" hidden="1" customWidth="1"/>
    <col min="4616" max="4625" width="12.6640625" style="735" hidden="1" customWidth="1"/>
    <col min="4626" max="4626" width="2.6640625" style="735" hidden="1" customWidth="1"/>
    <col min="4627" max="4867" width="0" style="735" hidden="1"/>
    <col min="4868" max="4868" width="3.33203125" style="735" hidden="1" customWidth="1"/>
    <col min="4869" max="4871" width="2.6640625" style="735" hidden="1" customWidth="1"/>
    <col min="4872" max="4881" width="12.6640625" style="735" hidden="1" customWidth="1"/>
    <col min="4882" max="4882" width="2.6640625" style="735" hidden="1" customWidth="1"/>
    <col min="4883" max="5123" width="0" style="735" hidden="1"/>
    <col min="5124" max="5124" width="3.33203125" style="735" hidden="1" customWidth="1"/>
    <col min="5125" max="5127" width="2.6640625" style="735" hidden="1" customWidth="1"/>
    <col min="5128" max="5137" width="12.6640625" style="735" hidden="1" customWidth="1"/>
    <col min="5138" max="5138" width="2.6640625" style="735" hidden="1" customWidth="1"/>
    <col min="5139" max="5379" width="0" style="735" hidden="1"/>
    <col min="5380" max="5380" width="3.33203125" style="735" hidden="1" customWidth="1"/>
    <col min="5381" max="5383" width="2.6640625" style="735" hidden="1" customWidth="1"/>
    <col min="5384" max="5393" width="12.6640625" style="735" hidden="1" customWidth="1"/>
    <col min="5394" max="5394" width="2.6640625" style="735" hidden="1" customWidth="1"/>
    <col min="5395" max="5635" width="0" style="735" hidden="1"/>
    <col min="5636" max="5636" width="3.33203125" style="735" hidden="1" customWidth="1"/>
    <col min="5637" max="5639" width="2.6640625" style="735" hidden="1" customWidth="1"/>
    <col min="5640" max="5649" width="12.6640625" style="735" hidden="1" customWidth="1"/>
    <col min="5650" max="5650" width="2.6640625" style="735" hidden="1" customWidth="1"/>
    <col min="5651" max="5891" width="0" style="735" hidden="1"/>
    <col min="5892" max="5892" width="3.33203125" style="735" hidden="1" customWidth="1"/>
    <col min="5893" max="5895" width="2.6640625" style="735" hidden="1" customWidth="1"/>
    <col min="5896" max="5905" width="12.6640625" style="735" hidden="1" customWidth="1"/>
    <col min="5906" max="5906" width="2.6640625" style="735" hidden="1" customWidth="1"/>
    <col min="5907" max="6147" width="0" style="735" hidden="1"/>
    <col min="6148" max="6148" width="3.33203125" style="735" hidden="1" customWidth="1"/>
    <col min="6149" max="6151" width="2.6640625" style="735" hidden="1" customWidth="1"/>
    <col min="6152" max="6161" width="12.6640625" style="735" hidden="1" customWidth="1"/>
    <col min="6162" max="6162" width="2.6640625" style="735" hidden="1" customWidth="1"/>
    <col min="6163" max="6403" width="0" style="735" hidden="1"/>
    <col min="6404" max="6404" width="3.33203125" style="735" hidden="1" customWidth="1"/>
    <col min="6405" max="6407" width="2.6640625" style="735" hidden="1" customWidth="1"/>
    <col min="6408" max="6417" width="12.6640625" style="735" hidden="1" customWidth="1"/>
    <col min="6418" max="6418" width="2.6640625" style="735" hidden="1" customWidth="1"/>
    <col min="6419" max="6659" width="0" style="735" hidden="1"/>
    <col min="6660" max="6660" width="3.33203125" style="735" hidden="1" customWidth="1"/>
    <col min="6661" max="6663" width="2.6640625" style="735" hidden="1" customWidth="1"/>
    <col min="6664" max="6673" width="12.6640625" style="735" hidden="1" customWidth="1"/>
    <col min="6674" max="6674" width="2.6640625" style="735" hidden="1" customWidth="1"/>
    <col min="6675" max="6915" width="0" style="735" hidden="1"/>
    <col min="6916" max="6916" width="3.33203125" style="735" hidden="1" customWidth="1"/>
    <col min="6917" max="6919" width="2.6640625" style="735" hidden="1" customWidth="1"/>
    <col min="6920" max="6929" width="12.6640625" style="735" hidden="1" customWidth="1"/>
    <col min="6930" max="6930" width="2.6640625" style="735" hidden="1" customWidth="1"/>
    <col min="6931" max="7171" width="0" style="735" hidden="1"/>
    <col min="7172" max="7172" width="3.33203125" style="735" hidden="1" customWidth="1"/>
    <col min="7173" max="7175" width="2.6640625" style="735" hidden="1" customWidth="1"/>
    <col min="7176" max="7185" width="12.6640625" style="735" hidden="1" customWidth="1"/>
    <col min="7186" max="7186" width="2.6640625" style="735" hidden="1" customWidth="1"/>
    <col min="7187" max="7427" width="0" style="735" hidden="1"/>
    <col min="7428" max="7428" width="3.33203125" style="735" hidden="1" customWidth="1"/>
    <col min="7429" max="7431" width="2.6640625" style="735" hidden="1" customWidth="1"/>
    <col min="7432" max="7441" width="12.6640625" style="735" hidden="1" customWidth="1"/>
    <col min="7442" max="7442" width="2.6640625" style="735" hidden="1" customWidth="1"/>
    <col min="7443" max="7683" width="0" style="735" hidden="1"/>
    <col min="7684" max="7684" width="3.33203125" style="735" hidden="1" customWidth="1"/>
    <col min="7685" max="7687" width="2.6640625" style="735" hidden="1" customWidth="1"/>
    <col min="7688" max="7697" width="12.6640625" style="735" hidden="1" customWidth="1"/>
    <col min="7698" max="7698" width="2.6640625" style="735" hidden="1" customWidth="1"/>
    <col min="7699" max="7939" width="0" style="735" hidden="1"/>
    <col min="7940" max="7940" width="3.33203125" style="735" hidden="1" customWidth="1"/>
    <col min="7941" max="7943" width="2.6640625" style="735" hidden="1" customWidth="1"/>
    <col min="7944" max="7953" width="12.6640625" style="735" hidden="1" customWidth="1"/>
    <col min="7954" max="7954" width="2.6640625" style="735" hidden="1" customWidth="1"/>
    <col min="7955" max="8195" width="0" style="735" hidden="1"/>
    <col min="8196" max="8196" width="3.33203125" style="735" hidden="1" customWidth="1"/>
    <col min="8197" max="8199" width="2.6640625" style="735" hidden="1" customWidth="1"/>
    <col min="8200" max="8209" width="12.6640625" style="735" hidden="1" customWidth="1"/>
    <col min="8210" max="8210" width="2.6640625" style="735" hidden="1" customWidth="1"/>
    <col min="8211" max="8451" width="0" style="735" hidden="1"/>
    <col min="8452" max="8452" width="3.33203125" style="735" hidden="1" customWidth="1"/>
    <col min="8453" max="8455" width="2.6640625" style="735" hidden="1" customWidth="1"/>
    <col min="8456" max="8465" width="12.6640625" style="735" hidden="1" customWidth="1"/>
    <col min="8466" max="8466" width="2.6640625" style="735" hidden="1" customWidth="1"/>
    <col min="8467" max="8707" width="0" style="735" hidden="1"/>
    <col min="8708" max="8708" width="3.33203125" style="735" hidden="1" customWidth="1"/>
    <col min="8709" max="8711" width="2.6640625" style="735" hidden="1" customWidth="1"/>
    <col min="8712" max="8721" width="12.6640625" style="735" hidden="1" customWidth="1"/>
    <col min="8722" max="8722" width="2.6640625" style="735" hidden="1" customWidth="1"/>
    <col min="8723" max="8963" width="0" style="735" hidden="1"/>
    <col min="8964" max="8964" width="3.33203125" style="735" hidden="1" customWidth="1"/>
    <col min="8965" max="8967" width="2.6640625" style="735" hidden="1" customWidth="1"/>
    <col min="8968" max="8977" width="12.6640625" style="735" hidden="1" customWidth="1"/>
    <col min="8978" max="8978" width="2.6640625" style="735" hidden="1" customWidth="1"/>
    <col min="8979" max="9219" width="0" style="735" hidden="1"/>
    <col min="9220" max="9220" width="3.33203125" style="735" hidden="1" customWidth="1"/>
    <col min="9221" max="9223" width="2.6640625" style="735" hidden="1" customWidth="1"/>
    <col min="9224" max="9233" width="12.6640625" style="735" hidden="1" customWidth="1"/>
    <col min="9234" max="9234" width="2.6640625" style="735" hidden="1" customWidth="1"/>
    <col min="9235" max="9475" width="0" style="735" hidden="1"/>
    <col min="9476" max="9476" width="3.33203125" style="735" hidden="1" customWidth="1"/>
    <col min="9477" max="9479" width="2.6640625" style="735" hidden="1" customWidth="1"/>
    <col min="9480" max="9489" width="12.6640625" style="735" hidden="1" customWidth="1"/>
    <col min="9490" max="9490" width="2.6640625" style="735" hidden="1" customWidth="1"/>
    <col min="9491" max="9731" width="0" style="735" hidden="1"/>
    <col min="9732" max="9732" width="3.33203125" style="735" hidden="1" customWidth="1"/>
    <col min="9733" max="9735" width="2.6640625" style="735" hidden="1" customWidth="1"/>
    <col min="9736" max="9745" width="12.6640625" style="735" hidden="1" customWidth="1"/>
    <col min="9746" max="9746" width="2.6640625" style="735" hidden="1" customWidth="1"/>
    <col min="9747" max="9987" width="0" style="735" hidden="1"/>
    <col min="9988" max="9988" width="3.33203125" style="735" hidden="1" customWidth="1"/>
    <col min="9989" max="9991" width="2.6640625" style="735" hidden="1" customWidth="1"/>
    <col min="9992" max="10001" width="12.6640625" style="735" hidden="1" customWidth="1"/>
    <col min="10002" max="10002" width="2.6640625" style="735" hidden="1" customWidth="1"/>
    <col min="10003" max="10243" width="0" style="735" hidden="1"/>
    <col min="10244" max="10244" width="3.33203125" style="735" hidden="1" customWidth="1"/>
    <col min="10245" max="10247" width="2.6640625" style="735" hidden="1" customWidth="1"/>
    <col min="10248" max="10257" width="12.6640625" style="735" hidden="1" customWidth="1"/>
    <col min="10258" max="10258" width="2.6640625" style="735" hidden="1" customWidth="1"/>
    <col min="10259" max="10499" width="0" style="735" hidden="1"/>
    <col min="10500" max="10500" width="3.33203125" style="735" hidden="1" customWidth="1"/>
    <col min="10501" max="10503" width="2.6640625" style="735" hidden="1" customWidth="1"/>
    <col min="10504" max="10513" width="12.6640625" style="735" hidden="1" customWidth="1"/>
    <col min="10514" max="10514" width="2.6640625" style="735" hidden="1" customWidth="1"/>
    <col min="10515" max="10755" width="0" style="735" hidden="1"/>
    <col min="10756" max="10756" width="3.33203125" style="735" hidden="1" customWidth="1"/>
    <col min="10757" max="10759" width="2.6640625" style="735" hidden="1" customWidth="1"/>
    <col min="10760" max="10769" width="12.6640625" style="735" hidden="1" customWidth="1"/>
    <col min="10770" max="10770" width="2.6640625" style="735" hidden="1" customWidth="1"/>
    <col min="10771" max="11011" width="0" style="735" hidden="1"/>
    <col min="11012" max="11012" width="3.33203125" style="735" hidden="1" customWidth="1"/>
    <col min="11013" max="11015" width="2.6640625" style="735" hidden="1" customWidth="1"/>
    <col min="11016" max="11025" width="12.6640625" style="735" hidden="1" customWidth="1"/>
    <col min="11026" max="11026" width="2.6640625" style="735" hidden="1" customWidth="1"/>
    <col min="11027" max="11267" width="0" style="735" hidden="1"/>
    <col min="11268" max="11268" width="3.33203125" style="735" hidden="1" customWidth="1"/>
    <col min="11269" max="11271" width="2.6640625" style="735" hidden="1" customWidth="1"/>
    <col min="11272" max="11281" width="12.6640625" style="735" hidden="1" customWidth="1"/>
    <col min="11282" max="11282" width="2.6640625" style="735" hidden="1" customWidth="1"/>
    <col min="11283" max="11523" width="0" style="735" hidden="1"/>
    <col min="11524" max="11524" width="3.33203125" style="735" hidden="1" customWidth="1"/>
    <col min="11525" max="11527" width="2.6640625" style="735" hidden="1" customWidth="1"/>
    <col min="11528" max="11537" width="12.6640625" style="735" hidden="1" customWidth="1"/>
    <col min="11538" max="11538" width="2.6640625" style="735" hidden="1" customWidth="1"/>
    <col min="11539" max="11779" width="0" style="735" hidden="1"/>
    <col min="11780" max="11780" width="3.33203125" style="735" hidden="1" customWidth="1"/>
    <col min="11781" max="11783" width="2.6640625" style="735" hidden="1" customWidth="1"/>
    <col min="11784" max="11793" width="12.6640625" style="735" hidden="1" customWidth="1"/>
    <col min="11794" max="11794" width="2.6640625" style="735" hidden="1" customWidth="1"/>
    <col min="11795" max="12035" width="0" style="735" hidden="1"/>
    <col min="12036" max="12036" width="3.33203125" style="735" hidden="1" customWidth="1"/>
    <col min="12037" max="12039" width="2.6640625" style="735" hidden="1" customWidth="1"/>
    <col min="12040" max="12049" width="12.6640625" style="735" hidden="1" customWidth="1"/>
    <col min="12050" max="12050" width="2.6640625" style="735" hidden="1" customWidth="1"/>
    <col min="12051" max="12291" width="0" style="735" hidden="1"/>
    <col min="12292" max="12292" width="3.33203125" style="735" hidden="1" customWidth="1"/>
    <col min="12293" max="12295" width="2.6640625" style="735" hidden="1" customWidth="1"/>
    <col min="12296" max="12305" width="12.6640625" style="735" hidden="1" customWidth="1"/>
    <col min="12306" max="12306" width="2.6640625" style="735" hidden="1" customWidth="1"/>
    <col min="12307" max="12547" width="0" style="735" hidden="1"/>
    <col min="12548" max="12548" width="3.33203125" style="735" hidden="1" customWidth="1"/>
    <col min="12549" max="12551" width="2.6640625" style="735" hidden="1" customWidth="1"/>
    <col min="12552" max="12561" width="12.6640625" style="735" hidden="1" customWidth="1"/>
    <col min="12562" max="12562" width="2.6640625" style="735" hidden="1" customWidth="1"/>
    <col min="12563" max="12803" width="0" style="735" hidden="1"/>
    <col min="12804" max="12804" width="3.33203125" style="735" hidden="1" customWidth="1"/>
    <col min="12805" max="12807" width="2.6640625" style="735" hidden="1" customWidth="1"/>
    <col min="12808" max="12817" width="12.6640625" style="735" hidden="1" customWidth="1"/>
    <col min="12818" max="12818" width="2.6640625" style="735" hidden="1" customWidth="1"/>
    <col min="12819" max="13059" width="0" style="735" hidden="1"/>
    <col min="13060" max="13060" width="3.33203125" style="735" hidden="1" customWidth="1"/>
    <col min="13061" max="13063" width="2.6640625" style="735" hidden="1" customWidth="1"/>
    <col min="13064" max="13073" width="12.6640625" style="735" hidden="1" customWidth="1"/>
    <col min="13074" max="13074" width="2.6640625" style="735" hidden="1" customWidth="1"/>
    <col min="13075" max="13315" width="0" style="735" hidden="1"/>
    <col min="13316" max="13316" width="3.33203125" style="735" hidden="1" customWidth="1"/>
    <col min="13317" max="13319" width="2.6640625" style="735" hidden="1" customWidth="1"/>
    <col min="13320" max="13329" width="12.6640625" style="735" hidden="1" customWidth="1"/>
    <col min="13330" max="13330" width="2.6640625" style="735" hidden="1" customWidth="1"/>
    <col min="13331" max="13571" width="0" style="735" hidden="1"/>
    <col min="13572" max="13572" width="3.33203125" style="735" hidden="1" customWidth="1"/>
    <col min="13573" max="13575" width="2.6640625" style="735" hidden="1" customWidth="1"/>
    <col min="13576" max="13585" width="12.6640625" style="735" hidden="1" customWidth="1"/>
    <col min="13586" max="13586" width="2.6640625" style="735" hidden="1" customWidth="1"/>
    <col min="13587" max="13827" width="0" style="735" hidden="1"/>
    <col min="13828" max="13828" width="3.33203125" style="735" hidden="1" customWidth="1"/>
    <col min="13829" max="13831" width="2.6640625" style="735" hidden="1" customWidth="1"/>
    <col min="13832" max="13841" width="12.6640625" style="735" hidden="1" customWidth="1"/>
    <col min="13842" max="13842" width="2.6640625" style="735" hidden="1" customWidth="1"/>
    <col min="13843" max="14083" width="0" style="735" hidden="1"/>
    <col min="14084" max="14084" width="3.33203125" style="735" hidden="1" customWidth="1"/>
    <col min="14085" max="14087" width="2.6640625" style="735" hidden="1" customWidth="1"/>
    <col min="14088" max="14097" width="12.6640625" style="735" hidden="1" customWidth="1"/>
    <col min="14098" max="14098" width="2.6640625" style="735" hidden="1" customWidth="1"/>
    <col min="14099" max="14339" width="0" style="735" hidden="1"/>
    <col min="14340" max="14340" width="3.33203125" style="735" hidden="1" customWidth="1"/>
    <col min="14341" max="14343" width="2.6640625" style="735" hidden="1" customWidth="1"/>
    <col min="14344" max="14353" width="12.6640625" style="735" hidden="1" customWidth="1"/>
    <col min="14354" max="14354" width="2.6640625" style="735" hidden="1" customWidth="1"/>
    <col min="14355" max="14595" width="0" style="735" hidden="1"/>
    <col min="14596" max="14596" width="3.33203125" style="735" hidden="1" customWidth="1"/>
    <col min="14597" max="14599" width="2.6640625" style="735" hidden="1" customWidth="1"/>
    <col min="14600" max="14609" width="12.6640625" style="735" hidden="1" customWidth="1"/>
    <col min="14610" max="14610" width="2.6640625" style="735" hidden="1" customWidth="1"/>
    <col min="14611" max="14851" width="0" style="735" hidden="1"/>
    <col min="14852" max="14852" width="3.33203125" style="735" hidden="1" customWidth="1"/>
    <col min="14853" max="14855" width="2.6640625" style="735" hidden="1" customWidth="1"/>
    <col min="14856" max="14865" width="12.6640625" style="735" hidden="1" customWidth="1"/>
    <col min="14866" max="14866" width="2.6640625" style="735" hidden="1" customWidth="1"/>
    <col min="14867" max="15107" width="0" style="735" hidden="1"/>
    <col min="15108" max="15108" width="3.33203125" style="735" hidden="1" customWidth="1"/>
    <col min="15109" max="15111" width="2.6640625" style="735" hidden="1" customWidth="1"/>
    <col min="15112" max="15121" width="12.6640625" style="735" hidden="1" customWidth="1"/>
    <col min="15122" max="15122" width="2.6640625" style="735" hidden="1" customWidth="1"/>
    <col min="15123" max="15363" width="0" style="735" hidden="1"/>
    <col min="15364" max="15364" width="3.33203125" style="735" hidden="1" customWidth="1"/>
    <col min="15365" max="15367" width="2.6640625" style="735" hidden="1" customWidth="1"/>
    <col min="15368" max="15377" width="12.6640625" style="735" hidden="1" customWidth="1"/>
    <col min="15378" max="15378" width="2.6640625" style="735" hidden="1" customWidth="1"/>
    <col min="15379" max="15619" width="0" style="735" hidden="1"/>
    <col min="15620" max="15620" width="3.33203125" style="735" hidden="1" customWidth="1"/>
    <col min="15621" max="15623" width="2.6640625" style="735" hidden="1" customWidth="1"/>
    <col min="15624" max="15633" width="12.6640625" style="735" hidden="1" customWidth="1"/>
    <col min="15634" max="15634" width="2.6640625" style="735" hidden="1" customWidth="1"/>
    <col min="15635" max="15875" width="0" style="735" hidden="1"/>
    <col min="15876" max="15876" width="3.33203125" style="735" hidden="1" customWidth="1"/>
    <col min="15877" max="15879" width="2.6640625" style="735" hidden="1" customWidth="1"/>
    <col min="15880" max="15889" width="12.6640625" style="735" hidden="1" customWidth="1"/>
    <col min="15890" max="15890" width="2.6640625" style="735" hidden="1" customWidth="1"/>
    <col min="15891" max="16131" width="0" style="735" hidden="1"/>
    <col min="16132" max="16132" width="3.33203125" style="735" hidden="1" customWidth="1"/>
    <col min="16133" max="16135" width="2.6640625" style="735" hidden="1" customWidth="1"/>
    <col min="16136" max="16145" width="12.6640625" style="735" hidden="1" customWidth="1"/>
    <col min="16146" max="16146" width="2.6640625" style="735" hidden="1" customWidth="1"/>
    <col min="16147" max="16384" width="0" style="735" hidden="1"/>
  </cols>
  <sheetData>
    <row r="1" spans="1:21" s="708" customFormat="1" ht="13.2" x14ac:dyDescent="0.25">
      <c r="A1" s="707" t="s">
        <v>630</v>
      </c>
    </row>
    <row r="2" spans="1:21" s="708" customFormat="1" ht="13.2" x14ac:dyDescent="0.25">
      <c r="A2" s="709"/>
    </row>
    <row r="3" spans="1:21" s="708" customFormat="1" ht="24.6" x14ac:dyDescent="0.4">
      <c r="A3" s="709"/>
      <c r="B3" s="710" t="s">
        <v>276</v>
      </c>
      <c r="D3" s="710"/>
      <c r="E3" s="710"/>
      <c r="F3" s="710"/>
    </row>
    <row r="4" spans="1:21" s="708" customFormat="1" ht="24.6" x14ac:dyDescent="0.4">
      <c r="A4" s="709"/>
      <c r="B4" s="710" t="s">
        <v>541</v>
      </c>
    </row>
    <row r="5" spans="1:21" s="708" customFormat="1" ht="24.6" x14ac:dyDescent="0.4">
      <c r="A5" s="709"/>
      <c r="B5" s="1092"/>
    </row>
    <row r="6" spans="1:21" s="708" customFormat="1" ht="14.4" x14ac:dyDescent="0.3">
      <c r="A6" s="709"/>
      <c r="C6" s="1136" t="s">
        <v>522</v>
      </c>
      <c r="D6" s="1137"/>
      <c r="E6" s="1137"/>
      <c r="F6" s="1137"/>
      <c r="G6" s="1137"/>
      <c r="H6" s="1516" t="s">
        <v>529</v>
      </c>
      <c r="I6" s="1517"/>
    </row>
    <row r="7" spans="1:21" s="708" customFormat="1" ht="14.4" x14ac:dyDescent="0.3">
      <c r="A7" s="709"/>
      <c r="C7" s="1138" t="s">
        <v>523</v>
      </c>
      <c r="H7" s="1515" t="s">
        <v>673</v>
      </c>
      <c r="I7" s="1514"/>
    </row>
    <row r="8" spans="1:21" s="708" customFormat="1" ht="14.4" x14ac:dyDescent="0.3">
      <c r="A8" s="709"/>
      <c r="C8" s="1138" t="s">
        <v>524</v>
      </c>
      <c r="H8" s="1513">
        <v>41929</v>
      </c>
      <c r="I8" s="1514"/>
    </row>
    <row r="9" spans="1:21" s="708" customFormat="1" ht="14.4" x14ac:dyDescent="0.3">
      <c r="A9" s="709"/>
      <c r="C9" s="1139" t="s">
        <v>525</v>
      </c>
      <c r="D9" s="1140"/>
      <c r="E9" s="1140"/>
      <c r="F9" s="1140"/>
      <c r="G9" s="1140"/>
      <c r="H9" s="1518" t="s">
        <v>693</v>
      </c>
      <c r="I9" s="1519"/>
    </row>
    <row r="10" spans="1:21" s="708" customFormat="1" ht="13.2" x14ac:dyDescent="0.25">
      <c r="A10" s="709"/>
    </row>
    <row r="11" spans="1:21" s="712" customFormat="1" ht="12.75" customHeight="1" x14ac:dyDescent="0.25">
      <c r="A11" s="711"/>
      <c r="B11" s="708"/>
      <c r="G11" s="713"/>
      <c r="H11" s="713"/>
      <c r="I11" s="713"/>
      <c r="J11" s="713"/>
      <c r="K11" s="714"/>
      <c r="L11" s="714"/>
      <c r="M11" s="714"/>
      <c r="N11" s="714"/>
      <c r="O11" s="714"/>
      <c r="P11" s="714"/>
      <c r="Q11" s="714"/>
      <c r="R11" s="715"/>
      <c r="S11" s="716"/>
      <c r="T11" s="708"/>
      <c r="U11" s="708"/>
    </row>
    <row r="12" spans="1:21" s="712" customFormat="1" ht="12.75" customHeight="1" x14ac:dyDescent="0.25">
      <c r="A12" s="717"/>
      <c r="B12" s="717" t="s">
        <v>289</v>
      </c>
      <c r="C12" s="718"/>
      <c r="D12" s="719"/>
      <c r="E12" s="719"/>
      <c r="F12" s="719"/>
      <c r="G12" s="720"/>
      <c r="H12" s="720"/>
      <c r="I12" s="720"/>
      <c r="J12" s="720"/>
      <c r="K12" s="720"/>
      <c r="L12" s="720"/>
      <c r="M12" s="720"/>
      <c r="N12" s="720"/>
      <c r="O12" s="720"/>
      <c r="P12" s="720"/>
      <c r="Q12" s="720"/>
      <c r="R12" s="715"/>
      <c r="S12" s="716"/>
      <c r="T12" s="708"/>
      <c r="U12" s="708"/>
    </row>
    <row r="13" spans="1:21" s="712" customFormat="1" ht="12.75" customHeight="1" x14ac:dyDescent="0.25">
      <c r="A13" s="711"/>
      <c r="B13" s="708"/>
      <c r="G13" s="713"/>
      <c r="H13" s="713"/>
      <c r="I13" s="713"/>
      <c r="J13" s="713"/>
      <c r="K13" s="714"/>
      <c r="L13" s="714"/>
      <c r="M13" s="714"/>
      <c r="N13" s="714"/>
      <c r="O13" s="714"/>
      <c r="P13" s="714"/>
      <c r="Q13" s="714"/>
      <c r="R13" s="715"/>
      <c r="S13" s="716"/>
      <c r="T13" s="708"/>
      <c r="U13" s="708"/>
    </row>
    <row r="14" spans="1:21" s="712" customFormat="1" ht="12.75" customHeight="1" x14ac:dyDescent="0.25">
      <c r="A14" s="711"/>
      <c r="B14" s="708" t="s">
        <v>357</v>
      </c>
      <c r="G14" s="713"/>
      <c r="H14" s="713"/>
      <c r="I14" s="713"/>
      <c r="J14" s="713"/>
      <c r="K14" s="714"/>
      <c r="L14" s="714"/>
      <c r="M14" s="714"/>
      <c r="N14" s="714"/>
      <c r="O14" s="714"/>
      <c r="P14" s="714"/>
      <c r="Q14" s="714"/>
      <c r="R14" s="715"/>
      <c r="S14" s="716"/>
      <c r="T14" s="708"/>
      <c r="U14" s="708"/>
    </row>
    <row r="15" spans="1:21" s="712" customFormat="1" ht="12.75" customHeight="1" x14ac:dyDescent="0.25">
      <c r="A15" s="711"/>
      <c r="B15" s="708" t="s">
        <v>537</v>
      </c>
      <c r="G15" s="713"/>
      <c r="H15" s="713"/>
      <c r="I15" s="713"/>
      <c r="J15" s="713"/>
      <c r="K15" s="714"/>
      <c r="L15" s="714"/>
      <c r="M15" s="714"/>
      <c r="N15" s="714"/>
      <c r="O15" s="714"/>
      <c r="P15" s="714"/>
      <c r="Q15" s="714"/>
      <c r="R15" s="715"/>
      <c r="S15" s="716"/>
      <c r="T15" s="708"/>
      <c r="U15" s="708"/>
    </row>
    <row r="16" spans="1:21" s="712" customFormat="1" ht="12.75" customHeight="1" x14ac:dyDescent="0.25">
      <c r="A16" s="711"/>
      <c r="B16" s="708" t="s">
        <v>538</v>
      </c>
      <c r="G16" s="713"/>
      <c r="H16" s="713"/>
      <c r="I16" s="713"/>
      <c r="J16" s="713"/>
      <c r="K16" s="714"/>
      <c r="L16" s="714"/>
      <c r="M16" s="714"/>
      <c r="N16" s="714"/>
      <c r="O16" s="714"/>
      <c r="P16" s="714"/>
      <c r="Q16" s="714"/>
      <c r="R16" s="715"/>
      <c r="S16" s="716"/>
      <c r="T16" s="708"/>
      <c r="U16" s="708"/>
    </row>
    <row r="17" spans="1:21" s="712" customFormat="1" ht="12.75" customHeight="1" x14ac:dyDescent="0.25">
      <c r="A17" s="711"/>
      <c r="B17" s="708"/>
      <c r="G17" s="713"/>
      <c r="H17" s="713"/>
      <c r="I17" s="713"/>
      <c r="J17" s="713"/>
      <c r="K17" s="714"/>
      <c r="L17" s="714"/>
      <c r="M17" s="714"/>
      <c r="N17" s="714"/>
      <c r="O17" s="714"/>
      <c r="P17" s="714"/>
      <c r="Q17" s="714"/>
      <c r="R17" s="715"/>
      <c r="S17" s="716"/>
      <c r="T17" s="708"/>
      <c r="U17" s="708"/>
    </row>
    <row r="18" spans="1:21" s="712" customFormat="1" ht="12.75" customHeight="1" x14ac:dyDescent="0.25">
      <c r="A18" s="711"/>
      <c r="B18" s="708" t="s">
        <v>312</v>
      </c>
      <c r="G18" s="713"/>
      <c r="H18" s="713"/>
      <c r="I18" s="713"/>
      <c r="J18" s="713"/>
      <c r="K18" s="714"/>
      <c r="L18" s="714"/>
      <c r="M18" s="714"/>
      <c r="N18" s="714"/>
      <c r="O18" s="714"/>
      <c r="P18" s="714"/>
      <c r="Q18" s="714"/>
      <c r="R18" s="715"/>
      <c r="S18" s="716"/>
      <c r="T18" s="708"/>
      <c r="U18" s="708"/>
    </row>
    <row r="19" spans="1:21" s="712" customFormat="1" ht="12.75" customHeight="1" x14ac:dyDescent="0.25">
      <c r="A19" s="711"/>
      <c r="B19" s="1166" t="s">
        <v>527</v>
      </c>
      <c r="G19" s="713"/>
      <c r="H19" s="713"/>
      <c r="I19" s="713"/>
      <c r="J19" s="713"/>
      <c r="K19" s="714"/>
      <c r="L19" s="714"/>
      <c r="M19" s="714"/>
      <c r="N19" s="714"/>
      <c r="O19" s="714"/>
      <c r="P19" s="714"/>
      <c r="Q19" s="714"/>
      <c r="R19" s="715"/>
      <c r="S19" s="716"/>
      <c r="T19" s="708"/>
      <c r="U19" s="708"/>
    </row>
    <row r="20" spans="1:21" s="712" customFormat="1" ht="12.75" customHeight="1" x14ac:dyDescent="0.25">
      <c r="A20" s="711"/>
      <c r="B20" s="738"/>
      <c r="G20" s="713"/>
      <c r="H20" s="713"/>
      <c r="I20" s="713"/>
      <c r="J20" s="713"/>
      <c r="K20" s="714"/>
      <c r="L20" s="714"/>
      <c r="M20" s="714"/>
      <c r="N20" s="714"/>
      <c r="O20" s="714"/>
      <c r="P20" s="714"/>
      <c r="Q20" s="714"/>
      <c r="R20" s="715"/>
      <c r="S20" s="716"/>
      <c r="T20" s="708"/>
      <c r="U20" s="708"/>
    </row>
    <row r="21" spans="1:21" s="708" customFormat="1" ht="12.75" customHeight="1" x14ac:dyDescent="0.25">
      <c r="A21" s="717"/>
      <c r="B21" s="717" t="s">
        <v>281</v>
      </c>
      <c r="C21" s="718"/>
      <c r="D21" s="719"/>
      <c r="E21" s="719"/>
      <c r="F21" s="719"/>
      <c r="G21" s="720"/>
      <c r="H21" s="720"/>
      <c r="I21" s="720"/>
      <c r="J21" s="720"/>
      <c r="K21" s="720"/>
      <c r="L21" s="720"/>
      <c r="M21" s="720"/>
      <c r="N21" s="720"/>
      <c r="O21" s="720"/>
      <c r="P21" s="720"/>
      <c r="Q21" s="720"/>
      <c r="R21" s="721"/>
    </row>
    <row r="22" spans="1:21" s="708" customFormat="1" ht="13.2" x14ac:dyDescent="0.25">
      <c r="A22" s="709"/>
      <c r="C22" s="712"/>
      <c r="G22" s="722"/>
      <c r="H22" s="722"/>
      <c r="I22" s="722"/>
      <c r="J22" s="722"/>
      <c r="K22" s="723"/>
      <c r="L22" s="723"/>
      <c r="M22" s="723"/>
      <c r="N22" s="723"/>
      <c r="O22" s="723"/>
      <c r="P22" s="723"/>
      <c r="Q22" s="723"/>
      <c r="R22" s="721"/>
    </row>
    <row r="23" spans="1:21" s="708" customFormat="1" ht="13.2" x14ac:dyDescent="0.25">
      <c r="A23" s="709"/>
      <c r="B23" s="708" t="s">
        <v>526</v>
      </c>
      <c r="C23" s="712"/>
      <c r="D23" s="712"/>
      <c r="E23" s="712"/>
      <c r="F23" s="712"/>
      <c r="G23" s="722"/>
      <c r="H23" s="722"/>
      <c r="I23" s="722"/>
      <c r="J23" s="722"/>
      <c r="K23" s="724"/>
      <c r="L23" s="724"/>
      <c r="M23" s="724"/>
      <c r="N23" s="724"/>
      <c r="O23" s="724"/>
      <c r="P23" s="724"/>
      <c r="Q23" s="724"/>
    </row>
    <row r="24" spans="1:21" s="708" customFormat="1" ht="13.2" x14ac:dyDescent="0.25">
      <c r="A24" s="709"/>
      <c r="G24" s="713"/>
      <c r="H24" s="713"/>
      <c r="I24" s="713"/>
      <c r="J24" s="713"/>
    </row>
    <row r="25" spans="1:21" s="708" customFormat="1" ht="13.2" x14ac:dyDescent="0.25">
      <c r="A25" s="709"/>
      <c r="B25" s="712" t="s">
        <v>270</v>
      </c>
      <c r="D25" s="712" t="s">
        <v>279</v>
      </c>
      <c r="E25" s="712"/>
      <c r="F25" s="712"/>
      <c r="G25" s="713"/>
      <c r="H25" s="713"/>
      <c r="I25" s="713"/>
      <c r="J25" s="730"/>
    </row>
    <row r="26" spans="1:21" s="708" customFormat="1" ht="13.2" x14ac:dyDescent="0.25">
      <c r="A26" s="709"/>
      <c r="B26" s="712" t="s">
        <v>271</v>
      </c>
      <c r="D26" s="712" t="s">
        <v>278</v>
      </c>
      <c r="E26" s="712"/>
      <c r="F26" s="712"/>
      <c r="G26" s="713"/>
      <c r="H26" s="713"/>
      <c r="I26" s="713"/>
      <c r="J26" s="713"/>
    </row>
    <row r="27" spans="1:21" s="708" customFormat="1" ht="13.2" x14ac:dyDescent="0.25">
      <c r="A27" s="709"/>
      <c r="B27" s="712" t="s">
        <v>272</v>
      </c>
      <c r="D27" s="712" t="s">
        <v>477</v>
      </c>
      <c r="E27" s="712"/>
      <c r="F27" s="712"/>
      <c r="G27" s="713"/>
      <c r="H27" s="713"/>
      <c r="I27" s="713"/>
      <c r="J27" s="713"/>
    </row>
    <row r="28" spans="1:21" s="708" customFormat="1" ht="13.2" x14ac:dyDescent="0.25">
      <c r="A28" s="709"/>
      <c r="B28" s="712" t="s">
        <v>273</v>
      </c>
      <c r="D28" s="712" t="s">
        <v>280</v>
      </c>
      <c r="E28" s="712"/>
      <c r="F28" s="712"/>
      <c r="G28" s="713"/>
      <c r="H28" s="713"/>
      <c r="I28" s="713"/>
      <c r="J28" s="713"/>
    </row>
    <row r="29" spans="1:21" s="708" customFormat="1" x14ac:dyDescent="0.2">
      <c r="A29" s="709"/>
      <c r="B29" s="712" t="s">
        <v>274</v>
      </c>
      <c r="D29" s="712" t="s">
        <v>478</v>
      </c>
      <c r="E29" s="712"/>
      <c r="F29" s="712"/>
      <c r="G29" s="713"/>
      <c r="H29" s="713"/>
      <c r="I29" s="713"/>
      <c r="J29" s="713"/>
    </row>
    <row r="30" spans="1:21" s="708" customFormat="1" x14ac:dyDescent="0.2">
      <c r="A30" s="709"/>
      <c r="B30" s="712" t="s">
        <v>275</v>
      </c>
      <c r="D30" s="712" t="s">
        <v>688</v>
      </c>
      <c r="E30" s="712"/>
      <c r="F30" s="712"/>
      <c r="G30" s="713"/>
      <c r="H30" s="713"/>
      <c r="I30" s="713"/>
      <c r="J30" s="713"/>
    </row>
    <row r="31" spans="1:21" s="708" customFormat="1" x14ac:dyDescent="0.2">
      <c r="A31" s="709"/>
      <c r="B31" s="712" t="s">
        <v>542</v>
      </c>
      <c r="D31" s="712" t="s">
        <v>543</v>
      </c>
      <c r="E31" s="712"/>
      <c r="F31" s="712"/>
      <c r="G31" s="713"/>
      <c r="H31" s="713"/>
      <c r="I31" s="713"/>
      <c r="J31" s="713"/>
    </row>
    <row r="32" spans="1:21" s="708" customFormat="1" x14ac:dyDescent="0.2">
      <c r="A32" s="709"/>
      <c r="B32" s="712" t="s">
        <v>351</v>
      </c>
      <c r="D32" s="712" t="s">
        <v>546</v>
      </c>
      <c r="E32" s="712"/>
      <c r="F32" s="712"/>
      <c r="G32" s="713"/>
      <c r="H32" s="713"/>
      <c r="I32" s="713"/>
      <c r="J32" s="713"/>
    </row>
    <row r="33" spans="1:17" s="708" customFormat="1" x14ac:dyDescent="0.2">
      <c r="A33" s="709"/>
      <c r="B33" s="712" t="s">
        <v>476</v>
      </c>
      <c r="D33" s="712" t="s">
        <v>290</v>
      </c>
      <c r="E33" s="712"/>
      <c r="F33" s="712"/>
      <c r="G33" s="713"/>
      <c r="H33" s="713"/>
      <c r="I33" s="713"/>
      <c r="J33" s="713"/>
    </row>
    <row r="34" spans="1:17" s="708" customFormat="1" x14ac:dyDescent="0.2">
      <c r="A34" s="709"/>
      <c r="B34" s="712" t="s">
        <v>544</v>
      </c>
      <c r="D34" s="712" t="s">
        <v>341</v>
      </c>
      <c r="E34" s="712"/>
      <c r="F34" s="712"/>
      <c r="G34" s="713"/>
      <c r="H34" s="713"/>
      <c r="I34" s="713"/>
      <c r="J34" s="713"/>
    </row>
    <row r="35" spans="1:17" s="708" customFormat="1" x14ac:dyDescent="0.2">
      <c r="A35" s="709"/>
      <c r="B35" s="712" t="s">
        <v>545</v>
      </c>
      <c r="D35" s="712" t="s">
        <v>358</v>
      </c>
      <c r="E35" s="712"/>
      <c r="F35" s="712"/>
      <c r="G35" s="713"/>
      <c r="H35" s="713"/>
      <c r="I35" s="713"/>
      <c r="J35" s="713"/>
    </row>
    <row r="36" spans="1:17" s="708" customFormat="1" x14ac:dyDescent="0.2">
      <c r="A36" s="709"/>
      <c r="E36" s="712"/>
      <c r="F36" s="712"/>
      <c r="G36" s="713"/>
      <c r="H36" s="713"/>
      <c r="I36" s="713"/>
      <c r="J36" s="713"/>
    </row>
    <row r="37" spans="1:17" s="708" customFormat="1" ht="12.75" customHeight="1" x14ac:dyDescent="0.2">
      <c r="A37" s="709"/>
      <c r="G37" s="713"/>
      <c r="H37" s="713"/>
      <c r="I37" s="713"/>
      <c r="J37" s="713"/>
    </row>
    <row r="38" spans="1:17" s="708" customFormat="1" x14ac:dyDescent="0.2">
      <c r="A38" s="717"/>
      <c r="B38" s="717" t="s">
        <v>282</v>
      </c>
      <c r="C38" s="718"/>
      <c r="D38" s="719"/>
      <c r="E38" s="719"/>
      <c r="F38" s="719"/>
      <c r="G38" s="720"/>
      <c r="H38" s="720"/>
      <c r="I38" s="720"/>
      <c r="J38" s="720"/>
      <c r="K38" s="720"/>
      <c r="L38" s="720"/>
      <c r="M38" s="720"/>
      <c r="N38" s="720"/>
      <c r="O38" s="720"/>
      <c r="P38" s="720"/>
      <c r="Q38" s="720"/>
    </row>
    <row r="39" spans="1:17" s="708" customFormat="1" ht="13.2" x14ac:dyDescent="0.25">
      <c r="A39" s="709"/>
      <c r="G39" s="713"/>
      <c r="H39" s="713"/>
      <c r="I39" s="713"/>
      <c r="J39" s="713"/>
      <c r="K39" s="721"/>
      <c r="L39" s="721"/>
      <c r="M39" s="721"/>
      <c r="N39" s="721"/>
      <c r="O39" s="721"/>
      <c r="P39" s="721"/>
      <c r="Q39" s="721"/>
    </row>
    <row r="40" spans="1:17" s="708" customFormat="1" ht="13.2" x14ac:dyDescent="0.25">
      <c r="A40" s="709"/>
      <c r="B40" s="708" t="s">
        <v>346</v>
      </c>
      <c r="G40" s="713"/>
      <c r="H40" s="713"/>
      <c r="I40" s="713"/>
      <c r="J40" s="713"/>
      <c r="K40" s="721"/>
      <c r="L40" s="721"/>
      <c r="M40" s="721"/>
      <c r="N40" s="721"/>
      <c r="O40" s="721"/>
      <c r="P40" s="721"/>
      <c r="Q40" s="721"/>
    </row>
    <row r="41" spans="1:17" s="708" customFormat="1" ht="13.2" x14ac:dyDescent="0.25">
      <c r="A41" s="709"/>
      <c r="G41" s="713"/>
      <c r="H41" s="713"/>
      <c r="I41" s="713"/>
      <c r="J41" s="713"/>
      <c r="K41" s="721"/>
      <c r="L41" s="721"/>
      <c r="M41" s="721"/>
      <c r="N41" s="721"/>
      <c r="O41" s="721"/>
      <c r="P41" s="721"/>
      <c r="Q41" s="721"/>
    </row>
    <row r="42" spans="1:17" s="708" customFormat="1" ht="13.2" x14ac:dyDescent="0.25">
      <c r="A42" s="709"/>
      <c r="B42" s="712" t="s">
        <v>316</v>
      </c>
      <c r="G42" s="713"/>
      <c r="H42" s="713"/>
      <c r="I42" s="713"/>
      <c r="J42" s="713"/>
      <c r="K42" s="721"/>
      <c r="L42" s="721"/>
      <c r="M42" s="721"/>
      <c r="N42" s="721"/>
      <c r="O42" s="721"/>
      <c r="P42" s="721"/>
      <c r="Q42" s="721"/>
    </row>
    <row r="43" spans="1:17" s="708" customFormat="1" ht="13.2" x14ac:dyDescent="0.25">
      <c r="A43" s="709"/>
      <c r="B43" s="708" t="s">
        <v>284</v>
      </c>
      <c r="G43" s="713"/>
      <c r="H43" s="713"/>
      <c r="I43" s="713"/>
      <c r="J43" s="713"/>
      <c r="K43" s="721"/>
      <c r="L43" s="721"/>
      <c r="M43" s="721"/>
      <c r="N43" s="721"/>
      <c r="O43" s="721"/>
      <c r="P43" s="721"/>
      <c r="Q43" s="721"/>
    </row>
    <row r="44" spans="1:17" s="708" customFormat="1" ht="13.2" x14ac:dyDescent="0.25">
      <c r="A44" s="709"/>
      <c r="B44" s="708" t="s">
        <v>359</v>
      </c>
      <c r="G44" s="713"/>
      <c r="H44" s="713"/>
      <c r="I44" s="713"/>
      <c r="J44" s="713"/>
      <c r="K44" s="721"/>
      <c r="L44" s="721"/>
      <c r="M44" s="726">
        <v>0</v>
      </c>
      <c r="N44" s="721"/>
      <c r="O44" s="721"/>
      <c r="Q44" s="721"/>
    </row>
    <row r="45" spans="1:17" s="708" customFormat="1" ht="13.2" x14ac:dyDescent="0.25">
      <c r="A45" s="709"/>
      <c r="B45" s="737" t="s">
        <v>360</v>
      </c>
      <c r="G45" s="713"/>
      <c r="H45" s="713"/>
      <c r="I45" s="713"/>
      <c r="J45" s="713"/>
      <c r="K45" s="721"/>
      <c r="L45" s="721"/>
      <c r="M45" s="736"/>
      <c r="N45" s="721"/>
      <c r="O45" s="721"/>
      <c r="Q45" s="721"/>
    </row>
    <row r="46" spans="1:17" s="708" customFormat="1" ht="13.2" x14ac:dyDescent="0.25">
      <c r="A46" s="709"/>
      <c r="G46" s="713"/>
      <c r="H46" s="713"/>
      <c r="I46" s="713"/>
      <c r="J46" s="713"/>
      <c r="K46" s="721"/>
      <c r="L46" s="721"/>
      <c r="M46" s="736"/>
      <c r="N46" s="721"/>
      <c r="O46" s="721"/>
      <c r="Q46" s="721"/>
    </row>
    <row r="47" spans="1:17" s="708" customFormat="1" ht="13.2" x14ac:dyDescent="0.25">
      <c r="A47" s="709"/>
      <c r="B47" s="712" t="s">
        <v>317</v>
      </c>
      <c r="G47" s="713"/>
      <c r="H47" s="713"/>
      <c r="I47" s="713"/>
      <c r="J47" s="713"/>
      <c r="K47" s="721"/>
      <c r="L47" s="721"/>
      <c r="M47" s="721"/>
      <c r="N47" s="721"/>
      <c r="O47" s="721"/>
      <c r="P47" s="721"/>
      <c r="Q47" s="721"/>
    </row>
    <row r="48" spans="1:17" s="708" customFormat="1" ht="13.2" x14ac:dyDescent="0.25">
      <c r="A48" s="709"/>
      <c r="B48" s="708" t="s">
        <v>285</v>
      </c>
      <c r="G48" s="713"/>
      <c r="H48" s="713"/>
      <c r="I48" s="713"/>
      <c r="J48" s="713"/>
      <c r="K48" s="721"/>
      <c r="L48" s="721"/>
      <c r="M48" s="721"/>
      <c r="N48" s="721"/>
      <c r="O48" s="721"/>
      <c r="P48" s="721"/>
      <c r="Q48" s="721"/>
    </row>
    <row r="49" spans="1:17" s="708" customFormat="1" ht="13.2" x14ac:dyDescent="0.25">
      <c r="A49" s="709"/>
      <c r="B49" s="708" t="s">
        <v>352</v>
      </c>
      <c r="G49" s="713"/>
      <c r="H49" s="713"/>
      <c r="I49" s="713"/>
      <c r="J49" s="713"/>
      <c r="K49" s="721"/>
      <c r="L49" s="721"/>
      <c r="M49" s="721"/>
      <c r="N49" s="721"/>
      <c r="O49" s="721"/>
      <c r="P49" s="721"/>
      <c r="Q49" s="721"/>
    </row>
    <row r="50" spans="1:17" s="708" customFormat="1" ht="13.2" x14ac:dyDescent="0.25">
      <c r="A50" s="709"/>
      <c r="G50" s="713"/>
      <c r="H50" s="713"/>
      <c r="I50" s="713"/>
      <c r="J50" s="713"/>
      <c r="K50" s="727"/>
      <c r="L50" s="727"/>
      <c r="M50" s="727"/>
      <c r="N50" s="727"/>
      <c r="O50" s="727"/>
      <c r="P50" s="727"/>
      <c r="Q50" s="727"/>
    </row>
    <row r="51" spans="1:17" s="708" customFormat="1" ht="13.2" x14ac:dyDescent="0.25">
      <c r="A51" s="709"/>
      <c r="B51" s="712" t="s">
        <v>318</v>
      </c>
      <c r="G51" s="713"/>
      <c r="H51" s="713"/>
      <c r="I51" s="713"/>
      <c r="J51" s="713"/>
      <c r="K51" s="727"/>
      <c r="L51" s="727"/>
      <c r="M51" s="727"/>
      <c r="N51" s="727"/>
      <c r="O51" s="727"/>
      <c r="P51" s="727"/>
      <c r="Q51" s="727"/>
    </row>
    <row r="52" spans="1:17" s="708" customFormat="1" ht="13.2" x14ac:dyDescent="0.25">
      <c r="A52" s="709"/>
      <c r="B52" s="708" t="s">
        <v>361</v>
      </c>
      <c r="G52" s="713"/>
      <c r="H52" s="713"/>
      <c r="I52" s="713"/>
      <c r="J52" s="713"/>
      <c r="K52" s="727"/>
      <c r="L52" s="727"/>
      <c r="M52" s="727"/>
      <c r="N52" s="727"/>
      <c r="O52" s="727"/>
      <c r="P52" s="727"/>
      <c r="Q52" s="727"/>
    </row>
    <row r="53" spans="1:17" s="708" customFormat="1" ht="13.2" x14ac:dyDescent="0.25">
      <c r="A53" s="709"/>
      <c r="B53" s="708" t="s">
        <v>362</v>
      </c>
      <c r="G53" s="713"/>
      <c r="H53" s="713"/>
      <c r="I53" s="713"/>
      <c r="J53" s="713"/>
      <c r="K53" s="727"/>
      <c r="L53" s="727"/>
      <c r="M53" s="727"/>
      <c r="N53" s="727"/>
      <c r="O53" s="727"/>
      <c r="P53" s="727"/>
      <c r="Q53" s="727"/>
    </row>
    <row r="54" spans="1:17" s="708" customFormat="1" ht="13.2" x14ac:dyDescent="0.25">
      <c r="A54" s="709"/>
      <c r="G54" s="713"/>
      <c r="H54" s="713"/>
      <c r="I54" s="713"/>
      <c r="J54" s="713"/>
      <c r="K54" s="727"/>
      <c r="L54" s="727"/>
      <c r="M54" s="727"/>
      <c r="N54" s="727"/>
      <c r="O54" s="727"/>
      <c r="P54" s="727"/>
      <c r="Q54" s="727"/>
    </row>
    <row r="55" spans="1:17" s="708" customFormat="1" ht="13.2" x14ac:dyDescent="0.25">
      <c r="A55" s="709"/>
      <c r="B55" s="712" t="s">
        <v>319</v>
      </c>
      <c r="G55" s="713"/>
      <c r="H55" s="713"/>
      <c r="I55" s="713"/>
      <c r="J55" s="713"/>
      <c r="K55" s="727"/>
      <c r="L55" s="727"/>
      <c r="M55" s="727"/>
      <c r="N55" s="727"/>
      <c r="O55" s="727"/>
      <c r="P55" s="727"/>
      <c r="Q55" s="727"/>
    </row>
    <row r="56" spans="1:17" s="708" customFormat="1" ht="13.2" x14ac:dyDescent="0.25">
      <c r="A56" s="709"/>
      <c r="B56" s="708" t="s">
        <v>363</v>
      </c>
      <c r="G56" s="713"/>
      <c r="H56" s="713"/>
      <c r="I56" s="713"/>
      <c r="J56" s="713"/>
      <c r="K56" s="728"/>
      <c r="L56" s="728"/>
      <c r="M56" s="728"/>
      <c r="N56" s="728"/>
      <c r="O56" s="728"/>
      <c r="P56" s="728"/>
      <c r="Q56" s="728"/>
    </row>
    <row r="57" spans="1:17" s="708" customFormat="1" ht="13.2" x14ac:dyDescent="0.25">
      <c r="A57" s="709"/>
      <c r="G57" s="713"/>
      <c r="H57" s="713"/>
      <c r="I57" s="713"/>
      <c r="J57" s="713"/>
      <c r="K57" s="728"/>
      <c r="L57" s="728"/>
      <c r="M57" s="728"/>
      <c r="N57" s="728"/>
      <c r="O57" s="728"/>
      <c r="P57" s="728"/>
      <c r="Q57" s="728"/>
    </row>
    <row r="58" spans="1:17" s="708" customFormat="1" ht="13.2" x14ac:dyDescent="0.25">
      <c r="A58" s="709"/>
      <c r="B58" s="712" t="s">
        <v>320</v>
      </c>
      <c r="G58" s="713"/>
      <c r="H58" s="713"/>
      <c r="I58" s="713"/>
      <c r="J58" s="713"/>
      <c r="K58" s="728"/>
      <c r="L58" s="728"/>
      <c r="M58" s="728"/>
      <c r="N58" s="728"/>
      <c r="O58" s="728"/>
      <c r="P58" s="728"/>
      <c r="Q58" s="728"/>
    </row>
    <row r="59" spans="1:17" s="708" customFormat="1" ht="13.2" x14ac:dyDescent="0.25">
      <c r="A59" s="709"/>
      <c r="B59" s="708" t="s">
        <v>364</v>
      </c>
      <c r="G59" s="713"/>
      <c r="H59" s="713"/>
      <c r="I59" s="713"/>
      <c r="J59" s="713"/>
      <c r="K59" s="728"/>
      <c r="L59" s="728"/>
      <c r="M59" s="728"/>
      <c r="N59" s="728"/>
      <c r="O59" s="728"/>
      <c r="P59" s="728"/>
      <c r="Q59" s="728"/>
    </row>
    <row r="60" spans="1:17" s="708" customFormat="1" ht="13.2" x14ac:dyDescent="0.25">
      <c r="A60" s="709"/>
      <c r="B60" s="708" t="s">
        <v>344</v>
      </c>
      <c r="G60" s="713"/>
      <c r="H60" s="713"/>
      <c r="I60" s="713"/>
      <c r="J60" s="713"/>
      <c r="K60" s="728"/>
      <c r="L60" s="728"/>
      <c r="M60" s="728"/>
      <c r="N60" s="728"/>
      <c r="O60" s="728"/>
      <c r="P60" s="728"/>
      <c r="Q60" s="728"/>
    </row>
    <row r="61" spans="1:17" s="708" customFormat="1" ht="13.2" x14ac:dyDescent="0.25">
      <c r="A61" s="709"/>
      <c r="B61" s="708" t="s">
        <v>345</v>
      </c>
      <c r="G61" s="713"/>
      <c r="H61" s="713"/>
      <c r="I61" s="713"/>
      <c r="J61" s="713"/>
      <c r="K61" s="728"/>
      <c r="L61" s="728"/>
      <c r="M61" s="728"/>
      <c r="N61" s="728"/>
      <c r="O61" s="728"/>
      <c r="P61" s="728"/>
      <c r="Q61" s="728"/>
    </row>
    <row r="62" spans="1:17" s="708" customFormat="1" ht="13.2" x14ac:dyDescent="0.25">
      <c r="A62" s="709"/>
      <c r="G62" s="713"/>
      <c r="H62" s="713"/>
      <c r="I62" s="713"/>
      <c r="J62" s="713"/>
      <c r="K62" s="728"/>
      <c r="L62" s="728"/>
      <c r="M62" s="728"/>
      <c r="N62" s="728"/>
      <c r="O62" s="728"/>
      <c r="P62" s="728"/>
      <c r="Q62" s="728"/>
    </row>
    <row r="63" spans="1:17" s="708" customFormat="1" ht="13.2" x14ac:dyDescent="0.25">
      <c r="A63" s="717"/>
      <c r="B63" s="717" t="s">
        <v>283</v>
      </c>
      <c r="C63" s="718"/>
      <c r="D63" s="719"/>
      <c r="E63" s="719"/>
      <c r="F63" s="719"/>
      <c r="G63" s="720"/>
      <c r="H63" s="720"/>
      <c r="I63" s="720"/>
      <c r="J63" s="720"/>
      <c r="K63" s="720"/>
      <c r="L63" s="720"/>
      <c r="M63" s="720"/>
      <c r="N63" s="720"/>
      <c r="O63" s="720"/>
      <c r="P63" s="720"/>
      <c r="Q63" s="720"/>
    </row>
    <row r="64" spans="1:17" s="708" customFormat="1" ht="13.2" x14ac:dyDescent="0.25">
      <c r="A64" s="709"/>
      <c r="G64" s="713"/>
      <c r="H64" s="713"/>
      <c r="I64" s="713"/>
      <c r="J64" s="713"/>
      <c r="K64" s="728"/>
      <c r="L64" s="728"/>
      <c r="M64" s="728"/>
      <c r="N64" s="728"/>
      <c r="O64" s="728"/>
      <c r="P64" s="728"/>
      <c r="Q64" s="728"/>
    </row>
    <row r="65" spans="1:18" s="708" customFormat="1" ht="13.2" x14ac:dyDescent="0.25">
      <c r="A65" s="709"/>
      <c r="B65" s="708" t="s">
        <v>286</v>
      </c>
      <c r="G65" s="713"/>
      <c r="H65" s="713"/>
      <c r="I65" s="713"/>
      <c r="J65" s="713"/>
    </row>
    <row r="66" spans="1:18" s="708" customFormat="1" ht="13.2" x14ac:dyDescent="0.25">
      <c r="A66" s="709"/>
      <c r="B66" s="708" t="s">
        <v>287</v>
      </c>
      <c r="C66" s="729"/>
      <c r="D66" s="729"/>
      <c r="E66" s="729"/>
      <c r="F66" s="729"/>
      <c r="G66" s="725"/>
      <c r="H66" s="725"/>
      <c r="I66" s="725"/>
      <c r="J66" s="725"/>
      <c r="K66" s="725"/>
      <c r="L66" s="725"/>
      <c r="M66" s="725"/>
      <c r="N66" s="725"/>
      <c r="O66" s="725"/>
      <c r="P66" s="725"/>
      <c r="Q66" s="725"/>
      <c r="R66" s="729"/>
    </row>
    <row r="67" spans="1:18" s="708" customFormat="1" ht="13.2" x14ac:dyDescent="0.25">
      <c r="A67" s="709"/>
      <c r="G67" s="713"/>
      <c r="H67" s="713"/>
      <c r="I67" s="713"/>
      <c r="J67" s="713"/>
    </row>
    <row r="68" spans="1:18" s="708" customFormat="1" ht="13.2" hidden="1" x14ac:dyDescent="0.25">
      <c r="B68" s="730"/>
    </row>
    <row r="69" spans="1:18" s="708" customFormat="1" ht="13.2" hidden="1" x14ac:dyDescent="0.25">
      <c r="A69" s="709"/>
      <c r="C69" s="730"/>
      <c r="G69" s="713"/>
      <c r="H69" s="713"/>
      <c r="I69" s="713"/>
      <c r="J69" s="713"/>
      <c r="K69" s="721"/>
      <c r="L69" s="721"/>
      <c r="M69" s="721"/>
      <c r="N69" s="721"/>
      <c r="O69" s="721"/>
      <c r="P69" s="721"/>
      <c r="Q69" s="721"/>
    </row>
    <row r="70" spans="1:18" s="708" customFormat="1" ht="13.2" hidden="1" x14ac:dyDescent="0.25">
      <c r="A70" s="709"/>
      <c r="C70" s="730"/>
      <c r="G70" s="713"/>
      <c r="H70" s="713"/>
      <c r="I70" s="713"/>
      <c r="J70" s="713"/>
      <c r="K70" s="721"/>
      <c r="L70" s="721"/>
      <c r="M70" s="721"/>
      <c r="N70" s="721"/>
      <c r="O70" s="721"/>
      <c r="P70" s="721"/>
      <c r="Q70" s="721"/>
    </row>
    <row r="71" spans="1:18" s="708" customFormat="1" ht="13.2" hidden="1" x14ac:dyDescent="0.25">
      <c r="A71" s="709"/>
    </row>
    <row r="72" spans="1:18" s="708" customFormat="1" ht="13.2" hidden="1" x14ac:dyDescent="0.25">
      <c r="A72" s="709"/>
      <c r="G72" s="713"/>
      <c r="H72" s="713"/>
      <c r="I72" s="713"/>
      <c r="J72" s="713"/>
      <c r="K72" s="731"/>
      <c r="L72" s="731"/>
      <c r="M72" s="731"/>
      <c r="N72" s="731"/>
      <c r="O72" s="731"/>
      <c r="P72" s="731"/>
      <c r="Q72" s="731"/>
    </row>
    <row r="73" spans="1:18" s="708" customFormat="1" ht="13.2" hidden="1" x14ac:dyDescent="0.25">
      <c r="A73" s="709"/>
      <c r="G73" s="713"/>
      <c r="H73" s="713"/>
      <c r="I73" s="713"/>
      <c r="J73" s="713"/>
      <c r="K73" s="731"/>
      <c r="L73" s="731"/>
      <c r="M73" s="731"/>
      <c r="N73" s="731"/>
      <c r="O73" s="731"/>
      <c r="P73" s="731"/>
      <c r="Q73" s="731"/>
    </row>
    <row r="74" spans="1:18" s="708" customFormat="1" ht="13.2" hidden="1" x14ac:dyDescent="0.25">
      <c r="A74" s="709"/>
      <c r="G74" s="713"/>
      <c r="H74" s="713"/>
      <c r="I74" s="713"/>
      <c r="J74" s="713"/>
      <c r="K74" s="728"/>
      <c r="L74" s="728"/>
      <c r="M74" s="728"/>
      <c r="N74" s="728"/>
      <c r="O74" s="728"/>
      <c r="P74" s="728"/>
      <c r="Q74" s="728"/>
    </row>
    <row r="75" spans="1:18" s="708" customFormat="1" ht="13.2" hidden="1" x14ac:dyDescent="0.25">
      <c r="A75" s="709"/>
    </row>
    <row r="76" spans="1:18" s="732" customFormat="1" ht="13.2" hidden="1" x14ac:dyDescent="0.25">
      <c r="B76" s="708"/>
      <c r="C76" s="708"/>
      <c r="D76" s="708"/>
      <c r="E76" s="708"/>
      <c r="F76" s="708"/>
      <c r="G76" s="713"/>
      <c r="H76" s="713"/>
      <c r="I76" s="713"/>
      <c r="J76" s="713"/>
      <c r="K76" s="708"/>
      <c r="L76" s="708"/>
      <c r="M76" s="708"/>
      <c r="N76" s="708"/>
      <c r="O76" s="708"/>
      <c r="P76" s="708"/>
      <c r="Q76" s="708"/>
      <c r="R76" s="708"/>
    </row>
    <row r="77" spans="1:18" s="732" customFormat="1" ht="13.2" hidden="1" x14ac:dyDescent="0.25">
      <c r="B77" s="708"/>
      <c r="C77" s="708"/>
      <c r="D77" s="708"/>
      <c r="E77" s="708"/>
      <c r="F77" s="708"/>
      <c r="G77" s="713"/>
      <c r="H77" s="713"/>
      <c r="I77" s="713"/>
      <c r="J77" s="713"/>
      <c r="K77" s="721"/>
      <c r="L77" s="721"/>
      <c r="M77" s="721"/>
      <c r="N77" s="721"/>
      <c r="O77" s="721"/>
      <c r="P77" s="721"/>
      <c r="Q77" s="721"/>
      <c r="R77" s="708"/>
    </row>
    <row r="78" spans="1:18" s="732" customFormat="1" ht="13.2" hidden="1" x14ac:dyDescent="0.25">
      <c r="B78" s="708"/>
      <c r="C78" s="708"/>
      <c r="D78" s="708"/>
      <c r="E78" s="708"/>
      <c r="F78" s="708"/>
      <c r="G78" s="713"/>
      <c r="H78" s="713"/>
      <c r="I78" s="713"/>
      <c r="J78" s="713"/>
      <c r="K78" s="721"/>
      <c r="L78" s="721"/>
      <c r="M78" s="721"/>
      <c r="N78" s="721"/>
      <c r="O78" s="721"/>
      <c r="P78" s="721"/>
      <c r="Q78" s="721"/>
      <c r="R78" s="708"/>
    </row>
    <row r="79" spans="1:18" s="732" customFormat="1" ht="13.2" hidden="1" x14ac:dyDescent="0.25">
      <c r="B79" s="708"/>
      <c r="C79" s="708"/>
      <c r="D79" s="708"/>
      <c r="E79" s="708"/>
      <c r="F79" s="708"/>
      <c r="G79" s="713"/>
      <c r="H79" s="713"/>
      <c r="I79" s="713"/>
      <c r="J79" s="713"/>
      <c r="K79" s="721"/>
      <c r="L79" s="721"/>
      <c r="M79" s="721"/>
      <c r="N79" s="721"/>
      <c r="O79" s="721"/>
      <c r="P79" s="721"/>
      <c r="Q79" s="721"/>
      <c r="R79" s="708"/>
    </row>
    <row r="80" spans="1:18" s="732" customFormat="1" ht="13.2" hidden="1" x14ac:dyDescent="0.25">
      <c r="B80" s="708"/>
      <c r="C80" s="708"/>
      <c r="D80" s="708"/>
      <c r="E80" s="708"/>
      <c r="F80" s="708"/>
      <c r="G80" s="713"/>
      <c r="H80" s="713"/>
      <c r="I80" s="713"/>
      <c r="J80" s="713"/>
      <c r="K80" s="727"/>
      <c r="L80" s="727"/>
      <c r="M80" s="727"/>
      <c r="N80" s="727"/>
      <c r="O80" s="727"/>
      <c r="P80" s="727"/>
      <c r="Q80" s="727"/>
      <c r="R80" s="708"/>
    </row>
    <row r="81" spans="2:18" s="732" customFormat="1" ht="13.2" hidden="1" x14ac:dyDescent="0.25">
      <c r="B81" s="708"/>
      <c r="C81" s="708"/>
      <c r="G81" s="713"/>
      <c r="H81" s="713"/>
      <c r="I81" s="713"/>
      <c r="J81" s="713"/>
      <c r="K81" s="728"/>
      <c r="L81" s="728"/>
      <c r="M81" s="728"/>
      <c r="N81" s="728"/>
      <c r="O81" s="728"/>
      <c r="P81" s="728"/>
      <c r="Q81" s="728"/>
      <c r="R81" s="708"/>
    </row>
    <row r="82" spans="2:18" s="732" customFormat="1" ht="13.2" hidden="1" x14ac:dyDescent="0.25">
      <c r="B82" s="708"/>
      <c r="C82" s="708"/>
      <c r="G82" s="713"/>
      <c r="H82" s="713"/>
      <c r="I82" s="713"/>
      <c r="J82" s="713"/>
      <c r="K82" s="708"/>
      <c r="L82" s="708"/>
      <c r="M82" s="708"/>
      <c r="N82" s="708"/>
      <c r="O82" s="708"/>
      <c r="P82" s="708"/>
      <c r="Q82" s="708"/>
      <c r="R82" s="708"/>
    </row>
    <row r="83" spans="2:18" s="732" customFormat="1" ht="13.2" hidden="1" x14ac:dyDescent="0.25">
      <c r="B83" s="729"/>
      <c r="C83" s="708"/>
      <c r="G83" s="713"/>
      <c r="H83" s="713"/>
      <c r="I83" s="713"/>
      <c r="J83" s="713"/>
      <c r="K83" s="708"/>
      <c r="L83" s="708"/>
      <c r="M83" s="708"/>
      <c r="N83" s="708"/>
      <c r="O83" s="708"/>
      <c r="P83" s="708"/>
      <c r="Q83" s="708"/>
      <c r="R83" s="708"/>
    </row>
    <row r="84" spans="2:18" s="732" customFormat="1" ht="13.2" hidden="1" x14ac:dyDescent="0.25">
      <c r="B84" s="708"/>
      <c r="C84" s="708"/>
      <c r="G84" s="713"/>
      <c r="H84" s="713"/>
      <c r="I84" s="713"/>
      <c r="J84" s="713"/>
      <c r="K84" s="731"/>
      <c r="L84" s="731"/>
      <c r="M84" s="731"/>
      <c r="N84" s="731"/>
      <c r="O84" s="731"/>
      <c r="P84" s="731"/>
      <c r="Q84" s="731"/>
      <c r="R84" s="708"/>
    </row>
    <row r="85" spans="2:18" s="732" customFormat="1" ht="13.2" hidden="1" x14ac:dyDescent="0.25">
      <c r="B85" s="708"/>
      <c r="C85" s="708"/>
      <c r="G85" s="713"/>
      <c r="H85" s="713"/>
      <c r="I85" s="713"/>
      <c r="J85" s="713"/>
      <c r="K85" s="731"/>
      <c r="L85" s="731"/>
      <c r="M85" s="731"/>
      <c r="N85" s="731"/>
      <c r="O85" s="731"/>
      <c r="P85" s="731"/>
      <c r="Q85" s="731"/>
      <c r="R85" s="708"/>
    </row>
    <row r="86" spans="2:18" s="732" customFormat="1" ht="13.2" hidden="1" x14ac:dyDescent="0.25">
      <c r="B86" s="733"/>
      <c r="G86" s="708"/>
      <c r="H86" s="708"/>
      <c r="I86" s="708"/>
      <c r="J86" s="708"/>
      <c r="K86" s="731"/>
      <c r="L86" s="731"/>
      <c r="M86" s="731"/>
      <c r="N86" s="731"/>
      <c r="O86" s="731"/>
      <c r="P86" s="731"/>
      <c r="Q86" s="731"/>
      <c r="R86" s="708"/>
    </row>
    <row r="87" spans="2:18" s="732" customFormat="1" ht="13.2" hidden="1" x14ac:dyDescent="0.25">
      <c r="B87" s="708"/>
      <c r="C87" s="708"/>
      <c r="G87" s="713"/>
      <c r="H87" s="713"/>
      <c r="I87" s="713"/>
      <c r="J87" s="713"/>
      <c r="K87" s="731"/>
      <c r="L87" s="731"/>
      <c r="M87" s="731"/>
      <c r="N87" s="731"/>
      <c r="O87" s="731"/>
      <c r="P87" s="731"/>
      <c r="Q87" s="731"/>
      <c r="R87" s="708"/>
    </row>
    <row r="88" spans="2:18" s="732" customFormat="1" ht="13.2" hidden="1" x14ac:dyDescent="0.25">
      <c r="B88" s="708"/>
      <c r="C88" s="708"/>
      <c r="G88" s="713"/>
      <c r="H88" s="713"/>
      <c r="I88" s="713"/>
      <c r="J88" s="713"/>
      <c r="K88" s="734"/>
      <c r="L88" s="734"/>
      <c r="M88" s="734"/>
      <c r="N88" s="734"/>
      <c r="O88" s="734"/>
      <c r="P88" s="734"/>
      <c r="Q88" s="734"/>
      <c r="R88" s="708"/>
    </row>
    <row r="89" spans="2:18" s="732" customFormat="1" ht="13.2" hidden="1" x14ac:dyDescent="0.25">
      <c r="B89" s="733"/>
      <c r="C89" s="708"/>
      <c r="G89" s="713"/>
      <c r="H89" s="713"/>
      <c r="I89" s="713"/>
      <c r="J89" s="713"/>
      <c r="K89" s="708"/>
      <c r="L89" s="708"/>
      <c r="M89" s="708"/>
      <c r="N89" s="708"/>
      <c r="O89" s="708"/>
      <c r="P89" s="708"/>
      <c r="Q89" s="708"/>
      <c r="R89" s="708"/>
    </row>
    <row r="90" spans="2:18" s="732" customFormat="1" ht="13.2" hidden="1" x14ac:dyDescent="0.25">
      <c r="B90" s="708"/>
      <c r="C90" s="708"/>
      <c r="G90" s="713"/>
      <c r="H90" s="713"/>
      <c r="I90" s="713"/>
      <c r="J90" s="713"/>
      <c r="K90" s="731"/>
      <c r="L90" s="731"/>
      <c r="M90" s="731"/>
      <c r="N90" s="731"/>
      <c r="O90" s="731"/>
      <c r="P90" s="731"/>
      <c r="Q90" s="731"/>
      <c r="R90" s="708"/>
    </row>
    <row r="91" spans="2:18" ht="13.2" hidden="1" x14ac:dyDescent="0.25"/>
    <row r="92" spans="2:18" ht="13.2" hidden="1" x14ac:dyDescent="0.25"/>
    <row r="93" spans="2:18" ht="13.2" hidden="1" x14ac:dyDescent="0.25"/>
    <row r="94" spans="2:18" ht="13.2" hidden="1" x14ac:dyDescent="0.25"/>
    <row r="95" spans="2:18" ht="13.2" hidden="1" x14ac:dyDescent="0.25"/>
    <row r="96" spans="2:18" ht="13.2" hidden="1" x14ac:dyDescent="0.25"/>
    <row r="97" ht="13.2" hidden="1" x14ac:dyDescent="0.25"/>
    <row r="98" ht="13.2" hidden="1" x14ac:dyDescent="0.25"/>
    <row r="99" ht="13.2" hidden="1" x14ac:dyDescent="0.25"/>
    <row r="100" ht="13.2" hidden="1" x14ac:dyDescent="0.25"/>
    <row r="101" ht="13.2" hidden="1" x14ac:dyDescent="0.25"/>
    <row r="102" ht="13.2" hidden="1" x14ac:dyDescent="0.25"/>
    <row r="103" ht="13.2" hidden="1" x14ac:dyDescent="0.25"/>
    <row r="104" ht="13.2" hidden="1" x14ac:dyDescent="0.25"/>
    <row r="105" ht="13.2" hidden="1" x14ac:dyDescent="0.25"/>
    <row r="106" ht="13.2" hidden="1" x14ac:dyDescent="0.25"/>
    <row r="107" ht="13.2" hidden="1" x14ac:dyDescent="0.25"/>
    <row r="108" ht="13.2" hidden="1" x14ac:dyDescent="0.25"/>
    <row r="109" ht="13.2" hidden="1" x14ac:dyDescent="0.25"/>
    <row r="110" ht="13.2" hidden="1" x14ac:dyDescent="0.25"/>
    <row r="111" ht="13.2" hidden="1" x14ac:dyDescent="0.25"/>
    <row r="112" ht="13.2" hidden="1" x14ac:dyDescent="0.25"/>
    <row r="113" ht="13.2" hidden="1" x14ac:dyDescent="0.25"/>
    <row r="114" ht="13.2" hidden="1" x14ac:dyDescent="0.25"/>
    <row r="115" ht="13.2" hidden="1" x14ac:dyDescent="0.25"/>
    <row r="116" ht="13.2" hidden="1" x14ac:dyDescent="0.25"/>
    <row r="117" ht="13.2" hidden="1" x14ac:dyDescent="0.25"/>
    <row r="118" ht="13.2" hidden="1" x14ac:dyDescent="0.25"/>
    <row r="119" ht="13.2" hidden="1" x14ac:dyDescent="0.25"/>
    <row r="120" ht="13.2" hidden="1" x14ac:dyDescent="0.25"/>
    <row r="121" ht="13.2" hidden="1" x14ac:dyDescent="0.25"/>
    <row r="122" ht="13.2" hidden="1" x14ac:dyDescent="0.25"/>
    <row r="123" ht="13.2" hidden="1" x14ac:dyDescent="0.25"/>
    <row r="124" ht="13.2" hidden="1" x14ac:dyDescent="0.25"/>
    <row r="125" ht="13.2" hidden="1" x14ac:dyDescent="0.25"/>
    <row r="126" ht="13.2" hidden="1" x14ac:dyDescent="0.25"/>
    <row r="127" ht="13.2" hidden="1" x14ac:dyDescent="0.25"/>
    <row r="128" ht="13.2" hidden="1" x14ac:dyDescent="0.25"/>
    <row r="129" ht="13.2" hidden="1" x14ac:dyDescent="0.25"/>
    <row r="130" ht="13.2" hidden="1" x14ac:dyDescent="0.25"/>
    <row r="131" ht="13.2" hidden="1" x14ac:dyDescent="0.25"/>
    <row r="132" ht="13.2" hidden="1" x14ac:dyDescent="0.25"/>
    <row r="133" ht="13.2" hidden="1" x14ac:dyDescent="0.25"/>
    <row r="134" ht="13.2" hidden="1" x14ac:dyDescent="0.25"/>
    <row r="135" ht="13.2" hidden="1" x14ac:dyDescent="0.25"/>
    <row r="136" ht="13.2" hidden="1" x14ac:dyDescent="0.25"/>
    <row r="137" ht="13.2" hidden="1" x14ac:dyDescent="0.25"/>
    <row r="138" ht="13.2" hidden="1" x14ac:dyDescent="0.25"/>
    <row r="139" ht="13.2" hidden="1" x14ac:dyDescent="0.25"/>
    <row r="140" ht="13.2" hidden="1" x14ac:dyDescent="0.25"/>
    <row r="141" ht="13.2" hidden="1" x14ac:dyDescent="0.25"/>
    <row r="142" ht="13.2" hidden="1" x14ac:dyDescent="0.25"/>
    <row r="143" ht="13.2" hidden="1" x14ac:dyDescent="0.25"/>
    <row r="144" ht="13.2" hidden="1" x14ac:dyDescent="0.25"/>
    <row r="145" ht="13.2" hidden="1" x14ac:dyDescent="0.25"/>
    <row r="146" ht="13.2" hidden="1" x14ac:dyDescent="0.25"/>
    <row r="147" ht="13.2" hidden="1" x14ac:dyDescent="0.25"/>
    <row r="148" ht="13.2" hidden="1" x14ac:dyDescent="0.25"/>
    <row r="149" ht="13.2" hidden="1" x14ac:dyDescent="0.25"/>
    <row r="150" ht="13.2" hidden="1" x14ac:dyDescent="0.25"/>
    <row r="151" ht="13.2" hidden="1" x14ac:dyDescent="0.25"/>
    <row r="152" ht="13.2" hidden="1" x14ac:dyDescent="0.25"/>
    <row r="153" ht="13.2" hidden="1" x14ac:dyDescent="0.25"/>
    <row r="154" ht="13.2" hidden="1" x14ac:dyDescent="0.25"/>
    <row r="155" ht="13.2" hidden="1" x14ac:dyDescent="0.25"/>
    <row r="156" ht="13.2" hidden="1" x14ac:dyDescent="0.25"/>
    <row r="157" ht="13.2" hidden="1" x14ac:dyDescent="0.25"/>
    <row r="158" ht="13.2" hidden="1" x14ac:dyDescent="0.25"/>
    <row r="159" ht="13.2" hidden="1" x14ac:dyDescent="0.25"/>
    <row r="160" ht="13.2" hidden="1" x14ac:dyDescent="0.25"/>
    <row r="161" ht="13.2" hidden="1" x14ac:dyDescent="0.25"/>
    <row r="162" ht="13.2" hidden="1" x14ac:dyDescent="0.25"/>
    <row r="163" ht="13.2" hidden="1" x14ac:dyDescent="0.25"/>
    <row r="164" ht="13.2" hidden="1" x14ac:dyDescent="0.25"/>
    <row r="165" ht="13.2" hidden="1" x14ac:dyDescent="0.25"/>
    <row r="166" ht="13.2" hidden="1" x14ac:dyDescent="0.25"/>
    <row r="167" ht="13.2" hidden="1" x14ac:dyDescent="0.25"/>
    <row r="168" ht="13.2" hidden="1" x14ac:dyDescent="0.25"/>
    <row r="169" ht="13.2" hidden="1" x14ac:dyDescent="0.25"/>
    <row r="170" ht="13.2" hidden="1" x14ac:dyDescent="0.25"/>
    <row r="171" ht="13.2" hidden="1" x14ac:dyDescent="0.25"/>
    <row r="172" ht="13.2" hidden="1" x14ac:dyDescent="0.25"/>
    <row r="173" ht="13.2" hidden="1" x14ac:dyDescent="0.25"/>
    <row r="174" ht="13.2" hidden="1" x14ac:dyDescent="0.25"/>
    <row r="175" ht="13.2" hidden="1" x14ac:dyDescent="0.25"/>
    <row r="176" ht="13.2" hidden="1" x14ac:dyDescent="0.25"/>
    <row r="177" ht="13.2" hidden="1" x14ac:dyDescent="0.25"/>
    <row r="178" ht="13.2" hidden="1" x14ac:dyDescent="0.25"/>
    <row r="179" ht="13.2" hidden="1" x14ac:dyDescent="0.25"/>
    <row r="180" ht="13.2" hidden="1" x14ac:dyDescent="0.25"/>
    <row r="181" ht="13.2" hidden="1" x14ac:dyDescent="0.25"/>
    <row r="182" ht="13.2" hidden="1" x14ac:dyDescent="0.25"/>
    <row r="183" ht="13.2" hidden="1" x14ac:dyDescent="0.25"/>
    <row r="184" ht="13.2" hidden="1" x14ac:dyDescent="0.25"/>
    <row r="185" ht="13.2" hidden="1" x14ac:dyDescent="0.25"/>
    <row r="186" ht="13.2" hidden="1" x14ac:dyDescent="0.25"/>
    <row r="187" ht="13.2" hidden="1" x14ac:dyDescent="0.25"/>
    <row r="188" ht="13.2" hidden="1" x14ac:dyDescent="0.25"/>
    <row r="189" ht="13.2" hidden="1" x14ac:dyDescent="0.25"/>
    <row r="190" ht="13.2" hidden="1" x14ac:dyDescent="0.25"/>
    <row r="191" ht="13.2" hidden="1" x14ac:dyDescent="0.25"/>
    <row r="192" ht="13.2" hidden="1" x14ac:dyDescent="0.25"/>
    <row r="193" ht="13.2" hidden="1" x14ac:dyDescent="0.25"/>
    <row r="194" ht="13.2" hidden="1" x14ac:dyDescent="0.25"/>
    <row r="195" ht="13.2" hidden="1" x14ac:dyDescent="0.25"/>
    <row r="196" ht="13.2" hidden="1" x14ac:dyDescent="0.25"/>
    <row r="197" ht="13.2" hidden="1" x14ac:dyDescent="0.25"/>
    <row r="198" ht="13.2" hidden="1" x14ac:dyDescent="0.25"/>
    <row r="199" ht="13.2" hidden="1" x14ac:dyDescent="0.25"/>
    <row r="200" ht="13.2" hidden="1" x14ac:dyDescent="0.25"/>
    <row r="201" ht="13.2" hidden="1" x14ac:dyDescent="0.25"/>
    <row r="202" ht="13.2" hidden="1" x14ac:dyDescent="0.25"/>
    <row r="203" ht="13.2" hidden="1" x14ac:dyDescent="0.25"/>
    <row r="204" ht="13.2" hidden="1" x14ac:dyDescent="0.25"/>
    <row r="205" ht="13.2" hidden="1" x14ac:dyDescent="0.25"/>
    <row r="206" ht="13.2" hidden="1" x14ac:dyDescent="0.25"/>
    <row r="207" ht="13.2" hidden="1" x14ac:dyDescent="0.25"/>
    <row r="208" ht="13.2" hidden="1" x14ac:dyDescent="0.25"/>
    <row r="209" ht="13.2" hidden="1" x14ac:dyDescent="0.25"/>
    <row r="210" ht="13.2" hidden="1" x14ac:dyDescent="0.25"/>
    <row r="211" ht="13.2" hidden="1" x14ac:dyDescent="0.25"/>
    <row r="212" ht="13.2" hidden="1" x14ac:dyDescent="0.25"/>
    <row r="213" ht="13.2" hidden="1" x14ac:dyDescent="0.25"/>
    <row r="214" ht="13.2" hidden="1" x14ac:dyDescent="0.25"/>
    <row r="215" ht="13.2" hidden="1" x14ac:dyDescent="0.25"/>
    <row r="216" ht="13.2" hidden="1" x14ac:dyDescent="0.25"/>
    <row r="217" ht="13.2" hidden="1" x14ac:dyDescent="0.25"/>
    <row r="218" ht="13.2" hidden="1" x14ac:dyDescent="0.25"/>
    <row r="219" ht="13.2" hidden="1" x14ac:dyDescent="0.25"/>
    <row r="220" ht="13.2" hidden="1" x14ac:dyDescent="0.25"/>
    <row r="221" ht="13.2" hidden="1" x14ac:dyDescent="0.25"/>
    <row r="222" ht="13.2" hidden="1" x14ac:dyDescent="0.25"/>
    <row r="223" ht="13.2" hidden="1" x14ac:dyDescent="0.25"/>
    <row r="224" ht="13.2" hidden="1" x14ac:dyDescent="0.25"/>
    <row r="225" ht="13.2" hidden="1" x14ac:dyDescent="0.25"/>
    <row r="226" ht="13.2" hidden="1" x14ac:dyDescent="0.25"/>
    <row r="227" ht="13.2" hidden="1" x14ac:dyDescent="0.25"/>
    <row r="228" ht="13.2" hidden="1" x14ac:dyDescent="0.25"/>
    <row r="229" ht="13.2" hidden="1" x14ac:dyDescent="0.25"/>
    <row r="230" ht="13.2" hidden="1" x14ac:dyDescent="0.25"/>
    <row r="231" ht="13.2" hidden="1" x14ac:dyDescent="0.25"/>
    <row r="232" ht="13.2" hidden="1" x14ac:dyDescent="0.25"/>
    <row r="233" ht="13.2" hidden="1" x14ac:dyDescent="0.25"/>
    <row r="234" ht="13.2" hidden="1" x14ac:dyDescent="0.25"/>
    <row r="235" ht="13.2" hidden="1" x14ac:dyDescent="0.25"/>
    <row r="236" ht="13.2" hidden="1" x14ac:dyDescent="0.25"/>
    <row r="237" ht="13.2" hidden="1" x14ac:dyDescent="0.25"/>
    <row r="238" ht="13.2" hidden="1" x14ac:dyDescent="0.25"/>
    <row r="239" ht="13.2" hidden="1" x14ac:dyDescent="0.25"/>
    <row r="240" ht="13.2" hidden="1" x14ac:dyDescent="0.25"/>
    <row r="241" ht="13.2" hidden="1" x14ac:dyDescent="0.25"/>
    <row r="242" ht="13.2" hidden="1" x14ac:dyDescent="0.25"/>
    <row r="243" ht="13.2" hidden="1" x14ac:dyDescent="0.25"/>
    <row r="244" ht="13.2" hidden="1" x14ac:dyDescent="0.25"/>
    <row r="245" ht="13.2" hidden="1" x14ac:dyDescent="0.25"/>
    <row r="246" ht="13.2" hidden="1" x14ac:dyDescent="0.25"/>
    <row r="247" ht="13.2" hidden="1" x14ac:dyDescent="0.25"/>
    <row r="248" ht="13.2" hidden="1" x14ac:dyDescent="0.25"/>
    <row r="249" ht="13.2" hidden="1" x14ac:dyDescent="0.25"/>
    <row r="250" ht="13.2" hidden="1" x14ac:dyDescent="0.25"/>
    <row r="251" ht="13.2" hidden="1" x14ac:dyDescent="0.25"/>
    <row r="252" ht="13.2" hidden="1" x14ac:dyDescent="0.25"/>
    <row r="253" ht="13.2" hidden="1" x14ac:dyDescent="0.25"/>
    <row r="254" ht="13.2" hidden="1" x14ac:dyDescent="0.25"/>
    <row r="255" ht="13.2" hidden="1" x14ac:dyDescent="0.25"/>
    <row r="256" ht="13.2" hidden="1" x14ac:dyDescent="0.25"/>
    <row r="257" ht="13.2" hidden="1" x14ac:dyDescent="0.25"/>
    <row r="258" ht="13.2" hidden="1" x14ac:dyDescent="0.25"/>
    <row r="259" ht="13.2" hidden="1" x14ac:dyDescent="0.25"/>
    <row r="260" ht="13.2" hidden="1" x14ac:dyDescent="0.25"/>
    <row r="261" ht="13.2" hidden="1" x14ac:dyDescent="0.25"/>
    <row r="262" ht="13.2" hidden="1" x14ac:dyDescent="0.25"/>
    <row r="263" ht="13.2" hidden="1" x14ac:dyDescent="0.25"/>
    <row r="264" ht="13.2" hidden="1" x14ac:dyDescent="0.25"/>
    <row r="265" ht="13.2" hidden="1" x14ac:dyDescent="0.25"/>
    <row r="266" ht="13.2" hidden="1" x14ac:dyDescent="0.25"/>
    <row r="267" ht="13.2" hidden="1" x14ac:dyDescent="0.25"/>
    <row r="268" ht="13.2" hidden="1" x14ac:dyDescent="0.25"/>
    <row r="269" ht="13.2" hidden="1" x14ac:dyDescent="0.25"/>
    <row r="270" ht="13.2" hidden="1" x14ac:dyDescent="0.25"/>
    <row r="271" ht="13.2" hidden="1" x14ac:dyDescent="0.25"/>
    <row r="272" ht="13.2" hidden="1" x14ac:dyDescent="0.25"/>
    <row r="273" ht="13.2" hidden="1" x14ac:dyDescent="0.25"/>
    <row r="274" ht="13.2" hidden="1" x14ac:dyDescent="0.25"/>
    <row r="275" ht="13.2" hidden="1" x14ac:dyDescent="0.25"/>
    <row r="276" ht="13.2" hidden="1" x14ac:dyDescent="0.25"/>
    <row r="277" ht="13.2" hidden="1" x14ac:dyDescent="0.25"/>
    <row r="278" ht="13.2" hidden="1" x14ac:dyDescent="0.25"/>
    <row r="279" ht="13.2" hidden="1" x14ac:dyDescent="0.25"/>
    <row r="280" ht="13.2" hidden="1" x14ac:dyDescent="0.25"/>
    <row r="281" ht="13.2" hidden="1" x14ac:dyDescent="0.25"/>
    <row r="282" ht="13.2" hidden="1" x14ac:dyDescent="0.25"/>
    <row r="283" ht="13.2" hidden="1" x14ac:dyDescent="0.25"/>
    <row r="284" ht="13.2" hidden="1" x14ac:dyDescent="0.25"/>
    <row r="285" ht="13.2" hidden="1" x14ac:dyDescent="0.25"/>
    <row r="286" ht="13.2" hidden="1" x14ac:dyDescent="0.25"/>
    <row r="287" ht="13.2" hidden="1" x14ac:dyDescent="0.25"/>
    <row r="288" ht="13.2" hidden="1" x14ac:dyDescent="0.25"/>
    <row r="289" ht="13.2" hidden="1" x14ac:dyDescent="0.25"/>
    <row r="290" ht="13.2" hidden="1" x14ac:dyDescent="0.25"/>
    <row r="291" ht="13.2" hidden="1" x14ac:dyDescent="0.25"/>
    <row r="292" ht="13.2" hidden="1" x14ac:dyDescent="0.25"/>
    <row r="293" ht="13.2" hidden="1" x14ac:dyDescent="0.25"/>
    <row r="294" ht="13.2" hidden="1" x14ac:dyDescent="0.25"/>
    <row r="295" ht="13.2" hidden="1" x14ac:dyDescent="0.25"/>
    <row r="296" ht="13.2" hidden="1" x14ac:dyDescent="0.25"/>
    <row r="297" ht="13.2" hidden="1" x14ac:dyDescent="0.25"/>
    <row r="298" ht="13.2" hidden="1" x14ac:dyDescent="0.25"/>
    <row r="299" ht="13.2" hidden="1" x14ac:dyDescent="0.25"/>
    <row r="300" ht="13.2" hidden="1" x14ac:dyDescent="0.25"/>
    <row r="301" ht="13.2" hidden="1" x14ac:dyDescent="0.25"/>
    <row r="302" ht="13.2" hidden="1" x14ac:dyDescent="0.25"/>
    <row r="303" ht="13.2" hidden="1" x14ac:dyDescent="0.25"/>
    <row r="304" ht="13.2" hidden="1" x14ac:dyDescent="0.25"/>
    <row r="305" ht="13.2" hidden="1" x14ac:dyDescent="0.25"/>
    <row r="306" ht="13.2" hidden="1" x14ac:dyDescent="0.25"/>
    <row r="307" ht="13.2" hidden="1" x14ac:dyDescent="0.25"/>
    <row r="308" ht="13.2" hidden="1" x14ac:dyDescent="0.25"/>
    <row r="309" ht="13.2" hidden="1" x14ac:dyDescent="0.25"/>
    <row r="310" ht="12.75" hidden="1" customHeight="1" x14ac:dyDescent="0.25"/>
    <row r="311" ht="12.75" hidden="1" customHeight="1" x14ac:dyDescent="0.25"/>
    <row r="312" ht="12.75" hidden="1" customHeight="1" x14ac:dyDescent="0.25"/>
    <row r="313" ht="12.75" hidden="1" customHeight="1" x14ac:dyDescent="0.25"/>
    <row r="314" ht="12.75" hidden="1" customHeight="1" x14ac:dyDescent="0.25"/>
    <row r="315" ht="12.75" hidden="1" customHeight="1" x14ac:dyDescent="0.25"/>
    <row r="316" ht="12.75" hidden="1" customHeight="1" x14ac:dyDescent="0.25"/>
    <row r="317" ht="12.75" hidden="1" customHeight="1" x14ac:dyDescent="0.25"/>
    <row r="318" ht="12.75" hidden="1" customHeight="1" x14ac:dyDescent="0.25"/>
    <row r="319" ht="12.75" hidden="1" customHeight="1" x14ac:dyDescent="0.25"/>
    <row r="320" ht="12.75" hidden="1" customHeight="1" x14ac:dyDescent="0.25"/>
    <row r="321" ht="12.75" hidden="1" customHeight="1" x14ac:dyDescent="0.25"/>
    <row r="322" ht="12.75" hidden="1" customHeight="1" x14ac:dyDescent="0.25"/>
    <row r="323" ht="12.75" hidden="1" customHeight="1" x14ac:dyDescent="0.25"/>
    <row r="324" ht="12.75" hidden="1" customHeight="1" x14ac:dyDescent="0.25"/>
    <row r="325" ht="12.75" hidden="1" customHeight="1" x14ac:dyDescent="0.25"/>
    <row r="326" ht="12.75" hidden="1" customHeight="1" x14ac:dyDescent="0.25"/>
    <row r="327" ht="12.75" hidden="1" customHeight="1" x14ac:dyDescent="0.25"/>
    <row r="328" ht="12.75" hidden="1" customHeight="1" x14ac:dyDescent="0.25"/>
    <row r="329" ht="12.75" hidden="1" customHeight="1" x14ac:dyDescent="0.25"/>
    <row r="330" ht="12.75" hidden="1" customHeight="1" x14ac:dyDescent="0.25"/>
    <row r="331" ht="12.75" hidden="1" customHeight="1" x14ac:dyDescent="0.25"/>
    <row r="332" ht="12.75" customHeight="1" x14ac:dyDescent="0.25"/>
    <row r="333" ht="12.75" customHeight="1" x14ac:dyDescent="0.25"/>
  </sheetData>
  <mergeCells count="4">
    <mergeCell ref="H8:I8"/>
    <mergeCell ref="H7:I7"/>
    <mergeCell ref="H6:I6"/>
    <mergeCell ref="H9:I9"/>
  </mergeCells>
  <hyperlinks>
    <hyperlink ref="B19" r:id="rId1"/>
  </hyperlinks>
  <pageMargins left="0.42" right="0.5" top="0.75" bottom="0.75" header="0.5" footer="0.5"/>
  <pageSetup scale="62" orientation="landscape" horizontalDpi="300" verticalDpi="300"/>
  <headerFooter alignWithMargins="0">
    <oddFooter>&amp;L&amp;A&amp;R&amp;P of &amp;N</oddFooter>
  </headerFooter>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7"/>
  <sheetViews>
    <sheetView showGridLines="0" zoomScale="85" zoomScaleNormal="85" zoomScalePageLayoutView="85" workbookViewId="0"/>
  </sheetViews>
  <sheetFormatPr defaultColWidth="0" defaultRowHeight="13.2" zeroHeight="1" x14ac:dyDescent="0.25"/>
  <cols>
    <col min="1" max="2" width="2.44140625" style="57" customWidth="1"/>
    <col min="3" max="3" width="8" style="57" customWidth="1"/>
    <col min="4" max="4" width="9.6640625" style="57" bestFit="1" customWidth="1"/>
    <col min="5" max="22" width="9.109375" style="57" customWidth="1"/>
    <col min="23" max="23" width="1.6640625" style="57" customWidth="1"/>
    <col min="24" max="29" width="1.6640625" style="57" hidden="1" customWidth="1"/>
    <col min="30" max="16384" width="0" style="57" hidden="1"/>
  </cols>
  <sheetData>
    <row r="1" spans="1:22" x14ac:dyDescent="0.25">
      <c r="A1" s="707" t="s">
        <v>630</v>
      </c>
      <c r="B1" s="788"/>
    </row>
    <row r="2" spans="1:22" x14ac:dyDescent="0.25">
      <c r="A2" s="788"/>
      <c r="B2" s="788"/>
    </row>
    <row r="3" spans="1:22" x14ac:dyDescent="0.25">
      <c r="A3" s="789" t="s">
        <v>582</v>
      </c>
      <c r="B3" s="789"/>
      <c r="C3" s="789"/>
      <c r="D3" s="789"/>
      <c r="E3" s="789"/>
      <c r="F3" s="789"/>
      <c r="G3" s="789"/>
      <c r="H3" s="789"/>
      <c r="I3" s="789"/>
      <c r="J3" s="789"/>
      <c r="K3" s="789"/>
      <c r="L3" s="800"/>
      <c r="M3" s="800"/>
      <c r="N3" s="790"/>
      <c r="O3" s="790"/>
      <c r="P3" s="800"/>
      <c r="Q3" s="800"/>
      <c r="R3" s="800"/>
      <c r="S3" s="800"/>
      <c r="T3" s="800"/>
      <c r="U3" s="800"/>
      <c r="V3" s="800"/>
    </row>
    <row r="4" spans="1:22" s="146" customFormat="1" ht="3" customHeight="1" x14ac:dyDescent="0.25">
      <c r="R4" s="793"/>
      <c r="S4" s="793"/>
      <c r="T4" s="793"/>
    </row>
    <row r="5" spans="1:22" s="146" customFormat="1" ht="12.75" customHeight="1" x14ac:dyDescent="0.25">
      <c r="R5" s="793"/>
      <c r="S5" s="793"/>
      <c r="T5" s="793"/>
    </row>
    <row r="6" spans="1:22" s="146" customFormat="1" ht="12.75" customHeight="1" x14ac:dyDescent="0.25">
      <c r="B6" s="146" t="s">
        <v>195</v>
      </c>
      <c r="U6" s="801"/>
    </row>
    <row r="7" spans="1:22" s="146" customFormat="1" ht="12.75" customHeight="1" x14ac:dyDescent="0.25">
      <c r="C7" s="146" t="s">
        <v>337</v>
      </c>
      <c r="U7" s="802"/>
    </row>
    <row r="8" spans="1:22" s="146" customFormat="1" ht="12.75" customHeight="1" x14ac:dyDescent="0.25">
      <c r="C8" s="146" t="s">
        <v>338</v>
      </c>
      <c r="R8" s="146">
        <v>0.8</v>
      </c>
      <c r="U8" s="802"/>
    </row>
    <row r="9" spans="1:22" s="146" customFormat="1" ht="12.75" customHeight="1" x14ac:dyDescent="0.25">
      <c r="U9" s="801"/>
    </row>
    <row r="10" spans="1:22" s="146" customFormat="1" x14ac:dyDescent="0.25">
      <c r="R10" s="793"/>
      <c r="S10" s="793"/>
      <c r="T10" s="793"/>
    </row>
    <row r="11" spans="1:22" x14ac:dyDescent="0.25">
      <c r="A11" s="791" t="s">
        <v>266</v>
      </c>
      <c r="B11" s="791"/>
      <c r="C11" s="791"/>
      <c r="D11" s="791"/>
      <c r="E11" s="791"/>
      <c r="F11" s="791"/>
      <c r="G11" s="791"/>
      <c r="H11" s="791"/>
      <c r="I11" s="791"/>
      <c r="J11" s="791"/>
      <c r="K11" s="794"/>
      <c r="L11" s="792"/>
      <c r="M11" s="792"/>
      <c r="N11" s="792"/>
      <c r="O11" s="792"/>
      <c r="P11" s="792"/>
      <c r="Q11" s="792"/>
      <c r="R11" s="792"/>
      <c r="S11" s="792"/>
      <c r="T11" s="792"/>
      <c r="U11" s="792"/>
      <c r="V11" s="792"/>
    </row>
    <row r="12" spans="1:22" x14ac:dyDescent="0.25"/>
    <row r="13" spans="1:22" x14ac:dyDescent="0.25">
      <c r="E13" s="1693" t="s">
        <v>158</v>
      </c>
      <c r="F13" s="1914"/>
      <c r="G13" s="1914"/>
      <c r="H13" s="1914"/>
      <c r="I13" s="1914"/>
      <c r="J13" s="1694"/>
      <c r="K13" s="1693" t="s">
        <v>159</v>
      </c>
      <c r="L13" s="1914"/>
      <c r="M13" s="1914"/>
      <c r="N13" s="1914"/>
      <c r="O13" s="1914"/>
      <c r="P13" s="1694"/>
      <c r="Q13" s="2074" t="s">
        <v>174</v>
      </c>
      <c r="R13" s="2075"/>
      <c r="S13" s="2075"/>
      <c r="T13" s="2075"/>
      <c r="U13" s="2075"/>
      <c r="V13" s="2076"/>
    </row>
    <row r="14" spans="1:22" ht="39.6" x14ac:dyDescent="0.25">
      <c r="C14" s="997" t="s">
        <v>91</v>
      </c>
      <c r="D14" s="997" t="s">
        <v>58</v>
      </c>
      <c r="E14" s="998" t="s">
        <v>92</v>
      </c>
      <c r="F14" s="999" t="s">
        <v>95</v>
      </c>
      <c r="G14" s="1000" t="s">
        <v>31</v>
      </c>
      <c r="H14" s="1001" t="s">
        <v>93</v>
      </c>
      <c r="I14" s="1002" t="s">
        <v>94</v>
      </c>
      <c r="J14" s="1003" t="s">
        <v>334</v>
      </c>
      <c r="K14" s="998" t="s">
        <v>92</v>
      </c>
      <c r="L14" s="999" t="s">
        <v>95</v>
      </c>
      <c r="M14" s="1000" t="s">
        <v>31</v>
      </c>
      <c r="N14" s="1001" t="s">
        <v>93</v>
      </c>
      <c r="O14" s="1002" t="s">
        <v>94</v>
      </c>
      <c r="P14" s="1003" t="s">
        <v>334</v>
      </c>
      <c r="Q14" s="998" t="s">
        <v>92</v>
      </c>
      <c r="R14" s="999" t="s">
        <v>95</v>
      </c>
      <c r="S14" s="1000" t="s">
        <v>31</v>
      </c>
      <c r="T14" s="1001" t="s">
        <v>93</v>
      </c>
      <c r="U14" s="1002" t="s">
        <v>94</v>
      </c>
      <c r="V14" s="1003" t="s">
        <v>334</v>
      </c>
    </row>
    <row r="15" spans="1:22" x14ac:dyDescent="0.25">
      <c r="C15" s="1004"/>
      <c r="D15" s="1004"/>
      <c r="E15" s="1005"/>
      <c r="F15" s="1006"/>
      <c r="G15" s="1007"/>
      <c r="H15" s="1008"/>
      <c r="I15" s="1009"/>
      <c r="J15" s="1010"/>
      <c r="K15" s="1005"/>
      <c r="L15" s="1006"/>
      <c r="M15" s="1007"/>
      <c r="N15" s="1008"/>
      <c r="O15" s="1009"/>
      <c r="P15" s="1011"/>
      <c r="Q15" s="1005"/>
      <c r="R15" s="1006"/>
      <c r="S15" s="1007"/>
      <c r="T15" s="1008"/>
      <c r="U15" s="1009"/>
      <c r="V15" s="1010"/>
    </row>
    <row r="16" spans="1:22" ht="12.75" x14ac:dyDescent="0.2">
      <c r="C16" s="1012"/>
      <c r="D16" s="1012"/>
      <c r="E16" s="1013"/>
      <c r="F16" s="1014"/>
      <c r="G16" s="1015"/>
      <c r="H16" s="1016"/>
      <c r="I16" s="1017"/>
      <c r="J16" s="1010"/>
      <c r="K16" s="1013"/>
      <c r="L16" s="1014"/>
      <c r="M16" s="1015"/>
      <c r="N16" s="1016"/>
      <c r="O16" s="1017"/>
      <c r="P16" s="1018"/>
      <c r="Q16" s="1020" t="s">
        <v>437</v>
      </c>
      <c r="R16" s="1014"/>
      <c r="S16" s="1015"/>
      <c r="T16" s="1016"/>
      <c r="U16" s="1017"/>
      <c r="V16" s="1010"/>
    </row>
    <row r="17" spans="3:22" ht="12.75" x14ac:dyDescent="0.2">
      <c r="C17" s="1019">
        <v>1</v>
      </c>
      <c r="D17" s="1019">
        <v>2014</v>
      </c>
      <c r="E17" s="1020">
        <v>12.84051251593011</v>
      </c>
      <c r="F17" s="1021">
        <v>11.693231398016538</v>
      </c>
      <c r="G17" s="1022">
        <v>0</v>
      </c>
      <c r="H17" s="1023">
        <v>81.367551370241216</v>
      </c>
      <c r="I17" s="1024">
        <v>57.095034246827481</v>
      </c>
      <c r="J17" s="1025">
        <v>0</v>
      </c>
      <c r="K17" s="1020">
        <f>'II. Inputs, Baseline Energy Mix'!$N$101*'IX. Additional Data'!C17+'II. Inputs, Baseline Energy Mix'!$N$102</f>
        <v>0</v>
      </c>
      <c r="L17" s="1021">
        <f>'II. Inputs, Baseline Energy Mix'!$O$101*'IX. Additional Data'!C17+'II. Inputs, Baseline Energy Mix'!$O$102</f>
        <v>0</v>
      </c>
      <c r="M17" s="1022">
        <f>'II. Inputs, Baseline Energy Mix'!$P$101*'IX. Additional Data'!C17+'II. Inputs, Baseline Energy Mix'!$P$102</f>
        <v>0</v>
      </c>
      <c r="N17" s="1023">
        <f>'II. Inputs, Baseline Energy Mix'!$Q$101*'IX. Additional Data'!C17+'II. Inputs, Baseline Energy Mix'!$Q$102</f>
        <v>0</v>
      </c>
      <c r="O17" s="1024">
        <f>'II. Inputs, Baseline Energy Mix'!$R$101*'IX. Additional Data'!C17+'II. Inputs, Baseline Energy Mix'!$R$102</f>
        <v>0</v>
      </c>
      <c r="P17" s="1026">
        <f>'II. Inputs, Baseline Energy Mix'!$S$101*'IX. Additional Data'!C17+'II. Inputs, Baseline Energy Mix'!$S$102</f>
        <v>0</v>
      </c>
      <c r="Q17" s="1480">
        <v>20.26870163370593</v>
      </c>
      <c r="R17" s="1481">
        <v>22</v>
      </c>
      <c r="S17" s="1482">
        <v>0</v>
      </c>
      <c r="T17" s="1483">
        <v>83.175102740482444</v>
      </c>
      <c r="U17" s="1484">
        <v>58.300068493654962</v>
      </c>
      <c r="V17" s="1485">
        <v>0</v>
      </c>
    </row>
    <row r="18" spans="3:22" ht="12.75" x14ac:dyDescent="0.2">
      <c r="C18" s="1019">
        <f t="shared" ref="C18:D49" si="0">C17+1</f>
        <v>2</v>
      </c>
      <c r="D18" s="1019">
        <f>D17+1</f>
        <v>2015</v>
      </c>
      <c r="E18" s="1020">
        <v>14.145768773895165</v>
      </c>
      <c r="F18" s="1021">
        <v>11.826462796033075</v>
      </c>
      <c r="G18" s="1022">
        <v>0</v>
      </c>
      <c r="H18" s="1023">
        <v>83.175102740482444</v>
      </c>
      <c r="I18" s="1024">
        <v>58.300068493654962</v>
      </c>
      <c r="J18" s="1025">
        <v>0</v>
      </c>
      <c r="K18" s="1020">
        <f>'II. Inputs, Baseline Energy Mix'!$N$101*'IX. Additional Data'!C18+'II. Inputs, Baseline Energy Mix'!$N$102</f>
        <v>0</v>
      </c>
      <c r="L18" s="1021">
        <f>'II. Inputs, Baseline Energy Mix'!$O$101*'IX. Additional Data'!C18+'II. Inputs, Baseline Energy Mix'!$O$102</f>
        <v>0</v>
      </c>
      <c r="M18" s="1022">
        <f>'II. Inputs, Baseline Energy Mix'!$P$101*'IX. Additional Data'!C18+'II. Inputs, Baseline Energy Mix'!$P$102</f>
        <v>0</v>
      </c>
      <c r="N18" s="1023">
        <f>'II. Inputs, Baseline Energy Mix'!$Q$101*'IX. Additional Data'!C18+'II. Inputs, Baseline Energy Mix'!$Q$102</f>
        <v>0</v>
      </c>
      <c r="O18" s="1024">
        <f>'II. Inputs, Baseline Energy Mix'!$R$101*'IX. Additional Data'!C18+'II. Inputs, Baseline Energy Mix'!$R$102</f>
        <v>0</v>
      </c>
      <c r="P18" s="1026">
        <f>'II. Inputs, Baseline Energy Mix'!$S$101*'IX. Additional Data'!C18+'II. Inputs, Baseline Energy Mix'!$S$102</f>
        <v>0</v>
      </c>
      <c r="Q18" s="1480">
        <v>20.922530718664184</v>
      </c>
      <c r="R18" s="1481">
        <v>22.71</v>
      </c>
      <c r="S18" s="1482">
        <v>0</v>
      </c>
      <c r="T18" s="1483">
        <v>84.982654110723658</v>
      </c>
      <c r="U18" s="1484">
        <v>59.505102740482442</v>
      </c>
      <c r="V18" s="1485">
        <v>0</v>
      </c>
    </row>
    <row r="19" spans="3:22" ht="12.75" x14ac:dyDescent="0.2">
      <c r="C19" s="1019">
        <f t="shared" si="0"/>
        <v>3</v>
      </c>
      <c r="D19" s="1019">
        <f t="shared" si="0"/>
        <v>2016</v>
      </c>
      <c r="E19" s="1020">
        <v>15.451025031860219</v>
      </c>
      <c r="F19" s="1021">
        <v>11.959694194049613</v>
      </c>
      <c r="G19" s="1022">
        <v>0</v>
      </c>
      <c r="H19" s="1023">
        <v>84.982654110723658</v>
      </c>
      <c r="I19" s="1024">
        <v>59.505102740482442</v>
      </c>
      <c r="J19" s="1025">
        <v>0</v>
      </c>
      <c r="K19" s="1020">
        <f>'II. Inputs, Baseline Energy Mix'!$N$101*'IX. Additional Data'!C19+'II. Inputs, Baseline Energy Mix'!$N$102</f>
        <v>0</v>
      </c>
      <c r="L19" s="1021">
        <f>'II. Inputs, Baseline Energy Mix'!$O$101*'IX. Additional Data'!C19+'II. Inputs, Baseline Energy Mix'!$O$102</f>
        <v>0</v>
      </c>
      <c r="M19" s="1022">
        <f>'II. Inputs, Baseline Energy Mix'!$P$101*'IX. Additional Data'!C19+'II. Inputs, Baseline Energy Mix'!$P$102</f>
        <v>0</v>
      </c>
      <c r="N19" s="1023">
        <f>'II. Inputs, Baseline Energy Mix'!$Q$101*'IX. Additional Data'!C19+'II. Inputs, Baseline Energy Mix'!$Q$102</f>
        <v>0</v>
      </c>
      <c r="O19" s="1024">
        <f>'II. Inputs, Baseline Energy Mix'!$R$101*'IX. Additional Data'!C19+'II. Inputs, Baseline Energy Mix'!$R$102</f>
        <v>0</v>
      </c>
      <c r="P19" s="1026">
        <f>'II. Inputs, Baseline Energy Mix'!$S$101*'IX. Additional Data'!C19+'II. Inputs, Baseline Energy Mix'!$S$102</f>
        <v>0</v>
      </c>
      <c r="Q19" s="1480">
        <v>21.358416775303024</v>
      </c>
      <c r="R19" s="1481">
        <v>23.18</v>
      </c>
      <c r="S19" s="1482">
        <v>0</v>
      </c>
      <c r="T19" s="1483">
        <v>86.790205480964886</v>
      </c>
      <c r="U19" s="1484">
        <v>60.710136987309916</v>
      </c>
      <c r="V19" s="1485">
        <v>0</v>
      </c>
    </row>
    <row r="20" spans="3:22" ht="12.75" x14ac:dyDescent="0.2">
      <c r="C20" s="1019">
        <f t="shared" si="0"/>
        <v>4</v>
      </c>
      <c r="D20" s="1019">
        <f t="shared" si="0"/>
        <v>2017</v>
      </c>
      <c r="E20" s="1020">
        <v>16.756281289825274</v>
      </c>
      <c r="F20" s="1021">
        <v>12.09292559206615</v>
      </c>
      <c r="G20" s="1022">
        <v>0</v>
      </c>
      <c r="H20" s="1023">
        <v>86.790205480964886</v>
      </c>
      <c r="I20" s="1024">
        <v>60.710136987309916</v>
      </c>
      <c r="J20" s="1025">
        <v>0</v>
      </c>
      <c r="K20" s="1020">
        <f>'II. Inputs, Baseline Energy Mix'!$N$101*'IX. Additional Data'!C20+'II. Inputs, Baseline Energy Mix'!$N$102</f>
        <v>0</v>
      </c>
      <c r="L20" s="1021">
        <f>'II. Inputs, Baseline Energy Mix'!$O$101*'IX. Additional Data'!C20+'II. Inputs, Baseline Energy Mix'!$O$102</f>
        <v>0</v>
      </c>
      <c r="M20" s="1022">
        <f>'II. Inputs, Baseline Energy Mix'!$P$101*'IX. Additional Data'!C20+'II. Inputs, Baseline Energy Mix'!$P$102</f>
        <v>0</v>
      </c>
      <c r="N20" s="1023">
        <f>'II. Inputs, Baseline Energy Mix'!$Q$101*'IX. Additional Data'!C20+'II. Inputs, Baseline Energy Mix'!$Q$102</f>
        <v>0</v>
      </c>
      <c r="O20" s="1024">
        <f>'II. Inputs, Baseline Energy Mix'!$R$101*'IX. Additional Data'!C20+'II. Inputs, Baseline Energy Mix'!$R$102</f>
        <v>0</v>
      </c>
      <c r="P20" s="1026">
        <f>'II. Inputs, Baseline Energy Mix'!$S$101*'IX. Additional Data'!C20+'II. Inputs, Baseline Energy Mix'!$S$102</f>
        <v>0</v>
      </c>
      <c r="Q20" s="1480">
        <v>21.794302831941859</v>
      </c>
      <c r="R20" s="1481">
        <v>23.66</v>
      </c>
      <c r="S20" s="1482">
        <v>0</v>
      </c>
      <c r="T20" s="1483">
        <v>88.5977568512061</v>
      </c>
      <c r="U20" s="1484">
        <v>61.915171234137397</v>
      </c>
      <c r="V20" s="1485">
        <v>0</v>
      </c>
    </row>
    <row r="21" spans="3:22" ht="12.75" x14ac:dyDescent="0.2">
      <c r="C21" s="1019">
        <f t="shared" si="0"/>
        <v>5</v>
      </c>
      <c r="D21" s="1019">
        <f t="shared" si="0"/>
        <v>2018</v>
      </c>
      <c r="E21" s="1020">
        <v>18.06153754779033</v>
      </c>
      <c r="F21" s="1021">
        <v>12.226156990082687</v>
      </c>
      <c r="G21" s="1022">
        <v>0</v>
      </c>
      <c r="H21" s="1023">
        <v>88.5977568512061</v>
      </c>
      <c r="I21" s="1024">
        <v>61.915171234137397</v>
      </c>
      <c r="J21" s="1025">
        <v>0</v>
      </c>
      <c r="K21" s="1020">
        <f>'II. Inputs, Baseline Energy Mix'!$N$101*'IX. Additional Data'!C21+'II. Inputs, Baseline Energy Mix'!$N$102</f>
        <v>0</v>
      </c>
      <c r="L21" s="1021">
        <f>'II. Inputs, Baseline Energy Mix'!$O$101*'IX. Additional Data'!C21+'II. Inputs, Baseline Energy Mix'!$O$102</f>
        <v>0</v>
      </c>
      <c r="M21" s="1022">
        <f>'II. Inputs, Baseline Energy Mix'!$P$101*'IX. Additional Data'!C21+'II. Inputs, Baseline Energy Mix'!$P$102</f>
        <v>0</v>
      </c>
      <c r="N21" s="1023">
        <f>'II. Inputs, Baseline Energy Mix'!$Q$101*'IX. Additional Data'!C21+'II. Inputs, Baseline Energy Mix'!$Q$102</f>
        <v>0</v>
      </c>
      <c r="O21" s="1024">
        <f>'II. Inputs, Baseline Energy Mix'!$R$101*'IX. Additional Data'!C21+'II. Inputs, Baseline Energy Mix'!$R$102</f>
        <v>0</v>
      </c>
      <c r="P21" s="1026">
        <f>'II. Inputs, Baseline Energy Mix'!$S$101*'IX. Additional Data'!C21+'II. Inputs, Baseline Energy Mix'!$S$102</f>
        <v>0</v>
      </c>
      <c r="Q21" s="1480">
        <v>22.230188888580695</v>
      </c>
      <c r="R21" s="1481">
        <v>24.13</v>
      </c>
      <c r="S21" s="1482">
        <v>0</v>
      </c>
      <c r="T21" s="1483">
        <v>90.405308221447314</v>
      </c>
      <c r="U21" s="1484">
        <v>63.120205480964877</v>
      </c>
      <c r="V21" s="1485">
        <v>0</v>
      </c>
    </row>
    <row r="22" spans="3:22" ht="12.75" x14ac:dyDescent="0.2">
      <c r="C22" s="1019">
        <f t="shared" si="0"/>
        <v>6</v>
      </c>
      <c r="D22" s="1019">
        <f t="shared" si="0"/>
        <v>2019</v>
      </c>
      <c r="E22" s="1020">
        <v>19.366793805755385</v>
      </c>
      <c r="F22" s="1021">
        <v>12.359388388099225</v>
      </c>
      <c r="G22" s="1022">
        <v>0</v>
      </c>
      <c r="H22" s="1023">
        <v>90.405308221447314</v>
      </c>
      <c r="I22" s="1024">
        <v>63.120205480964877</v>
      </c>
      <c r="J22" s="1025">
        <v>0</v>
      </c>
      <c r="K22" s="1020">
        <f>'II. Inputs, Baseline Energy Mix'!$N$101*'IX. Additional Data'!C22+'II. Inputs, Baseline Energy Mix'!$N$102</f>
        <v>0</v>
      </c>
      <c r="L22" s="1021">
        <f>'II. Inputs, Baseline Energy Mix'!$O$101*'IX. Additional Data'!C22+'II. Inputs, Baseline Energy Mix'!$O$102</f>
        <v>0</v>
      </c>
      <c r="M22" s="1022">
        <f>'II. Inputs, Baseline Energy Mix'!$P$101*'IX. Additional Data'!C22+'II. Inputs, Baseline Energy Mix'!$P$102</f>
        <v>0</v>
      </c>
      <c r="N22" s="1023">
        <f>'II. Inputs, Baseline Energy Mix'!$Q$101*'IX. Additional Data'!C22+'II. Inputs, Baseline Energy Mix'!$Q$102</f>
        <v>0</v>
      </c>
      <c r="O22" s="1024">
        <f>'II. Inputs, Baseline Energy Mix'!$R$101*'IX. Additional Data'!C22+'II. Inputs, Baseline Energy Mix'!$R$102</f>
        <v>0</v>
      </c>
      <c r="P22" s="1026">
        <f>'II. Inputs, Baseline Energy Mix'!$S$101*'IX. Additional Data'!C22+'II. Inputs, Baseline Energy Mix'!$S$102</f>
        <v>0</v>
      </c>
      <c r="Q22" s="1480">
        <v>22.666074945219535</v>
      </c>
      <c r="R22" s="1481">
        <v>24.6</v>
      </c>
      <c r="S22" s="1482">
        <v>0</v>
      </c>
      <c r="T22" s="1483">
        <v>92.212859591688542</v>
      </c>
      <c r="U22" s="1484">
        <v>64.325239727792365</v>
      </c>
      <c r="V22" s="1485">
        <v>0</v>
      </c>
    </row>
    <row r="23" spans="3:22" ht="12.75" x14ac:dyDescent="0.2">
      <c r="C23" s="1019">
        <f t="shared" si="0"/>
        <v>7</v>
      </c>
      <c r="D23" s="1019">
        <f t="shared" si="0"/>
        <v>2020</v>
      </c>
      <c r="E23" s="1020">
        <v>20.672050063720441</v>
      </c>
      <c r="F23" s="1021">
        <v>12.492619786115762</v>
      </c>
      <c r="G23" s="1022">
        <v>0</v>
      </c>
      <c r="H23" s="1023">
        <v>92.212859591688542</v>
      </c>
      <c r="I23" s="1024">
        <v>64.325239727792365</v>
      </c>
      <c r="J23" s="1025">
        <v>0</v>
      </c>
      <c r="K23" s="1020">
        <f>'II. Inputs, Baseline Energy Mix'!$N$101*'IX. Additional Data'!C23+'II. Inputs, Baseline Energy Mix'!$N$102</f>
        <v>0</v>
      </c>
      <c r="L23" s="1021">
        <f>'II. Inputs, Baseline Energy Mix'!$O$101*'IX. Additional Data'!C23+'II. Inputs, Baseline Energy Mix'!$O$102</f>
        <v>0</v>
      </c>
      <c r="M23" s="1022">
        <f>'II. Inputs, Baseline Energy Mix'!$P$101*'IX. Additional Data'!C23+'II. Inputs, Baseline Energy Mix'!$P$102</f>
        <v>0</v>
      </c>
      <c r="N23" s="1023">
        <f>'II. Inputs, Baseline Energy Mix'!$Q$101*'IX. Additional Data'!C23+'II. Inputs, Baseline Energy Mix'!$Q$102</f>
        <v>0</v>
      </c>
      <c r="O23" s="1024">
        <f>'II. Inputs, Baseline Energy Mix'!$R$101*'IX. Additional Data'!C23+'II. Inputs, Baseline Energy Mix'!$R$102</f>
        <v>0</v>
      </c>
      <c r="P23" s="1026">
        <f>'II. Inputs, Baseline Energy Mix'!$S$101*'IX. Additional Data'!C23+'II. Inputs, Baseline Energy Mix'!$S$102</f>
        <v>0</v>
      </c>
      <c r="Q23" s="1480">
        <v>23.101961001858374</v>
      </c>
      <c r="R23" s="1481">
        <v>25.08</v>
      </c>
      <c r="S23" s="1482">
        <v>0</v>
      </c>
      <c r="T23" s="1483">
        <v>94.020410961929755</v>
      </c>
      <c r="U23" s="1484">
        <v>65.530273974619831</v>
      </c>
      <c r="V23" s="1485">
        <v>0</v>
      </c>
    </row>
    <row r="24" spans="3:22" ht="12.75" x14ac:dyDescent="0.2">
      <c r="C24" s="1019">
        <f t="shared" si="0"/>
        <v>8</v>
      </c>
      <c r="D24" s="1019">
        <f t="shared" si="0"/>
        <v>2021</v>
      </c>
      <c r="E24" s="1020">
        <v>21.977306321685496</v>
      </c>
      <c r="F24" s="1021">
        <v>12.6258511841323</v>
      </c>
      <c r="G24" s="1022">
        <v>0</v>
      </c>
      <c r="H24" s="1023">
        <v>94.020410961929755</v>
      </c>
      <c r="I24" s="1024">
        <v>65.530273974619831</v>
      </c>
      <c r="J24" s="1025">
        <v>0</v>
      </c>
      <c r="K24" s="1020">
        <f>'II. Inputs, Baseline Energy Mix'!$N$101*'IX. Additional Data'!C24+'II. Inputs, Baseline Energy Mix'!$N$102</f>
        <v>0</v>
      </c>
      <c r="L24" s="1021">
        <f>'II. Inputs, Baseline Energy Mix'!$O$101*'IX. Additional Data'!C24+'II. Inputs, Baseline Energy Mix'!$O$102</f>
        <v>0</v>
      </c>
      <c r="M24" s="1022">
        <f>'II. Inputs, Baseline Energy Mix'!$P$101*'IX. Additional Data'!C24+'II. Inputs, Baseline Energy Mix'!$P$102</f>
        <v>0</v>
      </c>
      <c r="N24" s="1023">
        <f>'II. Inputs, Baseline Energy Mix'!$Q$101*'IX. Additional Data'!C24+'II. Inputs, Baseline Energy Mix'!$Q$102</f>
        <v>0</v>
      </c>
      <c r="O24" s="1024">
        <f>'II. Inputs, Baseline Energy Mix'!$R$101*'IX. Additional Data'!C24+'II. Inputs, Baseline Energy Mix'!$R$102</f>
        <v>0</v>
      </c>
      <c r="P24" s="1026">
        <f>'II. Inputs, Baseline Energy Mix'!$S$101*'IX. Additional Data'!C24+'II. Inputs, Baseline Energy Mix'!$S$102</f>
        <v>0</v>
      </c>
      <c r="Q24" s="1480">
        <v>23.581435664161095</v>
      </c>
      <c r="R24" s="1481">
        <v>25.6</v>
      </c>
      <c r="S24" s="1482">
        <v>0</v>
      </c>
      <c r="T24" s="1483">
        <v>95.827962332170983</v>
      </c>
      <c r="U24" s="1484">
        <v>66.735308221447312</v>
      </c>
      <c r="V24" s="1485">
        <v>0</v>
      </c>
    </row>
    <row r="25" spans="3:22" ht="12.75" x14ac:dyDescent="0.2">
      <c r="C25" s="1019">
        <f t="shared" si="0"/>
        <v>9</v>
      </c>
      <c r="D25" s="1019">
        <f t="shared" si="0"/>
        <v>2022</v>
      </c>
      <c r="E25" s="1020">
        <v>23.282562579650548</v>
      </c>
      <c r="F25" s="1021">
        <v>12.759082582148837</v>
      </c>
      <c r="G25" s="1022">
        <v>0</v>
      </c>
      <c r="H25" s="1023">
        <v>95.827962332170983</v>
      </c>
      <c r="I25" s="1024">
        <v>66.735308221447312</v>
      </c>
      <c r="J25" s="1025">
        <v>0</v>
      </c>
      <c r="K25" s="1020">
        <f>'II. Inputs, Baseline Energy Mix'!$N$101*'IX. Additional Data'!C25+'II. Inputs, Baseline Energy Mix'!$N$102</f>
        <v>0</v>
      </c>
      <c r="L25" s="1021">
        <f>'II. Inputs, Baseline Energy Mix'!$O$101*'IX. Additional Data'!C25+'II. Inputs, Baseline Energy Mix'!$O$102</f>
        <v>0</v>
      </c>
      <c r="M25" s="1022">
        <f>'II. Inputs, Baseline Energy Mix'!$P$101*'IX. Additional Data'!C25+'II. Inputs, Baseline Energy Mix'!$P$102</f>
        <v>0</v>
      </c>
      <c r="N25" s="1023">
        <f>'II. Inputs, Baseline Energy Mix'!$Q$101*'IX. Additional Data'!C25+'II. Inputs, Baseline Energy Mix'!$Q$102</f>
        <v>0</v>
      </c>
      <c r="O25" s="1024">
        <f>'II. Inputs, Baseline Energy Mix'!$R$101*'IX. Additional Data'!C25+'II. Inputs, Baseline Energy Mix'!$R$102</f>
        <v>0</v>
      </c>
      <c r="P25" s="1026">
        <f>'II. Inputs, Baseline Energy Mix'!$S$101*'IX. Additional Data'!C25+'II. Inputs, Baseline Energy Mix'!$S$102</f>
        <v>0</v>
      </c>
      <c r="Q25" s="1480">
        <v>24.060910326463816</v>
      </c>
      <c r="R25" s="1481">
        <v>26.12</v>
      </c>
      <c r="S25" s="1482">
        <v>0</v>
      </c>
      <c r="T25" s="1483">
        <v>97.635513702412197</v>
      </c>
      <c r="U25" s="1484">
        <v>67.940342468274793</v>
      </c>
      <c r="V25" s="1485">
        <v>0</v>
      </c>
    </row>
    <row r="26" spans="3:22" ht="12.75" x14ac:dyDescent="0.2">
      <c r="C26" s="1019">
        <f t="shared" si="0"/>
        <v>10</v>
      </c>
      <c r="D26" s="1019">
        <f t="shared" si="0"/>
        <v>2023</v>
      </c>
      <c r="E26" s="1020">
        <v>24.587818837615604</v>
      </c>
      <c r="F26" s="1021">
        <v>12.892313980165374</v>
      </c>
      <c r="G26" s="1022">
        <v>0</v>
      </c>
      <c r="H26" s="1023">
        <v>97.635513702412197</v>
      </c>
      <c r="I26" s="1024">
        <v>67.940342468274793</v>
      </c>
      <c r="J26" s="1025">
        <v>0</v>
      </c>
      <c r="K26" s="1020">
        <f>'II. Inputs, Baseline Energy Mix'!$N$101*'IX. Additional Data'!C26+'II. Inputs, Baseline Energy Mix'!$N$102</f>
        <v>0</v>
      </c>
      <c r="L26" s="1021">
        <f>'II. Inputs, Baseline Energy Mix'!$O$101*'IX. Additional Data'!C26+'II. Inputs, Baseline Energy Mix'!$O$102</f>
        <v>0</v>
      </c>
      <c r="M26" s="1022">
        <f>'II. Inputs, Baseline Energy Mix'!$P$101*'IX. Additional Data'!C26+'II. Inputs, Baseline Energy Mix'!$P$102</f>
        <v>0</v>
      </c>
      <c r="N26" s="1023">
        <f>'II. Inputs, Baseline Energy Mix'!$Q$101*'IX. Additional Data'!C26+'II. Inputs, Baseline Energy Mix'!$Q$102</f>
        <v>0</v>
      </c>
      <c r="O26" s="1024">
        <f>'II. Inputs, Baseline Energy Mix'!$R$101*'IX. Additional Data'!C26+'II. Inputs, Baseline Energy Mix'!$R$102</f>
        <v>0</v>
      </c>
      <c r="P26" s="1026">
        <f>'II. Inputs, Baseline Energy Mix'!$S$101*'IX. Additional Data'!C26+'II. Inputs, Baseline Energy Mix'!$S$102</f>
        <v>0</v>
      </c>
      <c r="Q26" s="1480">
        <v>24.540384988766533</v>
      </c>
      <c r="R26" s="1481">
        <v>26.64</v>
      </c>
      <c r="S26" s="1482">
        <v>0</v>
      </c>
      <c r="T26" s="1483">
        <v>99.443065072653411</v>
      </c>
      <c r="U26" s="1484">
        <v>69.145376715102273</v>
      </c>
      <c r="V26" s="1485">
        <v>0</v>
      </c>
    </row>
    <row r="27" spans="3:22" ht="12.75" x14ac:dyDescent="0.2">
      <c r="C27" s="1019">
        <f t="shared" si="0"/>
        <v>11</v>
      </c>
      <c r="D27" s="1019">
        <f t="shared" si="0"/>
        <v>2024</v>
      </c>
      <c r="E27" s="1020">
        <v>25.893075095580659</v>
      </c>
      <c r="F27" s="1021">
        <v>13.025545378181912</v>
      </c>
      <c r="G27" s="1022">
        <v>0</v>
      </c>
      <c r="H27" s="1023">
        <v>99.443065072653411</v>
      </c>
      <c r="I27" s="1024">
        <v>69.145376715102273</v>
      </c>
      <c r="J27" s="1025">
        <v>0</v>
      </c>
      <c r="K27" s="1020">
        <f>'II. Inputs, Baseline Energy Mix'!$N$101*'IX. Additional Data'!C27+'II. Inputs, Baseline Energy Mix'!$N$102</f>
        <v>0</v>
      </c>
      <c r="L27" s="1021">
        <f>'II. Inputs, Baseline Energy Mix'!$O$101*'IX. Additional Data'!C27+'II. Inputs, Baseline Energy Mix'!$O$102</f>
        <v>0</v>
      </c>
      <c r="M27" s="1022">
        <f>'II. Inputs, Baseline Energy Mix'!$P$101*'IX. Additional Data'!C27+'II. Inputs, Baseline Energy Mix'!$P$102</f>
        <v>0</v>
      </c>
      <c r="N27" s="1023">
        <f>'II. Inputs, Baseline Energy Mix'!$Q$101*'IX. Additional Data'!C27+'II. Inputs, Baseline Energy Mix'!$Q$102</f>
        <v>0</v>
      </c>
      <c r="O27" s="1024">
        <f>'II. Inputs, Baseline Energy Mix'!$R$101*'IX. Additional Data'!C27+'II. Inputs, Baseline Energy Mix'!$R$102</f>
        <v>0</v>
      </c>
      <c r="P27" s="1026">
        <f>'II. Inputs, Baseline Energy Mix'!$S$101*'IX. Additional Data'!C27+'II. Inputs, Baseline Energy Mix'!$S$102</f>
        <v>0</v>
      </c>
      <c r="Q27" s="1480">
        <v>25.019859651069254</v>
      </c>
      <c r="R27" s="1481">
        <v>27.16</v>
      </c>
      <c r="S27" s="1482">
        <v>0</v>
      </c>
      <c r="T27" s="1483">
        <v>101.25061644289464</v>
      </c>
      <c r="U27" s="1484">
        <v>70.350410961929754</v>
      </c>
      <c r="V27" s="1485">
        <v>0</v>
      </c>
    </row>
    <row r="28" spans="3:22" ht="12.75" x14ac:dyDescent="0.2">
      <c r="C28" s="1019">
        <f t="shared" si="0"/>
        <v>12</v>
      </c>
      <c r="D28" s="1019">
        <f t="shared" si="0"/>
        <v>2025</v>
      </c>
      <c r="E28" s="1020">
        <v>27.198331353545715</v>
      </c>
      <c r="F28" s="1021">
        <v>13.158776776198449</v>
      </c>
      <c r="G28" s="1022">
        <v>0</v>
      </c>
      <c r="H28" s="1023">
        <v>101.25061644289464</v>
      </c>
      <c r="I28" s="1024">
        <v>70.350410961929754</v>
      </c>
      <c r="J28" s="1025">
        <v>0</v>
      </c>
      <c r="K28" s="1020">
        <f>'II. Inputs, Baseline Energy Mix'!$N$101*'IX. Additional Data'!C28+'II. Inputs, Baseline Energy Mix'!$N$102</f>
        <v>0</v>
      </c>
      <c r="L28" s="1021">
        <f>'II. Inputs, Baseline Energy Mix'!$O$101*'IX. Additional Data'!C28+'II. Inputs, Baseline Energy Mix'!$O$102</f>
        <v>0</v>
      </c>
      <c r="M28" s="1022">
        <f>'II. Inputs, Baseline Energy Mix'!$P$101*'IX. Additional Data'!C28+'II. Inputs, Baseline Energy Mix'!$P$102</f>
        <v>0</v>
      </c>
      <c r="N28" s="1023">
        <f>'II. Inputs, Baseline Energy Mix'!$Q$101*'IX. Additional Data'!C28+'II. Inputs, Baseline Energy Mix'!$Q$102</f>
        <v>0</v>
      </c>
      <c r="O28" s="1024">
        <f>'II. Inputs, Baseline Energy Mix'!$R$101*'IX. Additional Data'!C28+'II. Inputs, Baseline Energy Mix'!$R$102</f>
        <v>0</v>
      </c>
      <c r="P28" s="1026">
        <f>'II. Inputs, Baseline Energy Mix'!$S$101*'IX. Additional Data'!C28+'II. Inputs, Baseline Energy Mix'!$S$102</f>
        <v>0</v>
      </c>
      <c r="Q28" s="1480">
        <v>25.499334313371978</v>
      </c>
      <c r="R28" s="1481">
        <v>27.68</v>
      </c>
      <c r="S28" s="1482">
        <v>0</v>
      </c>
      <c r="T28" s="1483">
        <v>103.05816781313585</v>
      </c>
      <c r="U28" s="1484">
        <v>71.555445208757234</v>
      </c>
      <c r="V28" s="1485">
        <v>0</v>
      </c>
    </row>
    <row r="29" spans="3:22" ht="12.75" x14ac:dyDescent="0.2">
      <c r="C29" s="1019">
        <f t="shared" si="0"/>
        <v>13</v>
      </c>
      <c r="D29" s="1019">
        <f t="shared" si="0"/>
        <v>2026</v>
      </c>
      <c r="E29" s="1020">
        <v>28.503587611510767</v>
      </c>
      <c r="F29" s="1021">
        <v>13.292008174214986</v>
      </c>
      <c r="G29" s="1022">
        <v>0</v>
      </c>
      <c r="H29" s="1023">
        <v>103.05816781313585</v>
      </c>
      <c r="I29" s="1024">
        <v>71.555445208757234</v>
      </c>
      <c r="J29" s="1025">
        <v>0</v>
      </c>
      <c r="K29" s="1020">
        <f>'II. Inputs, Baseline Energy Mix'!$N$101*'IX. Additional Data'!C29+'II. Inputs, Baseline Energy Mix'!$N$102</f>
        <v>0</v>
      </c>
      <c r="L29" s="1021">
        <f>'II. Inputs, Baseline Energy Mix'!$O$101*'IX. Additional Data'!C29+'II. Inputs, Baseline Energy Mix'!$O$102</f>
        <v>0</v>
      </c>
      <c r="M29" s="1022">
        <f>'II. Inputs, Baseline Energy Mix'!$P$101*'IX. Additional Data'!C29+'II. Inputs, Baseline Energy Mix'!$P$102</f>
        <v>0</v>
      </c>
      <c r="N29" s="1023">
        <f>'II. Inputs, Baseline Energy Mix'!$Q$101*'IX. Additional Data'!C29+'II. Inputs, Baseline Energy Mix'!$Q$102</f>
        <v>0</v>
      </c>
      <c r="O29" s="1024">
        <f>'II. Inputs, Baseline Energy Mix'!$R$101*'IX. Additional Data'!C29+'II. Inputs, Baseline Energy Mix'!$R$102</f>
        <v>0</v>
      </c>
      <c r="P29" s="1026">
        <f>'II. Inputs, Baseline Energy Mix'!$S$101*'IX. Additional Data'!C29+'II. Inputs, Baseline Energy Mix'!$S$102</f>
        <v>0</v>
      </c>
      <c r="Q29" s="1480">
        <v>26.065986187002462</v>
      </c>
      <c r="R29" s="1481">
        <v>28.29</v>
      </c>
      <c r="S29" s="1482">
        <v>0</v>
      </c>
      <c r="T29" s="1483">
        <v>104.86571918337708</v>
      </c>
      <c r="U29" s="1484">
        <v>72.760479455584715</v>
      </c>
      <c r="V29" s="1485">
        <v>0</v>
      </c>
    </row>
    <row r="30" spans="3:22" ht="12.75" x14ac:dyDescent="0.2">
      <c r="C30" s="1019">
        <f t="shared" si="0"/>
        <v>14</v>
      </c>
      <c r="D30" s="1019">
        <f t="shared" si="0"/>
        <v>2027</v>
      </c>
      <c r="E30" s="1020">
        <v>29.808843869475822</v>
      </c>
      <c r="F30" s="1021">
        <v>13.425239572231524</v>
      </c>
      <c r="G30" s="1022">
        <v>0</v>
      </c>
      <c r="H30" s="1023">
        <v>104.86571918337708</v>
      </c>
      <c r="I30" s="1024">
        <v>72.760479455584715</v>
      </c>
      <c r="J30" s="1025">
        <v>0</v>
      </c>
      <c r="K30" s="1020">
        <f>'II. Inputs, Baseline Energy Mix'!$N$101*'IX. Additional Data'!C30+'II. Inputs, Baseline Energy Mix'!$N$102</f>
        <v>0</v>
      </c>
      <c r="L30" s="1021">
        <f>'II. Inputs, Baseline Energy Mix'!$O$101*'IX. Additional Data'!C30+'II. Inputs, Baseline Energy Mix'!$O$102</f>
        <v>0</v>
      </c>
      <c r="M30" s="1022">
        <f>'II. Inputs, Baseline Energy Mix'!$P$101*'IX. Additional Data'!C30+'II. Inputs, Baseline Energy Mix'!$P$102</f>
        <v>0</v>
      </c>
      <c r="N30" s="1023">
        <f>'II. Inputs, Baseline Energy Mix'!$Q$101*'IX. Additional Data'!C30+'II. Inputs, Baseline Energy Mix'!$Q$102</f>
        <v>0</v>
      </c>
      <c r="O30" s="1024">
        <f>'II. Inputs, Baseline Energy Mix'!$R$101*'IX. Additional Data'!C30+'II. Inputs, Baseline Energy Mix'!$R$102</f>
        <v>0</v>
      </c>
      <c r="P30" s="1026">
        <f>'II. Inputs, Baseline Energy Mix'!$S$101*'IX. Additional Data'!C30+'II. Inputs, Baseline Energy Mix'!$S$102</f>
        <v>0</v>
      </c>
      <c r="Q30" s="1480">
        <v>26.632638060632953</v>
      </c>
      <c r="R30" s="1481">
        <v>28.91</v>
      </c>
      <c r="S30" s="1482">
        <v>0</v>
      </c>
      <c r="T30" s="1483">
        <v>106.67327055361829</v>
      </c>
      <c r="U30" s="1484">
        <v>73.965513702412196</v>
      </c>
      <c r="V30" s="1485">
        <v>0</v>
      </c>
    </row>
    <row r="31" spans="3:22" ht="12.75" x14ac:dyDescent="0.2">
      <c r="C31" s="1019">
        <f t="shared" si="0"/>
        <v>15</v>
      </c>
      <c r="D31" s="1019">
        <f t="shared" si="0"/>
        <v>2028</v>
      </c>
      <c r="E31" s="1020">
        <v>31.114100127440878</v>
      </c>
      <c r="F31" s="1021">
        <v>13.558470970248061</v>
      </c>
      <c r="G31" s="1022">
        <v>0</v>
      </c>
      <c r="H31" s="1023">
        <v>106.67327055361829</v>
      </c>
      <c r="I31" s="1024">
        <v>73.965513702412196</v>
      </c>
      <c r="J31" s="1025">
        <v>0</v>
      </c>
      <c r="K31" s="1020">
        <f>'II. Inputs, Baseline Energy Mix'!$N$101*'IX. Additional Data'!C31+'II. Inputs, Baseline Energy Mix'!$N$102</f>
        <v>0</v>
      </c>
      <c r="L31" s="1021">
        <f>'II. Inputs, Baseline Energy Mix'!$O$101*'IX. Additional Data'!C31+'II. Inputs, Baseline Energy Mix'!$O$102</f>
        <v>0</v>
      </c>
      <c r="M31" s="1022">
        <f>'II. Inputs, Baseline Energy Mix'!$P$101*'IX. Additional Data'!C31+'II. Inputs, Baseline Energy Mix'!$P$102</f>
        <v>0</v>
      </c>
      <c r="N31" s="1023">
        <f>'II. Inputs, Baseline Energy Mix'!$Q$101*'IX. Additional Data'!C31+'II. Inputs, Baseline Energy Mix'!$Q$102</f>
        <v>0</v>
      </c>
      <c r="O31" s="1024">
        <f>'II. Inputs, Baseline Energy Mix'!$R$101*'IX. Additional Data'!C31+'II. Inputs, Baseline Energy Mix'!$R$102</f>
        <v>0</v>
      </c>
      <c r="P31" s="1026">
        <f>'II. Inputs, Baseline Energy Mix'!$S$101*'IX. Additional Data'!C31+'II. Inputs, Baseline Energy Mix'!$S$102</f>
        <v>0</v>
      </c>
      <c r="Q31" s="1480">
        <v>27.19928993426344</v>
      </c>
      <c r="R31" s="1481">
        <v>29.52</v>
      </c>
      <c r="S31" s="1482">
        <v>0</v>
      </c>
      <c r="T31" s="1483">
        <v>108.48082192385951</v>
      </c>
      <c r="U31" s="1484">
        <v>75.170547949239676</v>
      </c>
      <c r="V31" s="1485">
        <v>0</v>
      </c>
    </row>
    <row r="32" spans="3:22" ht="12.75" x14ac:dyDescent="0.2">
      <c r="C32" s="1019">
        <f t="shared" si="0"/>
        <v>16</v>
      </c>
      <c r="D32" s="1019">
        <f t="shared" si="0"/>
        <v>2029</v>
      </c>
      <c r="E32" s="1020">
        <v>32.419356385405933</v>
      </c>
      <c r="F32" s="1021">
        <v>13.691702368264599</v>
      </c>
      <c r="G32" s="1022">
        <v>0</v>
      </c>
      <c r="H32" s="1023">
        <v>108.48082192385951</v>
      </c>
      <c r="I32" s="1024">
        <v>75.170547949239676</v>
      </c>
      <c r="J32" s="1025">
        <v>0</v>
      </c>
      <c r="K32" s="1020">
        <f>'II. Inputs, Baseline Energy Mix'!$N$101*'IX. Additional Data'!C32+'II. Inputs, Baseline Energy Mix'!$N$102</f>
        <v>0</v>
      </c>
      <c r="L32" s="1021">
        <f>'II. Inputs, Baseline Energy Mix'!$O$101*'IX. Additional Data'!C32+'II. Inputs, Baseline Energy Mix'!$O$102</f>
        <v>0</v>
      </c>
      <c r="M32" s="1022">
        <f>'II. Inputs, Baseline Energy Mix'!$P$101*'IX. Additional Data'!C32+'II. Inputs, Baseline Energy Mix'!$P$102</f>
        <v>0</v>
      </c>
      <c r="N32" s="1023">
        <f>'II. Inputs, Baseline Energy Mix'!$Q$101*'IX. Additional Data'!C32+'II. Inputs, Baseline Energy Mix'!$Q$102</f>
        <v>0</v>
      </c>
      <c r="O32" s="1024">
        <f>'II. Inputs, Baseline Energy Mix'!$R$101*'IX. Additional Data'!C32+'II. Inputs, Baseline Energy Mix'!$R$102</f>
        <v>0</v>
      </c>
      <c r="P32" s="1026">
        <f>'II. Inputs, Baseline Energy Mix'!$S$101*'IX. Additional Data'!C32+'II. Inputs, Baseline Energy Mix'!$S$102</f>
        <v>0</v>
      </c>
      <c r="Q32" s="1480">
        <v>27.765941807893931</v>
      </c>
      <c r="R32" s="1481">
        <v>30.14</v>
      </c>
      <c r="S32" s="1482">
        <v>0</v>
      </c>
      <c r="T32" s="1483">
        <v>110.28837329410074</v>
      </c>
      <c r="U32" s="1484">
        <v>76.375582196067157</v>
      </c>
      <c r="V32" s="1485">
        <v>0</v>
      </c>
    </row>
    <row r="33" spans="3:22" ht="12.75" x14ac:dyDescent="0.2">
      <c r="C33" s="1019">
        <f t="shared" si="0"/>
        <v>17</v>
      </c>
      <c r="D33" s="1019">
        <f t="shared" si="0"/>
        <v>2030</v>
      </c>
      <c r="E33" s="1020">
        <v>33.724612643370989</v>
      </c>
      <c r="F33" s="1021">
        <v>13.824933766281136</v>
      </c>
      <c r="G33" s="1022">
        <v>0</v>
      </c>
      <c r="H33" s="1023">
        <v>110.28837329410074</v>
      </c>
      <c r="I33" s="1024">
        <v>76.375582196067157</v>
      </c>
      <c r="J33" s="1025">
        <v>0</v>
      </c>
      <c r="K33" s="1020">
        <f>'II. Inputs, Baseline Energy Mix'!$N$101*'IX. Additional Data'!C33+'II. Inputs, Baseline Energy Mix'!$N$102</f>
        <v>0</v>
      </c>
      <c r="L33" s="1021">
        <f>'II. Inputs, Baseline Energy Mix'!$O$101*'IX. Additional Data'!C33+'II. Inputs, Baseline Energy Mix'!$O$102</f>
        <v>0</v>
      </c>
      <c r="M33" s="1022">
        <f>'II. Inputs, Baseline Energy Mix'!$P$101*'IX. Additional Data'!C33+'II. Inputs, Baseline Energy Mix'!$P$102</f>
        <v>0</v>
      </c>
      <c r="N33" s="1023">
        <f>'II. Inputs, Baseline Energy Mix'!$Q$101*'IX. Additional Data'!C33+'II. Inputs, Baseline Energy Mix'!$Q$102</f>
        <v>0</v>
      </c>
      <c r="O33" s="1024">
        <f>'II. Inputs, Baseline Energy Mix'!$R$101*'IX. Additional Data'!C33+'II. Inputs, Baseline Energy Mix'!$R$102</f>
        <v>0</v>
      </c>
      <c r="P33" s="1026">
        <f>'II. Inputs, Baseline Energy Mix'!$S$101*'IX. Additional Data'!C33+'II. Inputs, Baseline Energy Mix'!$S$102</f>
        <v>0</v>
      </c>
      <c r="Q33" s="1480">
        <v>28.332593681524422</v>
      </c>
      <c r="R33" s="1481">
        <v>30.75</v>
      </c>
      <c r="S33" s="1482">
        <v>0</v>
      </c>
      <c r="T33" s="1483">
        <v>112.09592466434196</v>
      </c>
      <c r="U33" s="1484">
        <v>77.580616442894637</v>
      </c>
      <c r="V33" s="1485">
        <v>0</v>
      </c>
    </row>
    <row r="34" spans="3:22" ht="12.75" x14ac:dyDescent="0.2">
      <c r="C34" s="1019">
        <f t="shared" si="0"/>
        <v>18</v>
      </c>
      <c r="D34" s="1019">
        <f t="shared" si="0"/>
        <v>2031</v>
      </c>
      <c r="E34" s="1020">
        <v>35.029868901336044</v>
      </c>
      <c r="F34" s="1021">
        <v>13.958165164297673</v>
      </c>
      <c r="G34" s="1022">
        <v>0</v>
      </c>
      <c r="H34" s="1023">
        <v>112.09592466434196</v>
      </c>
      <c r="I34" s="1024">
        <v>77.580616442894637</v>
      </c>
      <c r="J34" s="1025">
        <v>0</v>
      </c>
      <c r="K34" s="1020">
        <f>'II. Inputs, Baseline Energy Mix'!$N$101*'IX. Additional Data'!C34+'II. Inputs, Baseline Energy Mix'!$N$102</f>
        <v>0</v>
      </c>
      <c r="L34" s="1021">
        <f>'II. Inputs, Baseline Energy Mix'!$O$101*'IX. Additional Data'!C34+'II. Inputs, Baseline Energy Mix'!$O$102</f>
        <v>0</v>
      </c>
      <c r="M34" s="1022">
        <f>'II. Inputs, Baseline Energy Mix'!$P$101*'IX. Additional Data'!C34+'II. Inputs, Baseline Energy Mix'!$P$102</f>
        <v>0</v>
      </c>
      <c r="N34" s="1023">
        <f>'II. Inputs, Baseline Energy Mix'!$Q$101*'IX. Additional Data'!C34+'II. Inputs, Baseline Energy Mix'!$Q$102</f>
        <v>0</v>
      </c>
      <c r="O34" s="1024">
        <f>'II. Inputs, Baseline Energy Mix'!$R$101*'IX. Additional Data'!C34+'II. Inputs, Baseline Energy Mix'!$R$102</f>
        <v>0</v>
      </c>
      <c r="P34" s="1026">
        <f>'II. Inputs, Baseline Energy Mix'!$S$101*'IX. Additional Data'!C34+'II. Inputs, Baseline Energy Mix'!$S$102</f>
        <v>0</v>
      </c>
      <c r="Q34" s="1480">
        <v>28.986422766482676</v>
      </c>
      <c r="R34" s="1481">
        <v>31.46</v>
      </c>
      <c r="S34" s="1482">
        <v>0</v>
      </c>
      <c r="T34" s="1483">
        <v>113.90347603458318</v>
      </c>
      <c r="U34" s="1484">
        <v>78.785650689722104</v>
      </c>
      <c r="V34" s="1485">
        <v>0</v>
      </c>
    </row>
    <row r="35" spans="3:22" ht="12.75" x14ac:dyDescent="0.2">
      <c r="C35" s="1019">
        <f t="shared" si="0"/>
        <v>19</v>
      </c>
      <c r="D35" s="1019">
        <f t="shared" si="0"/>
        <v>2032</v>
      </c>
      <c r="E35" s="1020">
        <v>36.3351251593011</v>
      </c>
      <c r="F35" s="1021">
        <v>14.091396562314211</v>
      </c>
      <c r="G35" s="1022">
        <v>0</v>
      </c>
      <c r="H35" s="1023">
        <v>113.90347603458318</v>
      </c>
      <c r="I35" s="1024">
        <v>78.785650689722104</v>
      </c>
      <c r="J35" s="1025">
        <v>0</v>
      </c>
      <c r="K35" s="1020">
        <f>'II. Inputs, Baseline Energy Mix'!$N$101*'IX. Additional Data'!C35+'II. Inputs, Baseline Energy Mix'!$N$102</f>
        <v>0</v>
      </c>
      <c r="L35" s="1021">
        <f>'II. Inputs, Baseline Energy Mix'!$O$101*'IX. Additional Data'!C35+'II. Inputs, Baseline Energy Mix'!$O$102</f>
        <v>0</v>
      </c>
      <c r="M35" s="1022">
        <f>'II. Inputs, Baseline Energy Mix'!$P$101*'IX. Additional Data'!C35+'II. Inputs, Baseline Energy Mix'!$P$102</f>
        <v>0</v>
      </c>
      <c r="N35" s="1023">
        <f>'II. Inputs, Baseline Energy Mix'!$Q$101*'IX. Additional Data'!C35+'II. Inputs, Baseline Energy Mix'!$Q$102</f>
        <v>0</v>
      </c>
      <c r="O35" s="1024">
        <f>'II. Inputs, Baseline Energy Mix'!$R$101*'IX. Additional Data'!C35+'II. Inputs, Baseline Energy Mix'!$R$102</f>
        <v>0</v>
      </c>
      <c r="P35" s="1026">
        <f>'II. Inputs, Baseline Energy Mix'!$S$101*'IX. Additional Data'!C35+'II. Inputs, Baseline Energy Mix'!$S$102</f>
        <v>0</v>
      </c>
      <c r="Q35" s="1480">
        <v>29.640251851440933</v>
      </c>
      <c r="R35" s="1481">
        <v>32.17</v>
      </c>
      <c r="S35" s="1482">
        <v>0</v>
      </c>
      <c r="T35" s="1483">
        <v>115.71102740482439</v>
      </c>
      <c r="U35" s="1484">
        <v>79.990684936549584</v>
      </c>
      <c r="V35" s="1485">
        <v>0</v>
      </c>
    </row>
    <row r="36" spans="3:22" ht="12.75" x14ac:dyDescent="0.2">
      <c r="C36" s="1019">
        <f t="shared" si="0"/>
        <v>20</v>
      </c>
      <c r="D36" s="1019">
        <f t="shared" si="0"/>
        <v>2033</v>
      </c>
      <c r="E36" s="1020">
        <v>37.577556476360257</v>
      </c>
      <c r="F36" s="1021">
        <v>14.224627960330748</v>
      </c>
      <c r="G36" s="1022">
        <v>0</v>
      </c>
      <c r="H36" s="1023">
        <v>115.71102740482439</v>
      </c>
      <c r="I36" s="1024">
        <v>79.990684936549584</v>
      </c>
      <c r="J36" s="1025">
        <v>0</v>
      </c>
      <c r="K36" s="1020">
        <f>'II. Inputs, Baseline Energy Mix'!$N$101*'IX. Additional Data'!C36+'II. Inputs, Baseline Energy Mix'!$N$102</f>
        <v>0</v>
      </c>
      <c r="L36" s="1021">
        <f>'II. Inputs, Baseline Energy Mix'!$O$101*'IX. Additional Data'!C36+'II. Inputs, Baseline Energy Mix'!$O$102</f>
        <v>0</v>
      </c>
      <c r="M36" s="1022">
        <f>'II. Inputs, Baseline Energy Mix'!$P$101*'IX. Additional Data'!C36+'II. Inputs, Baseline Energy Mix'!$P$102</f>
        <v>0</v>
      </c>
      <c r="N36" s="1023">
        <f>'II. Inputs, Baseline Energy Mix'!$Q$101*'IX. Additional Data'!C36+'II. Inputs, Baseline Energy Mix'!$Q$102</f>
        <v>0</v>
      </c>
      <c r="O36" s="1024">
        <f>'II. Inputs, Baseline Energy Mix'!$R$101*'IX. Additional Data'!C36+'II. Inputs, Baseline Energy Mix'!$R$102</f>
        <v>0</v>
      </c>
      <c r="P36" s="1026">
        <f>'II. Inputs, Baseline Energy Mix'!$S$101*'IX. Additional Data'!C36+'II. Inputs, Baseline Energy Mix'!$S$102</f>
        <v>0</v>
      </c>
      <c r="Q36" s="1480">
        <v>30.294080936399187</v>
      </c>
      <c r="R36" s="1481">
        <v>32.880000000000003</v>
      </c>
      <c r="S36" s="1482">
        <v>0</v>
      </c>
      <c r="T36" s="1483">
        <v>118.31652679791549</v>
      </c>
      <c r="U36" s="1484">
        <v>81.727684531943652</v>
      </c>
      <c r="V36" s="1485">
        <v>0</v>
      </c>
    </row>
    <row r="37" spans="3:22" ht="12.75" x14ac:dyDescent="0.2">
      <c r="C37" s="1019">
        <f t="shared" si="0"/>
        <v>21</v>
      </c>
      <c r="D37" s="1019">
        <f t="shared" si="0"/>
        <v>2034</v>
      </c>
      <c r="E37" s="1020">
        <v>38.819987793419422</v>
      </c>
      <c r="F37" s="1021">
        <v>14.827929346447126</v>
      </c>
      <c r="G37" s="1022">
        <v>0</v>
      </c>
      <c r="H37" s="1023">
        <v>118.31652679791549</v>
      </c>
      <c r="I37" s="1024">
        <v>81.727684531943652</v>
      </c>
      <c r="J37" s="1025">
        <v>0</v>
      </c>
      <c r="K37" s="1020">
        <f>'II. Inputs, Baseline Energy Mix'!$N$101*'IX. Additional Data'!C37+'II. Inputs, Baseline Energy Mix'!$N$102</f>
        <v>0</v>
      </c>
      <c r="L37" s="1021">
        <f>'II. Inputs, Baseline Energy Mix'!$O$101*'IX. Additional Data'!C37+'II. Inputs, Baseline Energy Mix'!$O$102</f>
        <v>0</v>
      </c>
      <c r="M37" s="1022">
        <f>'II. Inputs, Baseline Energy Mix'!$P$101*'IX. Additional Data'!C37+'II. Inputs, Baseline Energy Mix'!$P$102</f>
        <v>0</v>
      </c>
      <c r="N37" s="1023">
        <f>'II. Inputs, Baseline Energy Mix'!$Q$101*'IX. Additional Data'!C37+'II. Inputs, Baseline Energy Mix'!$Q$102</f>
        <v>0</v>
      </c>
      <c r="O37" s="1024">
        <f>'II. Inputs, Baseline Energy Mix'!$R$101*'IX. Additional Data'!C37+'II. Inputs, Baseline Energy Mix'!$R$102</f>
        <v>0</v>
      </c>
      <c r="P37" s="1026">
        <f>'II. Inputs, Baseline Energy Mix'!$S$101*'IX. Additional Data'!C37+'II. Inputs, Baseline Energy Mix'!$S$102</f>
        <v>0</v>
      </c>
      <c r="Q37" s="1480">
        <v>30.947910021357441</v>
      </c>
      <c r="R37" s="1481">
        <v>33.590000000000003</v>
      </c>
      <c r="S37" s="1482">
        <v>0</v>
      </c>
      <c r="T37" s="1483">
        <v>120.92202619100655</v>
      </c>
      <c r="U37" s="1484">
        <v>83.464684127337705</v>
      </c>
      <c r="V37" s="1485">
        <v>0</v>
      </c>
    </row>
    <row r="38" spans="3:22" ht="12.75" x14ac:dyDescent="0.2">
      <c r="C38" s="1019">
        <f t="shared" si="0"/>
        <v>22</v>
      </c>
      <c r="D38" s="1019">
        <f t="shared" si="0"/>
        <v>2035</v>
      </c>
      <c r="E38" s="1020">
        <v>40.062419110478587</v>
      </c>
      <c r="F38" s="1021">
        <v>15.431230732563503</v>
      </c>
      <c r="G38" s="1022">
        <v>0</v>
      </c>
      <c r="H38" s="1023">
        <v>120.92202619100655</v>
      </c>
      <c r="I38" s="1024">
        <v>83.464684127337705</v>
      </c>
      <c r="J38" s="1025">
        <v>0</v>
      </c>
      <c r="K38" s="1020">
        <f>'II. Inputs, Baseline Energy Mix'!$N$101*'IX. Additional Data'!C38+'II. Inputs, Baseline Energy Mix'!$N$102</f>
        <v>0</v>
      </c>
      <c r="L38" s="1021">
        <f>'II. Inputs, Baseline Energy Mix'!$O$101*'IX. Additional Data'!C38+'II. Inputs, Baseline Energy Mix'!$O$102</f>
        <v>0</v>
      </c>
      <c r="M38" s="1022">
        <f>'II. Inputs, Baseline Energy Mix'!$P$101*'IX. Additional Data'!C38+'II. Inputs, Baseline Energy Mix'!$P$102</f>
        <v>0</v>
      </c>
      <c r="N38" s="1023">
        <f>'II. Inputs, Baseline Energy Mix'!$Q$101*'IX. Additional Data'!C38+'II. Inputs, Baseline Energy Mix'!$Q$102</f>
        <v>0</v>
      </c>
      <c r="O38" s="1024">
        <f>'II. Inputs, Baseline Energy Mix'!$R$101*'IX. Additional Data'!C38+'II. Inputs, Baseline Energy Mix'!$R$102</f>
        <v>0</v>
      </c>
      <c r="P38" s="1026">
        <f>'II. Inputs, Baseline Energy Mix'!$S$101*'IX. Additional Data'!C38+'II. Inputs, Baseline Energy Mix'!$S$102</f>
        <v>0</v>
      </c>
      <c r="Q38" s="1480">
        <v>31.601739106315698</v>
      </c>
      <c r="R38" s="1481">
        <v>34.299999999999997</v>
      </c>
      <c r="S38" s="1482">
        <v>0</v>
      </c>
      <c r="T38" s="1483">
        <v>123.52752558409765</v>
      </c>
      <c r="U38" s="1484">
        <v>85.201683722731758</v>
      </c>
      <c r="V38" s="1485">
        <v>0</v>
      </c>
    </row>
    <row r="39" spans="3:22" ht="12.75" x14ac:dyDescent="0.2">
      <c r="C39" s="1019">
        <f t="shared" si="0"/>
        <v>23</v>
      </c>
      <c r="D39" s="1019">
        <f t="shared" si="0"/>
        <v>2036</v>
      </c>
      <c r="E39" s="1020">
        <v>41.304850427537744</v>
      </c>
      <c r="F39" s="1021">
        <v>16.034532118679877</v>
      </c>
      <c r="G39" s="1022">
        <v>0</v>
      </c>
      <c r="H39" s="1023">
        <v>123.52752558409765</v>
      </c>
      <c r="I39" s="1024">
        <v>85.201683722731758</v>
      </c>
      <c r="J39" s="1025">
        <v>0</v>
      </c>
      <c r="K39" s="1020">
        <f>'II. Inputs, Baseline Energy Mix'!$N$101*'IX. Additional Data'!C39+'II. Inputs, Baseline Energy Mix'!$N$102</f>
        <v>0</v>
      </c>
      <c r="L39" s="1021">
        <f>'II. Inputs, Baseline Energy Mix'!$O$101*'IX. Additional Data'!C39+'II. Inputs, Baseline Energy Mix'!$O$102</f>
        <v>0</v>
      </c>
      <c r="M39" s="1022">
        <f>'II. Inputs, Baseline Energy Mix'!$P$101*'IX. Additional Data'!C39+'II. Inputs, Baseline Energy Mix'!$P$102</f>
        <v>0</v>
      </c>
      <c r="N39" s="1023">
        <f>'II. Inputs, Baseline Energy Mix'!$Q$101*'IX. Additional Data'!C39+'II. Inputs, Baseline Energy Mix'!$Q$102</f>
        <v>0</v>
      </c>
      <c r="O39" s="1024">
        <f>'II. Inputs, Baseline Energy Mix'!$R$101*'IX. Additional Data'!C39+'II. Inputs, Baseline Energy Mix'!$R$102</f>
        <v>0</v>
      </c>
      <c r="P39" s="1026">
        <f>'II. Inputs, Baseline Energy Mix'!$S$101*'IX. Additional Data'!C39+'II. Inputs, Baseline Energy Mix'!$S$102</f>
        <v>0</v>
      </c>
      <c r="Q39" s="1480">
        <v>32.386334008265607</v>
      </c>
      <c r="R39" s="1481">
        <v>35.15</v>
      </c>
      <c r="S39" s="1482">
        <v>0</v>
      </c>
      <c r="T39" s="1483">
        <v>126.13302497718873</v>
      </c>
      <c r="U39" s="1484">
        <v>86.938683318125811</v>
      </c>
      <c r="V39" s="1485">
        <v>0</v>
      </c>
    </row>
    <row r="40" spans="3:22" ht="12.75" x14ac:dyDescent="0.2">
      <c r="C40" s="1019">
        <f t="shared" si="0"/>
        <v>24</v>
      </c>
      <c r="D40" s="1019">
        <f t="shared" si="0"/>
        <v>2037</v>
      </c>
      <c r="E40" s="1020">
        <v>42.547281744596908</v>
      </c>
      <c r="F40" s="1021">
        <v>16.637833504796255</v>
      </c>
      <c r="G40" s="1022">
        <v>0</v>
      </c>
      <c r="H40" s="1023">
        <v>126.13302497718873</v>
      </c>
      <c r="I40" s="1024">
        <v>86.938683318125811</v>
      </c>
      <c r="J40" s="1025">
        <v>0</v>
      </c>
      <c r="K40" s="1020">
        <f>'II. Inputs, Baseline Energy Mix'!$N$101*'IX. Additional Data'!C40+'II. Inputs, Baseline Energy Mix'!$N$102</f>
        <v>0</v>
      </c>
      <c r="L40" s="1021">
        <f>'II. Inputs, Baseline Energy Mix'!$O$101*'IX. Additional Data'!C40+'II. Inputs, Baseline Energy Mix'!$O$102</f>
        <v>0</v>
      </c>
      <c r="M40" s="1022">
        <f>'II. Inputs, Baseline Energy Mix'!$P$101*'IX. Additional Data'!C40+'II. Inputs, Baseline Energy Mix'!$P$102</f>
        <v>0</v>
      </c>
      <c r="N40" s="1023">
        <f>'II. Inputs, Baseline Energy Mix'!$Q$101*'IX. Additional Data'!C40+'II. Inputs, Baseline Energy Mix'!$Q$102</f>
        <v>0</v>
      </c>
      <c r="O40" s="1024">
        <f>'II. Inputs, Baseline Energy Mix'!$R$101*'IX. Additional Data'!C40+'II. Inputs, Baseline Energy Mix'!$R$102</f>
        <v>0</v>
      </c>
      <c r="P40" s="1026">
        <f>'II. Inputs, Baseline Energy Mix'!$S$101*'IX. Additional Data'!C40+'II. Inputs, Baseline Energy Mix'!$S$102</f>
        <v>0</v>
      </c>
      <c r="Q40" s="1480">
        <v>33.170928910215508</v>
      </c>
      <c r="R40" s="1481">
        <v>36</v>
      </c>
      <c r="S40" s="1482">
        <v>0</v>
      </c>
      <c r="T40" s="1483">
        <v>128.7385243702798</v>
      </c>
      <c r="U40" s="1484">
        <v>88.675682913519864</v>
      </c>
      <c r="V40" s="1485">
        <v>0</v>
      </c>
    </row>
    <row r="41" spans="3:22" x14ac:dyDescent="0.25">
      <c r="C41" s="1019">
        <f t="shared" si="0"/>
        <v>25</v>
      </c>
      <c r="D41" s="1019">
        <f t="shared" si="0"/>
        <v>2038</v>
      </c>
      <c r="E41" s="1020">
        <v>43.789713061656073</v>
      </c>
      <c r="F41" s="1021">
        <v>17.241134890912633</v>
      </c>
      <c r="G41" s="1022">
        <v>0</v>
      </c>
      <c r="H41" s="1023">
        <v>128.7385243702798</v>
      </c>
      <c r="I41" s="1024">
        <v>88.675682913519864</v>
      </c>
      <c r="J41" s="1025">
        <v>0</v>
      </c>
      <c r="K41" s="1020">
        <f>'II. Inputs, Baseline Energy Mix'!$N$101*'IX. Additional Data'!C41+'II. Inputs, Baseline Energy Mix'!$N$102</f>
        <v>0</v>
      </c>
      <c r="L41" s="1021">
        <f>'II. Inputs, Baseline Energy Mix'!$O$101*'IX. Additional Data'!C41+'II. Inputs, Baseline Energy Mix'!$O$102</f>
        <v>0</v>
      </c>
      <c r="M41" s="1022">
        <f>'II. Inputs, Baseline Energy Mix'!$P$101*'IX. Additional Data'!C41+'II. Inputs, Baseline Energy Mix'!$P$102</f>
        <v>0</v>
      </c>
      <c r="N41" s="1023">
        <f>'II. Inputs, Baseline Energy Mix'!$Q$101*'IX. Additional Data'!C41+'II. Inputs, Baseline Energy Mix'!$Q$102</f>
        <v>0</v>
      </c>
      <c r="O41" s="1024">
        <f>'II. Inputs, Baseline Energy Mix'!$R$101*'IX. Additional Data'!C41+'II. Inputs, Baseline Energy Mix'!$R$102</f>
        <v>0</v>
      </c>
      <c r="P41" s="1026">
        <f>'II. Inputs, Baseline Energy Mix'!$S$101*'IX. Additional Data'!C41+'II. Inputs, Baseline Energy Mix'!$S$102</f>
        <v>0</v>
      </c>
      <c r="Q41" s="1480">
        <v>33.955523812165417</v>
      </c>
      <c r="R41" s="1481">
        <v>36.86</v>
      </c>
      <c r="S41" s="1482">
        <v>0</v>
      </c>
      <c r="T41" s="1483">
        <v>131.3440237633709</v>
      </c>
      <c r="U41" s="1484">
        <v>90.412682508913917</v>
      </c>
      <c r="V41" s="1485">
        <v>0</v>
      </c>
    </row>
    <row r="42" spans="3:22" x14ac:dyDescent="0.25">
      <c r="C42" s="1019">
        <f t="shared" si="0"/>
        <v>26</v>
      </c>
      <c r="D42" s="1019">
        <f t="shared" si="0"/>
        <v>2039</v>
      </c>
      <c r="E42" s="1020">
        <v>45.03214437871523</v>
      </c>
      <c r="F42" s="1021">
        <v>17.844436277029011</v>
      </c>
      <c r="G42" s="1022">
        <v>0</v>
      </c>
      <c r="H42" s="1023">
        <v>131.3440237633709</v>
      </c>
      <c r="I42" s="1024">
        <v>90.412682508913917</v>
      </c>
      <c r="J42" s="1025">
        <v>0</v>
      </c>
      <c r="K42" s="1020">
        <f>'II. Inputs, Baseline Energy Mix'!$N$101*'IX. Additional Data'!C42+'II. Inputs, Baseline Energy Mix'!$N$102</f>
        <v>0</v>
      </c>
      <c r="L42" s="1021">
        <f>'II. Inputs, Baseline Energy Mix'!$O$101*'IX. Additional Data'!C42+'II. Inputs, Baseline Energy Mix'!$O$102</f>
        <v>0</v>
      </c>
      <c r="M42" s="1022">
        <f>'II. Inputs, Baseline Energy Mix'!$P$101*'IX. Additional Data'!C42+'II. Inputs, Baseline Energy Mix'!$P$102</f>
        <v>0</v>
      </c>
      <c r="N42" s="1023">
        <f>'II. Inputs, Baseline Energy Mix'!$Q$101*'IX. Additional Data'!C42+'II. Inputs, Baseline Energy Mix'!$Q$102</f>
        <v>0</v>
      </c>
      <c r="O42" s="1024">
        <f>'II. Inputs, Baseline Energy Mix'!$R$101*'IX. Additional Data'!C42+'II. Inputs, Baseline Energy Mix'!$R$102</f>
        <v>0</v>
      </c>
      <c r="P42" s="1026">
        <f>'II. Inputs, Baseline Energy Mix'!$S$101*'IX. Additional Data'!C42+'II. Inputs, Baseline Energy Mix'!$S$102</f>
        <v>0</v>
      </c>
      <c r="Q42" s="1480">
        <v>34.740118714115326</v>
      </c>
      <c r="R42" s="1481">
        <v>37.71</v>
      </c>
      <c r="S42" s="1482">
        <v>0</v>
      </c>
      <c r="T42" s="1483">
        <v>133.94952315646196</v>
      </c>
      <c r="U42" s="1484">
        <v>92.149682104307971</v>
      </c>
      <c r="V42" s="1485">
        <v>0</v>
      </c>
    </row>
    <row r="43" spans="3:22" x14ac:dyDescent="0.25">
      <c r="C43" s="1019">
        <f t="shared" si="0"/>
        <v>27</v>
      </c>
      <c r="D43" s="1019">
        <f t="shared" si="0"/>
        <v>2040</v>
      </c>
      <c r="E43" s="1020">
        <v>46.274575695774388</v>
      </c>
      <c r="F43" s="1021">
        <v>18.447737663145389</v>
      </c>
      <c r="G43" s="1022">
        <v>0</v>
      </c>
      <c r="H43" s="1023">
        <v>133.94952315646196</v>
      </c>
      <c r="I43" s="1024">
        <v>92.149682104307971</v>
      </c>
      <c r="J43" s="1025">
        <v>0</v>
      </c>
      <c r="K43" s="1020">
        <f>'II. Inputs, Baseline Energy Mix'!$N$101*'IX. Additional Data'!C43+'II. Inputs, Baseline Energy Mix'!$N$102</f>
        <v>0</v>
      </c>
      <c r="L43" s="1021">
        <f>'II. Inputs, Baseline Energy Mix'!$O$101*'IX. Additional Data'!C43+'II. Inputs, Baseline Energy Mix'!$O$102</f>
        <v>0</v>
      </c>
      <c r="M43" s="1022">
        <f>'II. Inputs, Baseline Energy Mix'!$P$101*'IX. Additional Data'!C43+'II. Inputs, Baseline Energy Mix'!$P$102</f>
        <v>0</v>
      </c>
      <c r="N43" s="1023">
        <f>'II. Inputs, Baseline Energy Mix'!$Q$101*'IX. Additional Data'!C43+'II. Inputs, Baseline Energy Mix'!$Q$102</f>
        <v>0</v>
      </c>
      <c r="O43" s="1024">
        <f>'II. Inputs, Baseline Energy Mix'!$R$101*'IX. Additional Data'!C43+'II. Inputs, Baseline Energy Mix'!$R$102</f>
        <v>0</v>
      </c>
      <c r="P43" s="1026">
        <f>'II. Inputs, Baseline Energy Mix'!$S$101*'IX. Additional Data'!C43+'II. Inputs, Baseline Energy Mix'!$S$102</f>
        <v>0</v>
      </c>
      <c r="Q43" s="1480">
        <v>35.524713616065235</v>
      </c>
      <c r="R43" s="1481">
        <v>38.56</v>
      </c>
      <c r="S43" s="1482">
        <v>0</v>
      </c>
      <c r="T43" s="1483">
        <v>136.55502254955306</v>
      </c>
      <c r="U43" s="1484">
        <v>93.886681699702024</v>
      </c>
      <c r="V43" s="1485">
        <v>0</v>
      </c>
    </row>
    <row r="44" spans="3:22" x14ac:dyDescent="0.25">
      <c r="C44" s="1019">
        <f t="shared" si="0"/>
        <v>28</v>
      </c>
      <c r="D44" s="1019">
        <f t="shared" si="0"/>
        <v>2041</v>
      </c>
      <c r="E44" s="1020">
        <v>47.51700701283356</v>
      </c>
      <c r="F44" s="1021">
        <v>19.051039049261767</v>
      </c>
      <c r="G44" s="1022">
        <v>0</v>
      </c>
      <c r="H44" s="1023">
        <v>136.55502254955306</v>
      </c>
      <c r="I44" s="1024">
        <v>93.886681699702024</v>
      </c>
      <c r="J44" s="1025">
        <v>0</v>
      </c>
      <c r="K44" s="1020">
        <f>'II. Inputs, Baseline Energy Mix'!$N$101*'IX. Additional Data'!C44+'II. Inputs, Baseline Energy Mix'!$N$102</f>
        <v>0</v>
      </c>
      <c r="L44" s="1021">
        <f>'II. Inputs, Baseline Energy Mix'!$O$101*'IX. Additional Data'!C44+'II. Inputs, Baseline Energy Mix'!$O$102</f>
        <v>0</v>
      </c>
      <c r="M44" s="1022">
        <f>'II. Inputs, Baseline Energy Mix'!$P$101*'IX. Additional Data'!C44+'II. Inputs, Baseline Energy Mix'!$P$102</f>
        <v>0</v>
      </c>
      <c r="N44" s="1023">
        <f>'II. Inputs, Baseline Energy Mix'!$Q$101*'IX. Additional Data'!C44+'II. Inputs, Baseline Energy Mix'!$Q$102</f>
        <v>0</v>
      </c>
      <c r="O44" s="1024">
        <f>'II. Inputs, Baseline Energy Mix'!$R$101*'IX. Additional Data'!C44+'II. Inputs, Baseline Energy Mix'!$R$102</f>
        <v>0</v>
      </c>
      <c r="P44" s="1026">
        <f>'II. Inputs, Baseline Energy Mix'!$S$101*'IX. Additional Data'!C44+'II. Inputs, Baseline Energy Mix'!$S$102</f>
        <v>0</v>
      </c>
      <c r="Q44" s="1480">
        <v>36.451705301332929</v>
      </c>
      <c r="R44" s="1481"/>
      <c r="S44" s="1482">
        <v>0</v>
      </c>
      <c r="T44" s="1483">
        <v>139.16052194264412</v>
      </c>
      <c r="U44" s="1484">
        <v>95.623681295096077</v>
      </c>
      <c r="V44" s="1485">
        <v>0</v>
      </c>
    </row>
    <row r="45" spans="3:22" x14ac:dyDescent="0.25">
      <c r="C45" s="1019">
        <f t="shared" si="0"/>
        <v>29</v>
      </c>
      <c r="D45" s="1019">
        <f t="shared" si="0"/>
        <v>2042</v>
      </c>
      <c r="E45" s="1020">
        <v>48.759438329892717</v>
      </c>
      <c r="F45" s="1021">
        <v>19.654340435378145</v>
      </c>
      <c r="G45" s="1022">
        <v>0</v>
      </c>
      <c r="H45" s="1023">
        <v>139.16052194264412</v>
      </c>
      <c r="I45" s="1024">
        <v>95.623681295096077</v>
      </c>
      <c r="J45" s="1025">
        <v>0</v>
      </c>
      <c r="K45" s="1020">
        <f>'II. Inputs, Baseline Energy Mix'!$N$101*'IX. Additional Data'!C45+'II. Inputs, Baseline Energy Mix'!$N$102</f>
        <v>0</v>
      </c>
      <c r="L45" s="1021">
        <f>'II. Inputs, Baseline Energy Mix'!$O$101*'IX. Additional Data'!C45+'II. Inputs, Baseline Energy Mix'!$O$102</f>
        <v>0</v>
      </c>
      <c r="M45" s="1022">
        <f>'II. Inputs, Baseline Energy Mix'!$P$101*'IX. Additional Data'!C45+'II. Inputs, Baseline Energy Mix'!$P$102</f>
        <v>0</v>
      </c>
      <c r="N45" s="1023">
        <f>'II. Inputs, Baseline Energy Mix'!$Q$101*'IX. Additional Data'!C45+'II. Inputs, Baseline Energy Mix'!$Q$102</f>
        <v>0</v>
      </c>
      <c r="O45" s="1024">
        <f>'II. Inputs, Baseline Energy Mix'!$R$101*'IX. Additional Data'!C45+'II. Inputs, Baseline Energy Mix'!$R$102</f>
        <v>0</v>
      </c>
      <c r="P45" s="1026">
        <f>'II. Inputs, Baseline Energy Mix'!$S$101*'IX. Additional Data'!C45+'II. Inputs, Baseline Energy Mix'!$S$102</f>
        <v>0</v>
      </c>
      <c r="Q45" s="1480">
        <v>37.378696986600623</v>
      </c>
      <c r="R45" s="1481"/>
      <c r="S45" s="1482">
        <v>0</v>
      </c>
      <c r="T45" s="1483">
        <v>141.76602133573522</v>
      </c>
      <c r="U45" s="1484">
        <v>97.36068089049013</v>
      </c>
      <c r="V45" s="1485">
        <v>0</v>
      </c>
    </row>
    <row r="46" spans="3:22" x14ac:dyDescent="0.25">
      <c r="C46" s="1019">
        <f t="shared" si="0"/>
        <v>30</v>
      </c>
      <c r="D46" s="1019">
        <f t="shared" si="0"/>
        <v>2043</v>
      </c>
      <c r="E46" s="1020">
        <v>50.001869646951874</v>
      </c>
      <c r="F46" s="1021">
        <v>20.257641821494516</v>
      </c>
      <c r="G46" s="1022">
        <v>0</v>
      </c>
      <c r="H46" s="1023">
        <v>141.76602133573522</v>
      </c>
      <c r="I46" s="1024">
        <v>97.36068089049013</v>
      </c>
      <c r="J46" s="1025">
        <v>0</v>
      </c>
      <c r="K46" s="1020">
        <f>'II. Inputs, Baseline Energy Mix'!$N$101*'IX. Additional Data'!C46+'II. Inputs, Baseline Energy Mix'!$N$102</f>
        <v>0</v>
      </c>
      <c r="L46" s="1021">
        <f>'II. Inputs, Baseline Energy Mix'!$O$101*'IX. Additional Data'!C46+'II. Inputs, Baseline Energy Mix'!$O$102</f>
        <v>0</v>
      </c>
      <c r="M46" s="1022">
        <f>'II. Inputs, Baseline Energy Mix'!$P$101*'IX. Additional Data'!C46+'II. Inputs, Baseline Energy Mix'!$P$102</f>
        <v>0</v>
      </c>
      <c r="N46" s="1023">
        <f>'II. Inputs, Baseline Energy Mix'!$Q$101*'IX. Additional Data'!C46+'II. Inputs, Baseline Energy Mix'!$Q$102</f>
        <v>0</v>
      </c>
      <c r="O46" s="1024">
        <f>'II. Inputs, Baseline Energy Mix'!$R$101*'IX. Additional Data'!C46+'II. Inputs, Baseline Energy Mix'!$R$102</f>
        <v>0</v>
      </c>
      <c r="P46" s="1026">
        <f>'II. Inputs, Baseline Energy Mix'!$S$101*'IX. Additional Data'!C46+'II. Inputs, Baseline Energy Mix'!$S$102</f>
        <v>0</v>
      </c>
      <c r="Q46" s="1480">
        <v>38.305688671868317</v>
      </c>
      <c r="R46" s="1481"/>
      <c r="S46" s="1482">
        <v>0</v>
      </c>
      <c r="T46" s="1483">
        <v>144.37152072882631</v>
      </c>
      <c r="U46" s="1484">
        <v>99.097680485884183</v>
      </c>
      <c r="V46" s="1485">
        <v>0</v>
      </c>
    </row>
    <row r="47" spans="3:22" x14ac:dyDescent="0.25">
      <c r="C47" s="1019">
        <f t="shared" si="0"/>
        <v>31</v>
      </c>
      <c r="D47" s="1019">
        <f t="shared" si="0"/>
        <v>2044</v>
      </c>
      <c r="E47" s="1020">
        <v>51.244300964011046</v>
      </c>
      <c r="F47" s="1021">
        <v>20.860943207610894</v>
      </c>
      <c r="G47" s="1022">
        <v>0</v>
      </c>
      <c r="H47" s="1023">
        <v>144.37152072882631</v>
      </c>
      <c r="I47" s="1024">
        <v>99.097680485884183</v>
      </c>
      <c r="J47" s="1025">
        <v>0</v>
      </c>
      <c r="K47" s="1020">
        <f>'II. Inputs, Baseline Energy Mix'!$N$101*'IX. Additional Data'!C47+'II. Inputs, Baseline Energy Mix'!$N$102</f>
        <v>0</v>
      </c>
      <c r="L47" s="1021">
        <f>'II. Inputs, Baseline Energy Mix'!$O$101*'IX. Additional Data'!C47+'II. Inputs, Baseline Energy Mix'!$O$102</f>
        <v>0</v>
      </c>
      <c r="M47" s="1022">
        <f>'II. Inputs, Baseline Energy Mix'!$P$101*'IX. Additional Data'!C47+'II. Inputs, Baseline Energy Mix'!$P$102</f>
        <v>0</v>
      </c>
      <c r="N47" s="1023">
        <f>'II. Inputs, Baseline Energy Mix'!$Q$101*'IX. Additional Data'!C47+'II. Inputs, Baseline Energy Mix'!$Q$102</f>
        <v>0</v>
      </c>
      <c r="O47" s="1024">
        <f>'II. Inputs, Baseline Energy Mix'!$R$101*'IX. Additional Data'!C47+'II. Inputs, Baseline Energy Mix'!$R$102</f>
        <v>0</v>
      </c>
      <c r="P47" s="1026">
        <f>'II. Inputs, Baseline Energy Mix'!$S$101*'IX. Additional Data'!C47+'II. Inputs, Baseline Energy Mix'!$S$102</f>
        <v>0</v>
      </c>
      <c r="Q47" s="1480">
        <v>39.240156096533333</v>
      </c>
      <c r="R47" s="1481"/>
      <c r="S47" s="1482">
        <v>0</v>
      </c>
      <c r="T47" s="1483">
        <v>146.97702012191738</v>
      </c>
      <c r="U47" s="1484">
        <v>100.83468008127824</v>
      </c>
      <c r="V47" s="1485">
        <v>0</v>
      </c>
    </row>
    <row r="48" spans="3:22" x14ac:dyDescent="0.25">
      <c r="C48" s="1019">
        <f t="shared" si="0"/>
        <v>32</v>
      </c>
      <c r="D48" s="1019">
        <f t="shared" si="0"/>
        <v>2045</v>
      </c>
      <c r="E48" s="1020">
        <v>52.486732281070203</v>
      </c>
      <c r="F48" s="1021">
        <v>21.464244593727273</v>
      </c>
      <c r="G48" s="1022">
        <v>0</v>
      </c>
      <c r="H48" s="1023">
        <v>146.97702012191738</v>
      </c>
      <c r="I48" s="1024">
        <v>100.83468008127824</v>
      </c>
      <c r="J48" s="1025">
        <v>0</v>
      </c>
      <c r="K48" s="1020">
        <f>'II. Inputs, Baseline Energy Mix'!$N$101*'IX. Additional Data'!C48+'II. Inputs, Baseline Energy Mix'!$N$102</f>
        <v>0</v>
      </c>
      <c r="L48" s="1021">
        <f>'II. Inputs, Baseline Energy Mix'!$O$101*'IX. Additional Data'!C48+'II. Inputs, Baseline Energy Mix'!$O$102</f>
        <v>0</v>
      </c>
      <c r="M48" s="1022">
        <f>'II. Inputs, Baseline Energy Mix'!$P$101*'IX. Additional Data'!C48+'II. Inputs, Baseline Energy Mix'!$P$102</f>
        <v>0</v>
      </c>
      <c r="N48" s="1023">
        <f>'II. Inputs, Baseline Energy Mix'!$Q$101*'IX. Additional Data'!C48+'II. Inputs, Baseline Energy Mix'!$Q$102</f>
        <v>0</v>
      </c>
      <c r="O48" s="1024">
        <f>'II. Inputs, Baseline Energy Mix'!$R$101*'IX. Additional Data'!C48+'II. Inputs, Baseline Energy Mix'!$R$102</f>
        <v>0</v>
      </c>
      <c r="P48" s="1026">
        <f>'II. Inputs, Baseline Energy Mix'!$S$101*'IX. Additional Data'!C48+'II. Inputs, Baseline Energy Mix'!$S$102</f>
        <v>0</v>
      </c>
      <c r="Q48" s="1480">
        <v>40.167147781801027</v>
      </c>
      <c r="R48" s="1481"/>
      <c r="S48" s="1482">
        <v>0</v>
      </c>
      <c r="T48" s="1483">
        <v>149.58251951500847</v>
      </c>
      <c r="U48" s="1484">
        <v>102.57167967667229</v>
      </c>
      <c r="V48" s="1485">
        <v>0</v>
      </c>
    </row>
    <row r="49" spans="3:22" x14ac:dyDescent="0.25">
      <c r="C49" s="1019">
        <f t="shared" si="0"/>
        <v>33</v>
      </c>
      <c r="D49" s="1019">
        <f t="shared" si="0"/>
        <v>2046</v>
      </c>
      <c r="E49" s="1020">
        <v>53.729163598129361</v>
      </c>
      <c r="F49" s="1021">
        <v>22.067545979843651</v>
      </c>
      <c r="G49" s="1022">
        <v>0</v>
      </c>
      <c r="H49" s="1023">
        <v>149.58251951500847</v>
      </c>
      <c r="I49" s="1024">
        <v>102.57167967667229</v>
      </c>
      <c r="J49" s="1025">
        <v>0</v>
      </c>
      <c r="K49" s="1020">
        <f>'II. Inputs, Baseline Energy Mix'!$N$101*'IX. Additional Data'!C49+'II. Inputs, Baseline Energy Mix'!$N$102</f>
        <v>0</v>
      </c>
      <c r="L49" s="1021">
        <f>'II. Inputs, Baseline Energy Mix'!$O$101*'IX. Additional Data'!C49+'II. Inputs, Baseline Energy Mix'!$O$102</f>
        <v>0</v>
      </c>
      <c r="M49" s="1022">
        <f>'II. Inputs, Baseline Energy Mix'!$P$101*'IX. Additional Data'!C49+'II. Inputs, Baseline Energy Mix'!$P$102</f>
        <v>0</v>
      </c>
      <c r="N49" s="1023">
        <f>'II. Inputs, Baseline Energy Mix'!$Q$101*'IX. Additional Data'!C49+'II. Inputs, Baseline Energy Mix'!$Q$102</f>
        <v>0</v>
      </c>
      <c r="O49" s="1024">
        <f>'II. Inputs, Baseline Energy Mix'!$R$101*'IX. Additional Data'!C49+'II. Inputs, Baseline Energy Mix'!$R$102</f>
        <v>0</v>
      </c>
      <c r="P49" s="1026">
        <f>'II. Inputs, Baseline Energy Mix'!$S$101*'IX. Additional Data'!C49+'II. Inputs, Baseline Energy Mix'!$S$102</f>
        <v>0</v>
      </c>
      <c r="Q49" s="1480">
        <v>41.094139467068722</v>
      </c>
      <c r="R49" s="1481"/>
      <c r="S49" s="1482">
        <v>0</v>
      </c>
      <c r="T49" s="1483">
        <v>152.18801890809954</v>
      </c>
      <c r="U49" s="1484">
        <v>104.30867927206634</v>
      </c>
      <c r="V49" s="1485">
        <v>0</v>
      </c>
    </row>
    <row r="50" spans="3:22" x14ac:dyDescent="0.25">
      <c r="C50" s="1019">
        <f t="shared" ref="C50:D66" si="1">C49+1</f>
        <v>34</v>
      </c>
      <c r="D50" s="1019">
        <f t="shared" si="1"/>
        <v>2047</v>
      </c>
      <c r="E50" s="1020">
        <v>54.971594915188533</v>
      </c>
      <c r="F50" s="1021">
        <v>22.670847365960029</v>
      </c>
      <c r="G50" s="1022">
        <v>0</v>
      </c>
      <c r="H50" s="1023">
        <v>152.18801890809954</v>
      </c>
      <c r="I50" s="1024">
        <v>104.30867927206634</v>
      </c>
      <c r="J50" s="1025">
        <v>0</v>
      </c>
      <c r="K50" s="1020">
        <f>'II. Inputs, Baseline Energy Mix'!$N$101*'IX. Additional Data'!C50+'II. Inputs, Baseline Energy Mix'!$N$102</f>
        <v>0</v>
      </c>
      <c r="L50" s="1021">
        <f>'II. Inputs, Baseline Energy Mix'!$O$101*'IX. Additional Data'!C50+'II. Inputs, Baseline Energy Mix'!$O$102</f>
        <v>0</v>
      </c>
      <c r="M50" s="1022">
        <f>'II. Inputs, Baseline Energy Mix'!$P$101*'IX. Additional Data'!C50+'II. Inputs, Baseline Energy Mix'!$P$102</f>
        <v>0</v>
      </c>
      <c r="N50" s="1023">
        <f>'II. Inputs, Baseline Energy Mix'!$Q$101*'IX. Additional Data'!C50+'II. Inputs, Baseline Energy Mix'!$Q$102</f>
        <v>0</v>
      </c>
      <c r="O50" s="1024">
        <f>'II. Inputs, Baseline Energy Mix'!$R$101*'IX. Additional Data'!C50+'II. Inputs, Baseline Energy Mix'!$R$102</f>
        <v>0</v>
      </c>
      <c r="P50" s="1026">
        <f>'II. Inputs, Baseline Energy Mix'!$S$101*'IX. Additional Data'!C50+'II. Inputs, Baseline Energy Mix'!$S$102</f>
        <v>0</v>
      </c>
      <c r="Q50" s="1480">
        <v>42.021131152336423</v>
      </c>
      <c r="R50" s="1481"/>
      <c r="S50" s="1482">
        <v>0</v>
      </c>
      <c r="T50" s="1483">
        <v>154.79351830119063</v>
      </c>
      <c r="U50" s="1484">
        <v>106.04567886746041</v>
      </c>
      <c r="V50" s="1485">
        <v>0</v>
      </c>
    </row>
    <row r="51" spans="3:22" x14ac:dyDescent="0.25">
      <c r="C51" s="1019">
        <f t="shared" si="1"/>
        <v>35</v>
      </c>
      <c r="D51" s="1019">
        <f t="shared" si="1"/>
        <v>2048</v>
      </c>
      <c r="E51" s="1020">
        <v>56.21402623224769</v>
      </c>
      <c r="F51" s="1021">
        <v>23.274148752076407</v>
      </c>
      <c r="G51" s="1022">
        <v>0</v>
      </c>
      <c r="H51" s="1023">
        <v>154.79351830119063</v>
      </c>
      <c r="I51" s="1024">
        <v>106.04567886746041</v>
      </c>
      <c r="J51" s="1025">
        <v>0</v>
      </c>
      <c r="K51" s="1020">
        <f>'II. Inputs, Baseline Energy Mix'!$N$101*'IX. Additional Data'!C51+'II. Inputs, Baseline Energy Mix'!$N$102</f>
        <v>0</v>
      </c>
      <c r="L51" s="1021">
        <f>'II. Inputs, Baseline Energy Mix'!$O$101*'IX. Additional Data'!C51+'II. Inputs, Baseline Energy Mix'!$O$102</f>
        <v>0</v>
      </c>
      <c r="M51" s="1022">
        <f>'II. Inputs, Baseline Energy Mix'!$P$101*'IX. Additional Data'!C51+'II. Inputs, Baseline Energy Mix'!$P$102</f>
        <v>0</v>
      </c>
      <c r="N51" s="1023">
        <f>'II. Inputs, Baseline Energy Mix'!$Q$101*'IX. Additional Data'!C51+'II. Inputs, Baseline Energy Mix'!$Q$102</f>
        <v>0</v>
      </c>
      <c r="O51" s="1024">
        <f>'II. Inputs, Baseline Energy Mix'!$R$101*'IX. Additional Data'!C51+'II. Inputs, Baseline Energy Mix'!$R$102</f>
        <v>0</v>
      </c>
      <c r="P51" s="1026">
        <f>'II. Inputs, Baseline Energy Mix'!$S$101*'IX. Additional Data'!C51+'II. Inputs, Baseline Energy Mix'!$S$102</f>
        <v>0</v>
      </c>
      <c r="Q51" s="1480">
        <v>42.955598577001439</v>
      </c>
      <c r="R51" s="1481"/>
      <c r="S51" s="1482">
        <v>0</v>
      </c>
      <c r="T51" s="1483">
        <v>157.39901769428172</v>
      </c>
      <c r="U51" s="1484">
        <v>107.78267846285446</v>
      </c>
      <c r="V51" s="1485">
        <v>0</v>
      </c>
    </row>
    <row r="52" spans="3:22" x14ac:dyDescent="0.25">
      <c r="C52" s="1019">
        <f t="shared" si="1"/>
        <v>36</v>
      </c>
      <c r="D52" s="1019">
        <f t="shared" si="1"/>
        <v>2049</v>
      </c>
      <c r="E52" s="1020">
        <v>57.456457549306847</v>
      </c>
      <c r="F52" s="1021">
        <v>23.877450138192785</v>
      </c>
      <c r="G52" s="1022">
        <v>0</v>
      </c>
      <c r="H52" s="1023">
        <v>157.39901769428172</v>
      </c>
      <c r="I52" s="1024">
        <v>107.78267846285446</v>
      </c>
      <c r="J52" s="1025">
        <v>0</v>
      </c>
      <c r="K52" s="1020">
        <f>'II. Inputs, Baseline Energy Mix'!$N$101*'IX. Additional Data'!C52+'II. Inputs, Baseline Energy Mix'!$N$102</f>
        <v>0</v>
      </c>
      <c r="L52" s="1021">
        <f>'II. Inputs, Baseline Energy Mix'!$O$101*'IX. Additional Data'!C52+'II. Inputs, Baseline Energy Mix'!$O$102</f>
        <v>0</v>
      </c>
      <c r="M52" s="1022">
        <f>'II. Inputs, Baseline Energy Mix'!$P$101*'IX. Additional Data'!C52+'II. Inputs, Baseline Energy Mix'!$P$102</f>
        <v>0</v>
      </c>
      <c r="N52" s="1023">
        <f>'II. Inputs, Baseline Energy Mix'!$Q$101*'IX. Additional Data'!C52+'II. Inputs, Baseline Energy Mix'!$Q$102</f>
        <v>0</v>
      </c>
      <c r="O52" s="1024">
        <f>'II. Inputs, Baseline Energy Mix'!$R$101*'IX. Additional Data'!C52+'II. Inputs, Baseline Energy Mix'!$R$102</f>
        <v>0</v>
      </c>
      <c r="P52" s="1026">
        <f>'II. Inputs, Baseline Energy Mix'!$S$101*'IX. Additional Data'!C52+'II. Inputs, Baseline Energy Mix'!$S$102</f>
        <v>0</v>
      </c>
      <c r="Q52" s="1480">
        <v>43.882590262269133</v>
      </c>
      <c r="R52" s="1481"/>
      <c r="S52" s="1482">
        <v>0</v>
      </c>
      <c r="T52" s="1483">
        <v>160.00451708737279</v>
      </c>
      <c r="U52" s="1484">
        <v>109.51967805824852</v>
      </c>
      <c r="V52" s="1485">
        <v>0</v>
      </c>
    </row>
    <row r="53" spans="3:22" x14ac:dyDescent="0.25">
      <c r="C53" s="1019">
        <f t="shared" si="1"/>
        <v>37</v>
      </c>
      <c r="D53" s="1019">
        <f t="shared" si="1"/>
        <v>2050</v>
      </c>
      <c r="E53" s="1020">
        <v>58.698888866366019</v>
      </c>
      <c r="F53" s="1021">
        <v>24.480751524309163</v>
      </c>
      <c r="G53" s="1022">
        <v>0</v>
      </c>
      <c r="H53" s="1023">
        <v>160.00451708737279</v>
      </c>
      <c r="I53" s="1024">
        <v>109.51967805824852</v>
      </c>
      <c r="J53" s="1025">
        <v>0</v>
      </c>
      <c r="K53" s="1020">
        <f>'II. Inputs, Baseline Energy Mix'!$N$101*'IX. Additional Data'!C53+'II. Inputs, Baseline Energy Mix'!$N$102</f>
        <v>0</v>
      </c>
      <c r="L53" s="1021">
        <f>'II. Inputs, Baseline Energy Mix'!$O$101*'IX. Additional Data'!C53+'II. Inputs, Baseline Energy Mix'!$O$102</f>
        <v>0</v>
      </c>
      <c r="M53" s="1022">
        <f>'II. Inputs, Baseline Energy Mix'!$P$101*'IX. Additional Data'!C53+'II. Inputs, Baseline Energy Mix'!$P$102</f>
        <v>0</v>
      </c>
      <c r="N53" s="1023">
        <f>'II. Inputs, Baseline Energy Mix'!$Q$101*'IX. Additional Data'!C53+'II. Inputs, Baseline Energy Mix'!$Q$102</f>
        <v>0</v>
      </c>
      <c r="O53" s="1024">
        <f>'II. Inputs, Baseline Energy Mix'!$R$101*'IX. Additional Data'!C53+'II. Inputs, Baseline Energy Mix'!$R$102</f>
        <v>0</v>
      </c>
      <c r="P53" s="1026">
        <f>'II. Inputs, Baseline Energy Mix'!$S$101*'IX. Additional Data'!C53+'II. Inputs, Baseline Energy Mix'!$S$102</f>
        <v>0</v>
      </c>
      <c r="Q53" s="1480">
        <v>44.809581947536827</v>
      </c>
      <c r="R53" s="1481"/>
      <c r="S53" s="1482">
        <v>0</v>
      </c>
      <c r="T53" s="1483">
        <v>162.61001648046388</v>
      </c>
      <c r="U53" s="1484">
        <v>111.25667765364257</v>
      </c>
      <c r="V53" s="1485">
        <v>0</v>
      </c>
    </row>
    <row r="54" spans="3:22" x14ac:dyDescent="0.25">
      <c r="C54" s="1019">
        <f t="shared" si="1"/>
        <v>38</v>
      </c>
      <c r="D54" s="1019">
        <f t="shared" si="1"/>
        <v>2051</v>
      </c>
      <c r="E54" s="1020">
        <v>59.941320183425177</v>
      </c>
      <c r="F54" s="1021">
        <v>25.084052910425534</v>
      </c>
      <c r="G54" s="1022">
        <v>0</v>
      </c>
      <c r="H54" s="1023">
        <v>162.61001648046388</v>
      </c>
      <c r="I54" s="1024">
        <v>111.25667765364257</v>
      </c>
      <c r="J54" s="1025">
        <v>0</v>
      </c>
      <c r="K54" s="1020">
        <f>'II. Inputs, Baseline Energy Mix'!$N$101*'IX. Additional Data'!C54+'II. Inputs, Baseline Energy Mix'!$N$102</f>
        <v>0</v>
      </c>
      <c r="L54" s="1021">
        <f>'II. Inputs, Baseline Energy Mix'!$O$101*'IX. Additional Data'!C54+'II. Inputs, Baseline Energy Mix'!$O$102</f>
        <v>0</v>
      </c>
      <c r="M54" s="1022">
        <f>'II. Inputs, Baseline Energy Mix'!$P$101*'IX. Additional Data'!C54+'II. Inputs, Baseline Energy Mix'!$P$102</f>
        <v>0</v>
      </c>
      <c r="N54" s="1023">
        <f>'II. Inputs, Baseline Energy Mix'!$Q$101*'IX. Additional Data'!C54+'II. Inputs, Baseline Energy Mix'!$Q$102</f>
        <v>0</v>
      </c>
      <c r="O54" s="1024">
        <f>'II. Inputs, Baseline Energy Mix'!$R$101*'IX. Additional Data'!C54+'II. Inputs, Baseline Energy Mix'!$R$102</f>
        <v>0</v>
      </c>
      <c r="P54" s="1026">
        <f>'II. Inputs, Baseline Energy Mix'!$S$101*'IX. Additional Data'!C54+'II. Inputs, Baseline Energy Mix'!$S$102</f>
        <v>0</v>
      </c>
      <c r="Q54" s="1480">
        <v>45.736573632804522</v>
      </c>
      <c r="R54" s="1481"/>
      <c r="S54" s="1482">
        <v>0</v>
      </c>
      <c r="T54" s="1483">
        <v>165.21551587355495</v>
      </c>
      <c r="U54" s="1484">
        <v>112.99367724903662</v>
      </c>
      <c r="V54" s="1485">
        <v>0</v>
      </c>
    </row>
    <row r="55" spans="3:22" x14ac:dyDescent="0.25">
      <c r="C55" s="1019">
        <f t="shared" si="1"/>
        <v>39</v>
      </c>
      <c r="D55" s="1019">
        <f t="shared" si="1"/>
        <v>2052</v>
      </c>
      <c r="E55" s="1020">
        <v>61.183751500484334</v>
      </c>
      <c r="F55" s="1021">
        <v>25.687354296541912</v>
      </c>
      <c r="G55" s="1022">
        <v>0</v>
      </c>
      <c r="H55" s="1023">
        <v>165.21551587355495</v>
      </c>
      <c r="I55" s="1024">
        <v>112.99367724903662</v>
      </c>
      <c r="J55" s="1025">
        <v>0</v>
      </c>
      <c r="K55" s="1020">
        <f>'II. Inputs, Baseline Energy Mix'!$N$101*'IX. Additional Data'!C55+'II. Inputs, Baseline Energy Mix'!$N$102</f>
        <v>0</v>
      </c>
      <c r="L55" s="1021">
        <f>'II. Inputs, Baseline Energy Mix'!$O$101*'IX. Additional Data'!C55+'II. Inputs, Baseline Energy Mix'!$O$102</f>
        <v>0</v>
      </c>
      <c r="M55" s="1022">
        <f>'II. Inputs, Baseline Energy Mix'!$P$101*'IX. Additional Data'!C55+'II. Inputs, Baseline Energy Mix'!$P$102</f>
        <v>0</v>
      </c>
      <c r="N55" s="1023">
        <f>'II. Inputs, Baseline Energy Mix'!$Q$101*'IX. Additional Data'!C55+'II. Inputs, Baseline Energy Mix'!$Q$102</f>
        <v>0</v>
      </c>
      <c r="O55" s="1024">
        <f>'II. Inputs, Baseline Energy Mix'!$R$101*'IX. Additional Data'!C55+'II. Inputs, Baseline Energy Mix'!$R$102</f>
        <v>0</v>
      </c>
      <c r="P55" s="1026">
        <f>'II. Inputs, Baseline Energy Mix'!$S$101*'IX. Additional Data'!C55+'II. Inputs, Baseline Energy Mix'!$S$102</f>
        <v>0</v>
      </c>
      <c r="Q55" s="1480">
        <v>46.671041057469537</v>
      </c>
      <c r="R55" s="1481"/>
      <c r="S55" s="1482">
        <v>0</v>
      </c>
      <c r="T55" s="1483">
        <v>167.82101526664604</v>
      </c>
      <c r="U55" s="1484">
        <v>114.73067684443068</v>
      </c>
      <c r="V55" s="1485">
        <v>0</v>
      </c>
    </row>
    <row r="56" spans="3:22" x14ac:dyDescent="0.25">
      <c r="C56" s="1019">
        <f t="shared" si="1"/>
        <v>40</v>
      </c>
      <c r="D56" s="1019">
        <f t="shared" si="1"/>
        <v>2053</v>
      </c>
      <c r="E56" s="1020">
        <v>62.426182817543506</v>
      </c>
      <c r="F56" s="1021">
        <v>26.29065568265829</v>
      </c>
      <c r="G56" s="1022">
        <v>0</v>
      </c>
      <c r="H56" s="1023">
        <v>167.82101526664604</v>
      </c>
      <c r="I56" s="1024">
        <v>114.73067684443068</v>
      </c>
      <c r="J56" s="1025">
        <v>0</v>
      </c>
      <c r="K56" s="1020">
        <f>'II. Inputs, Baseline Energy Mix'!$N$101*'IX. Additional Data'!C56+'II. Inputs, Baseline Energy Mix'!$N$102</f>
        <v>0</v>
      </c>
      <c r="L56" s="1021">
        <f>'II. Inputs, Baseline Energy Mix'!$O$101*'IX. Additional Data'!C56+'II. Inputs, Baseline Energy Mix'!$O$102</f>
        <v>0</v>
      </c>
      <c r="M56" s="1022">
        <f>'II. Inputs, Baseline Energy Mix'!$P$101*'IX. Additional Data'!C56+'II. Inputs, Baseline Energy Mix'!$P$102</f>
        <v>0</v>
      </c>
      <c r="N56" s="1023">
        <f>'II. Inputs, Baseline Energy Mix'!$Q$101*'IX. Additional Data'!C56+'II. Inputs, Baseline Energy Mix'!$Q$102</f>
        <v>0</v>
      </c>
      <c r="O56" s="1024">
        <f>'II. Inputs, Baseline Energy Mix'!$R$101*'IX. Additional Data'!C56+'II. Inputs, Baseline Energy Mix'!$R$102</f>
        <v>0</v>
      </c>
      <c r="P56" s="1026">
        <f>'II. Inputs, Baseline Energy Mix'!$S$101*'IX. Additional Data'!C56+'II. Inputs, Baseline Energy Mix'!$S$102</f>
        <v>0</v>
      </c>
      <c r="Q56" s="1480"/>
      <c r="R56" s="1481"/>
      <c r="S56" s="1482">
        <v>0</v>
      </c>
      <c r="T56" s="1483">
        <v>170.42651465973714</v>
      </c>
      <c r="U56" s="1484">
        <v>116.46767643982473</v>
      </c>
      <c r="V56" s="1485">
        <v>0</v>
      </c>
    </row>
    <row r="57" spans="3:22" x14ac:dyDescent="0.25">
      <c r="C57" s="1019">
        <f t="shared" si="1"/>
        <v>41</v>
      </c>
      <c r="D57" s="1027"/>
      <c r="E57" s="1020"/>
      <c r="F57" s="1021"/>
      <c r="G57" s="1022"/>
      <c r="H57" s="1023"/>
      <c r="I57" s="1024"/>
      <c r="J57" s="1025"/>
      <c r="K57" s="1020"/>
      <c r="L57" s="1021"/>
      <c r="M57" s="1022"/>
      <c r="N57" s="1023"/>
      <c r="O57" s="1024"/>
      <c r="P57" s="1026"/>
      <c r="Q57" s="1049"/>
      <c r="R57" s="1050"/>
      <c r="S57" s="1051"/>
      <c r="T57" s="1052"/>
      <c r="U57" s="1053"/>
      <c r="V57" s="1054"/>
    </row>
    <row r="58" spans="3:22" x14ac:dyDescent="0.25">
      <c r="C58" s="1019">
        <f t="shared" si="1"/>
        <v>42</v>
      </c>
      <c r="D58" s="1027"/>
      <c r="E58" s="1020"/>
      <c r="F58" s="1021"/>
      <c r="G58" s="1022"/>
      <c r="H58" s="1023"/>
      <c r="I58" s="1024"/>
      <c r="J58" s="1025"/>
      <c r="K58" s="1020"/>
      <c r="L58" s="1021"/>
      <c r="M58" s="1022"/>
      <c r="N58" s="1023"/>
      <c r="O58" s="1024"/>
      <c r="P58" s="1026"/>
      <c r="Q58" s="1049"/>
      <c r="R58" s="1050"/>
      <c r="S58" s="1051"/>
      <c r="T58" s="1052"/>
      <c r="U58" s="1053"/>
      <c r="V58" s="1054"/>
    </row>
    <row r="59" spans="3:22" x14ac:dyDescent="0.25">
      <c r="C59" s="1019">
        <f t="shared" si="1"/>
        <v>43</v>
      </c>
      <c r="D59" s="1027"/>
      <c r="E59" s="1020"/>
      <c r="F59" s="1021"/>
      <c r="G59" s="1022"/>
      <c r="H59" s="1023"/>
      <c r="I59" s="1024"/>
      <c r="J59" s="1025"/>
      <c r="K59" s="1020"/>
      <c r="L59" s="1021"/>
      <c r="M59" s="1022"/>
      <c r="N59" s="1023"/>
      <c r="O59" s="1024"/>
      <c r="P59" s="1026"/>
      <c r="Q59" s="1049"/>
      <c r="R59" s="1050"/>
      <c r="S59" s="1051"/>
      <c r="T59" s="1052"/>
      <c r="U59" s="1053"/>
      <c r="V59" s="1054"/>
    </row>
    <row r="60" spans="3:22" x14ac:dyDescent="0.25">
      <c r="C60" s="1019">
        <f t="shared" si="1"/>
        <v>44</v>
      </c>
      <c r="D60" s="1027"/>
      <c r="E60" s="1020"/>
      <c r="F60" s="1021"/>
      <c r="G60" s="1022"/>
      <c r="H60" s="1023"/>
      <c r="I60" s="1024"/>
      <c r="J60" s="1025"/>
      <c r="K60" s="1020"/>
      <c r="L60" s="1021"/>
      <c r="M60" s="1022"/>
      <c r="N60" s="1023"/>
      <c r="O60" s="1024"/>
      <c r="P60" s="1026"/>
      <c r="Q60" s="1049"/>
      <c r="R60" s="1050"/>
      <c r="S60" s="1051"/>
      <c r="T60" s="1052"/>
      <c r="U60" s="1053"/>
      <c r="V60" s="1054"/>
    </row>
    <row r="61" spans="3:22" x14ac:dyDescent="0.25">
      <c r="C61" s="1019">
        <f t="shared" si="1"/>
        <v>45</v>
      </c>
      <c r="D61" s="1027"/>
      <c r="E61" s="1020"/>
      <c r="F61" s="1021"/>
      <c r="G61" s="1022"/>
      <c r="H61" s="1023"/>
      <c r="I61" s="1024"/>
      <c r="J61" s="1025"/>
      <c r="K61" s="1020"/>
      <c r="L61" s="1021"/>
      <c r="M61" s="1022"/>
      <c r="N61" s="1023"/>
      <c r="O61" s="1024"/>
      <c r="P61" s="1026"/>
      <c r="Q61" s="1049"/>
      <c r="R61" s="1050"/>
      <c r="S61" s="1051"/>
      <c r="T61" s="1052"/>
      <c r="U61" s="1053"/>
      <c r="V61" s="1054"/>
    </row>
    <row r="62" spans="3:22" x14ac:dyDescent="0.25">
      <c r="C62" s="1019">
        <f t="shared" si="1"/>
        <v>46</v>
      </c>
      <c r="D62" s="1027"/>
      <c r="E62" s="1020"/>
      <c r="F62" s="1021"/>
      <c r="G62" s="1022"/>
      <c r="H62" s="1023"/>
      <c r="I62" s="1024"/>
      <c r="J62" s="1025"/>
      <c r="K62" s="1020"/>
      <c r="L62" s="1021"/>
      <c r="M62" s="1022"/>
      <c r="N62" s="1023"/>
      <c r="O62" s="1024"/>
      <c r="P62" s="1026"/>
      <c r="Q62" s="1049"/>
      <c r="R62" s="1050"/>
      <c r="S62" s="1051"/>
      <c r="T62" s="1052"/>
      <c r="U62" s="1053"/>
      <c r="V62" s="1054"/>
    </row>
    <row r="63" spans="3:22" x14ac:dyDescent="0.25">
      <c r="C63" s="1019">
        <f t="shared" si="1"/>
        <v>47</v>
      </c>
      <c r="D63" s="1027"/>
      <c r="E63" s="154"/>
      <c r="F63" s="1028"/>
      <c r="G63" s="1029"/>
      <c r="H63" s="1030"/>
      <c r="I63" s="1031"/>
      <c r="J63" s="1032"/>
      <c r="K63" s="154"/>
      <c r="L63" s="1028"/>
      <c r="M63" s="1029"/>
      <c r="N63" s="1030"/>
      <c r="O63" s="1031"/>
      <c r="P63" s="158"/>
      <c r="Q63" s="1055"/>
      <c r="R63" s="1056"/>
      <c r="S63" s="1057"/>
      <c r="T63" s="1058"/>
      <c r="U63" s="1059"/>
      <c r="V63" s="1060"/>
    </row>
    <row r="64" spans="3:22" x14ac:dyDescent="0.25">
      <c r="C64" s="1019">
        <f t="shared" si="1"/>
        <v>48</v>
      </c>
      <c r="D64" s="1027"/>
      <c r="E64" s="154"/>
      <c r="F64" s="1028"/>
      <c r="G64" s="1029"/>
      <c r="H64" s="1030"/>
      <c r="I64" s="1031"/>
      <c r="J64" s="1032"/>
      <c r="K64" s="154"/>
      <c r="L64" s="1028"/>
      <c r="M64" s="1029"/>
      <c r="N64" s="1030"/>
      <c r="O64" s="1031"/>
      <c r="P64" s="158"/>
      <c r="Q64" s="1055"/>
      <c r="R64" s="1056"/>
      <c r="S64" s="1057"/>
      <c r="T64" s="1058"/>
      <c r="U64" s="1059"/>
      <c r="V64" s="1060"/>
    </row>
    <row r="65" spans="1:22" x14ac:dyDescent="0.25">
      <c r="C65" s="1019">
        <f t="shared" si="1"/>
        <v>49</v>
      </c>
      <c r="D65" s="1027"/>
      <c r="E65" s="154"/>
      <c r="F65" s="1028"/>
      <c r="G65" s="1029"/>
      <c r="H65" s="1030"/>
      <c r="I65" s="1031"/>
      <c r="J65" s="1032"/>
      <c r="K65" s="154"/>
      <c r="L65" s="1028"/>
      <c r="M65" s="1029"/>
      <c r="N65" s="1030"/>
      <c r="O65" s="1031"/>
      <c r="P65" s="158"/>
      <c r="Q65" s="1055"/>
      <c r="R65" s="1056"/>
      <c r="S65" s="1057"/>
      <c r="T65" s="1058"/>
      <c r="U65" s="1059"/>
      <c r="V65" s="1060"/>
    </row>
    <row r="66" spans="1:22" x14ac:dyDescent="0.25">
      <c r="C66" s="1033">
        <f t="shared" si="1"/>
        <v>50</v>
      </c>
      <c r="D66" s="1034"/>
      <c r="E66" s="1035"/>
      <c r="F66" s="1036"/>
      <c r="G66" s="1037"/>
      <c r="H66" s="1038"/>
      <c r="I66" s="1039"/>
      <c r="J66" s="1040"/>
      <c r="K66" s="1035"/>
      <c r="L66" s="1036"/>
      <c r="M66" s="1037"/>
      <c r="N66" s="1038"/>
      <c r="O66" s="1039"/>
      <c r="P66" s="1041"/>
      <c r="Q66" s="1061"/>
      <c r="R66" s="1062"/>
      <c r="S66" s="1063"/>
      <c r="T66" s="1064"/>
      <c r="U66" s="1065"/>
      <c r="V66" s="1066"/>
    </row>
    <row r="67" spans="1:22" x14ac:dyDescent="0.25"/>
    <row r="68" spans="1:22" x14ac:dyDescent="0.25"/>
    <row r="69" spans="1:22" x14ac:dyDescent="0.25"/>
    <row r="70" spans="1:22" x14ac:dyDescent="0.25">
      <c r="A70" s="791" t="s">
        <v>339</v>
      </c>
      <c r="B70" s="791"/>
      <c r="C70" s="791"/>
      <c r="D70" s="791"/>
      <c r="E70" s="791"/>
      <c r="F70" s="791"/>
      <c r="G70" s="791"/>
      <c r="H70" s="791"/>
      <c r="I70" s="791"/>
      <c r="J70" s="791"/>
      <c r="K70" s="794"/>
      <c r="L70" s="792"/>
      <c r="M70" s="792"/>
      <c r="N70" s="792"/>
      <c r="O70" s="792"/>
      <c r="P70" s="792"/>
      <c r="Q70" s="792"/>
      <c r="R70" s="792"/>
      <c r="S70" s="792"/>
      <c r="T70" s="792"/>
      <c r="U70" s="792"/>
      <c r="V70" s="792"/>
    </row>
    <row r="71" spans="1:22" x14ac:dyDescent="0.25"/>
    <row r="72" spans="1:22" x14ac:dyDescent="0.25">
      <c r="C72" s="1042" t="s">
        <v>267</v>
      </c>
      <c r="D72" s="1043" t="s">
        <v>336</v>
      </c>
    </row>
    <row r="73" spans="1:22" x14ac:dyDescent="0.25">
      <c r="C73" s="1027"/>
      <c r="D73" s="1044" t="s">
        <v>335</v>
      </c>
    </row>
    <row r="74" spans="1:22" x14ac:dyDescent="0.25">
      <c r="C74" s="1034"/>
      <c r="D74" s="1045" t="s">
        <v>634</v>
      </c>
    </row>
    <row r="75" spans="1:22" s="182" customFormat="1" x14ac:dyDescent="0.25">
      <c r="C75" s="1046">
        <v>1</v>
      </c>
      <c r="D75" s="1364">
        <v>6995.6040000000012</v>
      </c>
    </row>
    <row r="76" spans="1:22" x14ac:dyDescent="0.25">
      <c r="C76" s="1047">
        <v>2</v>
      </c>
      <c r="D76" s="1364">
        <v>11542.74</v>
      </c>
    </row>
    <row r="77" spans="1:22" x14ac:dyDescent="0.25">
      <c r="C77" s="1047">
        <v>3</v>
      </c>
      <c r="D77" s="1364">
        <v>16089.876000000002</v>
      </c>
    </row>
    <row r="78" spans="1:22" x14ac:dyDescent="0.25">
      <c r="C78" s="1047">
        <v>4</v>
      </c>
      <c r="D78" s="1364">
        <v>20637.012000000002</v>
      </c>
    </row>
    <row r="79" spans="1:22" x14ac:dyDescent="0.25">
      <c r="C79" s="1047">
        <v>5</v>
      </c>
      <c r="D79" s="1364">
        <v>25184.148000000005</v>
      </c>
    </row>
    <row r="80" spans="1:22" x14ac:dyDescent="0.25">
      <c r="C80" s="1047">
        <v>6</v>
      </c>
      <c r="D80" s="1364">
        <v>29731.284000000007</v>
      </c>
    </row>
    <row r="81" spans="3:4" x14ac:dyDescent="0.25">
      <c r="C81" s="1047">
        <v>7</v>
      </c>
      <c r="D81" s="1364">
        <v>34278.420000000006</v>
      </c>
    </row>
    <row r="82" spans="3:4" x14ac:dyDescent="0.25">
      <c r="C82" s="1047">
        <v>8</v>
      </c>
      <c r="D82" s="1364">
        <v>38825.556000000004</v>
      </c>
    </row>
    <row r="83" spans="3:4" x14ac:dyDescent="0.25">
      <c r="C83" s="1047">
        <v>9</v>
      </c>
      <c r="D83" s="1364">
        <v>43372.692000000003</v>
      </c>
    </row>
    <row r="84" spans="3:4" x14ac:dyDescent="0.25">
      <c r="C84" s="1047">
        <v>10</v>
      </c>
      <c r="D84" s="1364">
        <v>47919.828000000001</v>
      </c>
    </row>
    <row r="85" spans="3:4" x14ac:dyDescent="0.25">
      <c r="C85" s="1047">
        <v>11</v>
      </c>
      <c r="D85" s="1364">
        <v>52466.964000000007</v>
      </c>
    </row>
    <row r="86" spans="3:4" x14ac:dyDescent="0.25">
      <c r="C86" s="1047">
        <v>12</v>
      </c>
      <c r="D86" s="1364">
        <v>57014.100000000013</v>
      </c>
    </row>
    <row r="87" spans="3:4" x14ac:dyDescent="0.25">
      <c r="C87" s="1047">
        <v>13</v>
      </c>
      <c r="D87" s="1364">
        <v>61561.236000000004</v>
      </c>
    </row>
    <row r="88" spans="3:4" x14ac:dyDescent="0.25">
      <c r="C88" s="1047">
        <v>14</v>
      </c>
      <c r="D88" s="1364">
        <v>66108.372000000018</v>
      </c>
    </row>
    <row r="89" spans="3:4" x14ac:dyDescent="0.25">
      <c r="C89" s="1047">
        <v>15</v>
      </c>
      <c r="D89" s="1364">
        <v>70655.508000000002</v>
      </c>
    </row>
    <row r="90" spans="3:4" x14ac:dyDescent="0.25">
      <c r="C90" s="1047">
        <v>16</v>
      </c>
      <c r="D90" s="1364">
        <v>75202.644000000015</v>
      </c>
    </row>
    <row r="91" spans="3:4" x14ac:dyDescent="0.25">
      <c r="C91" s="1047">
        <v>17</v>
      </c>
      <c r="D91" s="1364">
        <v>79749.780000000013</v>
      </c>
    </row>
    <row r="92" spans="3:4" x14ac:dyDescent="0.25">
      <c r="C92" s="1047">
        <v>18</v>
      </c>
      <c r="D92" s="1364">
        <v>84296.916000000012</v>
      </c>
    </row>
    <row r="93" spans="3:4" x14ac:dyDescent="0.25">
      <c r="C93" s="1047">
        <v>19</v>
      </c>
      <c r="D93" s="1364">
        <v>88844.052000000011</v>
      </c>
    </row>
    <row r="94" spans="3:4" x14ac:dyDescent="0.25">
      <c r="C94" s="1048">
        <v>20</v>
      </c>
      <c r="D94" s="1365">
        <v>93391.187999999995</v>
      </c>
    </row>
    <row r="95" spans="3:4" x14ac:dyDescent="0.25"/>
    <row r="96" spans="3:4" hidden="1" x14ac:dyDescent="0.25"/>
    <row r="97" hidden="1" x14ac:dyDescent="0.25"/>
  </sheetData>
  <sheetProtection formatCells="0" formatColumns="0" formatRows="0" insertColumns="0" insertRows="0"/>
  <mergeCells count="3">
    <mergeCell ref="E13:J13"/>
    <mergeCell ref="K13:P13"/>
    <mergeCell ref="Q13:V13"/>
  </mergeCells>
  <pageMargins left="0.7" right="0.7" top="0.75" bottom="0.75" header="0.3" footer="0.3"/>
  <pageSetup scale="60" fitToHeight="2" orientation="landscape" horizontalDpi="4294967293" verticalDpi="0"/>
  <headerFooter>
    <oddFooter>&amp;L&amp;A&amp;R&amp;P of &amp;N</oddFooter>
  </headerFooter>
  <rowBreaks count="1" manualBreakCount="1">
    <brk id="6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400"/>
  <sheetViews>
    <sheetView showGridLines="0" zoomScale="85" zoomScaleNormal="85" zoomScalePageLayoutView="85" workbookViewId="0"/>
  </sheetViews>
  <sheetFormatPr defaultColWidth="0" defaultRowHeight="12.75" customHeight="1" zeroHeight="1" x14ac:dyDescent="0.25"/>
  <cols>
    <col min="1" max="5" width="2.6640625" style="735" customWidth="1"/>
    <col min="6" max="16" width="12.6640625" style="735" customWidth="1"/>
    <col min="17" max="17" width="2.44140625" style="735" customWidth="1"/>
    <col min="18" max="258" width="0" style="735" hidden="1"/>
    <col min="259" max="259" width="3.33203125" style="735" hidden="1" customWidth="1"/>
    <col min="260" max="262" width="2.6640625" style="735" hidden="1" customWidth="1"/>
    <col min="263" max="272" width="12.6640625" style="735" hidden="1" customWidth="1"/>
    <col min="273" max="273" width="2.6640625" style="735" hidden="1" customWidth="1"/>
    <col min="274" max="514" width="0" style="735" hidden="1"/>
    <col min="515" max="515" width="3.33203125" style="735" hidden="1" customWidth="1"/>
    <col min="516" max="518" width="2.6640625" style="735" hidden="1" customWidth="1"/>
    <col min="519" max="528" width="12.6640625" style="735" hidden="1" customWidth="1"/>
    <col min="529" max="529" width="2.6640625" style="735" hidden="1" customWidth="1"/>
    <col min="530" max="770" width="0" style="735" hidden="1"/>
    <col min="771" max="771" width="3.33203125" style="735" hidden="1" customWidth="1"/>
    <col min="772" max="774" width="2.6640625" style="735" hidden="1" customWidth="1"/>
    <col min="775" max="784" width="12.6640625" style="735" hidden="1" customWidth="1"/>
    <col min="785" max="785" width="2.6640625" style="735" hidden="1" customWidth="1"/>
    <col min="786" max="1026" width="0" style="735" hidden="1"/>
    <col min="1027" max="1027" width="3.33203125" style="735" hidden="1" customWidth="1"/>
    <col min="1028" max="1030" width="2.6640625" style="735" hidden="1" customWidth="1"/>
    <col min="1031" max="1040" width="12.6640625" style="735" hidden="1" customWidth="1"/>
    <col min="1041" max="1041" width="2.6640625" style="735" hidden="1" customWidth="1"/>
    <col min="1042" max="1282" width="0" style="735" hidden="1"/>
    <col min="1283" max="1283" width="3.33203125" style="735" hidden="1" customWidth="1"/>
    <col min="1284" max="1286" width="2.6640625" style="735" hidden="1" customWidth="1"/>
    <col min="1287" max="1296" width="12.6640625" style="735" hidden="1" customWidth="1"/>
    <col min="1297" max="1297" width="2.6640625" style="735" hidden="1" customWidth="1"/>
    <col min="1298" max="1538" width="0" style="735" hidden="1"/>
    <col min="1539" max="1539" width="3.33203125" style="735" hidden="1" customWidth="1"/>
    <col min="1540" max="1542" width="2.6640625" style="735" hidden="1" customWidth="1"/>
    <col min="1543" max="1552" width="12.6640625" style="735" hidden="1" customWidth="1"/>
    <col min="1553" max="1553" width="2.6640625" style="735" hidden="1" customWidth="1"/>
    <col min="1554" max="1794" width="0" style="735" hidden="1"/>
    <col min="1795" max="1795" width="3.33203125" style="735" hidden="1" customWidth="1"/>
    <col min="1796" max="1798" width="2.6640625" style="735" hidden="1" customWidth="1"/>
    <col min="1799" max="1808" width="12.6640625" style="735" hidden="1" customWidth="1"/>
    <col min="1809" max="1809" width="2.6640625" style="735" hidden="1" customWidth="1"/>
    <col min="1810" max="2050" width="0" style="735" hidden="1"/>
    <col min="2051" max="2051" width="3.33203125" style="735" hidden="1" customWidth="1"/>
    <col min="2052" max="2054" width="2.6640625" style="735" hidden="1" customWidth="1"/>
    <col min="2055" max="2064" width="12.6640625" style="735" hidden="1" customWidth="1"/>
    <col min="2065" max="2065" width="2.6640625" style="735" hidden="1" customWidth="1"/>
    <col min="2066" max="2306" width="0" style="735" hidden="1"/>
    <col min="2307" max="2307" width="3.33203125" style="735" hidden="1" customWidth="1"/>
    <col min="2308" max="2310" width="2.6640625" style="735" hidden="1" customWidth="1"/>
    <col min="2311" max="2320" width="12.6640625" style="735" hidden="1" customWidth="1"/>
    <col min="2321" max="2321" width="2.6640625" style="735" hidden="1" customWidth="1"/>
    <col min="2322" max="2562" width="0" style="735" hidden="1"/>
    <col min="2563" max="2563" width="3.33203125" style="735" hidden="1" customWidth="1"/>
    <col min="2564" max="2566" width="2.6640625" style="735" hidden="1" customWidth="1"/>
    <col min="2567" max="2576" width="12.6640625" style="735" hidden="1" customWidth="1"/>
    <col min="2577" max="2577" width="2.6640625" style="735" hidden="1" customWidth="1"/>
    <col min="2578" max="2818" width="0" style="735" hidden="1"/>
    <col min="2819" max="2819" width="3.33203125" style="735" hidden="1" customWidth="1"/>
    <col min="2820" max="2822" width="2.6640625" style="735" hidden="1" customWidth="1"/>
    <col min="2823" max="2832" width="12.6640625" style="735" hidden="1" customWidth="1"/>
    <col min="2833" max="2833" width="2.6640625" style="735" hidden="1" customWidth="1"/>
    <col min="2834" max="3074" width="0" style="735" hidden="1"/>
    <col min="3075" max="3075" width="3.33203125" style="735" hidden="1" customWidth="1"/>
    <col min="3076" max="3078" width="2.6640625" style="735" hidden="1" customWidth="1"/>
    <col min="3079" max="3088" width="12.6640625" style="735" hidden="1" customWidth="1"/>
    <col min="3089" max="3089" width="2.6640625" style="735" hidden="1" customWidth="1"/>
    <col min="3090" max="3330" width="0" style="735" hidden="1"/>
    <col min="3331" max="3331" width="3.33203125" style="735" hidden="1" customWidth="1"/>
    <col min="3332" max="3334" width="2.6640625" style="735" hidden="1" customWidth="1"/>
    <col min="3335" max="3344" width="12.6640625" style="735" hidden="1" customWidth="1"/>
    <col min="3345" max="3345" width="2.6640625" style="735" hidden="1" customWidth="1"/>
    <col min="3346" max="3586" width="0" style="735" hidden="1"/>
    <col min="3587" max="3587" width="3.33203125" style="735" hidden="1" customWidth="1"/>
    <col min="3588" max="3590" width="2.6640625" style="735" hidden="1" customWidth="1"/>
    <col min="3591" max="3600" width="12.6640625" style="735" hidden="1" customWidth="1"/>
    <col min="3601" max="3601" width="2.6640625" style="735" hidden="1" customWidth="1"/>
    <col min="3602" max="3842" width="0" style="735" hidden="1"/>
    <col min="3843" max="3843" width="3.33203125" style="735" hidden="1" customWidth="1"/>
    <col min="3844" max="3846" width="2.6640625" style="735" hidden="1" customWidth="1"/>
    <col min="3847" max="3856" width="12.6640625" style="735" hidden="1" customWidth="1"/>
    <col min="3857" max="3857" width="2.6640625" style="735" hidden="1" customWidth="1"/>
    <col min="3858" max="4098" width="0" style="735" hidden="1"/>
    <col min="4099" max="4099" width="3.33203125" style="735" hidden="1" customWidth="1"/>
    <col min="4100" max="4102" width="2.6640625" style="735" hidden="1" customWidth="1"/>
    <col min="4103" max="4112" width="12.6640625" style="735" hidden="1" customWidth="1"/>
    <col min="4113" max="4113" width="2.6640625" style="735" hidden="1" customWidth="1"/>
    <col min="4114" max="4354" width="0" style="735" hidden="1"/>
    <col min="4355" max="4355" width="3.33203125" style="735" hidden="1" customWidth="1"/>
    <col min="4356" max="4358" width="2.6640625" style="735" hidden="1" customWidth="1"/>
    <col min="4359" max="4368" width="12.6640625" style="735" hidden="1" customWidth="1"/>
    <col min="4369" max="4369" width="2.6640625" style="735" hidden="1" customWidth="1"/>
    <col min="4370" max="4610" width="0" style="735" hidden="1"/>
    <col min="4611" max="4611" width="3.33203125" style="735" hidden="1" customWidth="1"/>
    <col min="4612" max="4614" width="2.6640625" style="735" hidden="1" customWidth="1"/>
    <col min="4615" max="4624" width="12.6640625" style="735" hidden="1" customWidth="1"/>
    <col min="4625" max="4625" width="2.6640625" style="735" hidden="1" customWidth="1"/>
    <col min="4626" max="4866" width="0" style="735" hidden="1"/>
    <col min="4867" max="4867" width="3.33203125" style="735" hidden="1" customWidth="1"/>
    <col min="4868" max="4870" width="2.6640625" style="735" hidden="1" customWidth="1"/>
    <col min="4871" max="4880" width="12.6640625" style="735" hidden="1" customWidth="1"/>
    <col min="4881" max="4881" width="2.6640625" style="735" hidden="1" customWidth="1"/>
    <col min="4882" max="5122" width="0" style="735" hidden="1"/>
    <col min="5123" max="5123" width="3.33203125" style="735" hidden="1" customWidth="1"/>
    <col min="5124" max="5126" width="2.6640625" style="735" hidden="1" customWidth="1"/>
    <col min="5127" max="5136" width="12.6640625" style="735" hidden="1" customWidth="1"/>
    <col min="5137" max="5137" width="2.6640625" style="735" hidden="1" customWidth="1"/>
    <col min="5138" max="5378" width="0" style="735" hidden="1"/>
    <col min="5379" max="5379" width="3.33203125" style="735" hidden="1" customWidth="1"/>
    <col min="5380" max="5382" width="2.6640625" style="735" hidden="1" customWidth="1"/>
    <col min="5383" max="5392" width="12.6640625" style="735" hidden="1" customWidth="1"/>
    <col min="5393" max="5393" width="2.6640625" style="735" hidden="1" customWidth="1"/>
    <col min="5394" max="5634" width="0" style="735" hidden="1"/>
    <col min="5635" max="5635" width="3.33203125" style="735" hidden="1" customWidth="1"/>
    <col min="5636" max="5638" width="2.6640625" style="735" hidden="1" customWidth="1"/>
    <col min="5639" max="5648" width="12.6640625" style="735" hidden="1" customWidth="1"/>
    <col min="5649" max="5649" width="2.6640625" style="735" hidden="1" customWidth="1"/>
    <col min="5650" max="5890" width="0" style="735" hidden="1"/>
    <col min="5891" max="5891" width="3.33203125" style="735" hidden="1" customWidth="1"/>
    <col min="5892" max="5894" width="2.6640625" style="735" hidden="1" customWidth="1"/>
    <col min="5895" max="5904" width="12.6640625" style="735" hidden="1" customWidth="1"/>
    <col min="5905" max="5905" width="2.6640625" style="735" hidden="1" customWidth="1"/>
    <col min="5906" max="6146" width="0" style="735" hidden="1"/>
    <col min="6147" max="6147" width="3.33203125" style="735" hidden="1" customWidth="1"/>
    <col min="6148" max="6150" width="2.6640625" style="735" hidden="1" customWidth="1"/>
    <col min="6151" max="6160" width="12.6640625" style="735" hidden="1" customWidth="1"/>
    <col min="6161" max="6161" width="2.6640625" style="735" hidden="1" customWidth="1"/>
    <col min="6162" max="6402" width="0" style="735" hidden="1"/>
    <col min="6403" max="6403" width="3.33203125" style="735" hidden="1" customWidth="1"/>
    <col min="6404" max="6406" width="2.6640625" style="735" hidden="1" customWidth="1"/>
    <col min="6407" max="6416" width="12.6640625" style="735" hidden="1" customWidth="1"/>
    <col min="6417" max="6417" width="2.6640625" style="735" hidden="1" customWidth="1"/>
    <col min="6418" max="6658" width="0" style="735" hidden="1"/>
    <col min="6659" max="6659" width="3.33203125" style="735" hidden="1" customWidth="1"/>
    <col min="6660" max="6662" width="2.6640625" style="735" hidden="1" customWidth="1"/>
    <col min="6663" max="6672" width="12.6640625" style="735" hidden="1" customWidth="1"/>
    <col min="6673" max="6673" width="2.6640625" style="735" hidden="1" customWidth="1"/>
    <col min="6674" max="6914" width="0" style="735" hidden="1"/>
    <col min="6915" max="6915" width="3.33203125" style="735" hidden="1" customWidth="1"/>
    <col min="6916" max="6918" width="2.6640625" style="735" hidden="1" customWidth="1"/>
    <col min="6919" max="6928" width="12.6640625" style="735" hidden="1" customWidth="1"/>
    <col min="6929" max="6929" width="2.6640625" style="735" hidden="1" customWidth="1"/>
    <col min="6930" max="7170" width="0" style="735" hidden="1"/>
    <col min="7171" max="7171" width="3.33203125" style="735" hidden="1" customWidth="1"/>
    <col min="7172" max="7174" width="2.6640625" style="735" hidden="1" customWidth="1"/>
    <col min="7175" max="7184" width="12.6640625" style="735" hidden="1" customWidth="1"/>
    <col min="7185" max="7185" width="2.6640625" style="735" hidden="1" customWidth="1"/>
    <col min="7186" max="7426" width="0" style="735" hidden="1"/>
    <col min="7427" max="7427" width="3.33203125" style="735" hidden="1" customWidth="1"/>
    <col min="7428" max="7430" width="2.6640625" style="735" hidden="1" customWidth="1"/>
    <col min="7431" max="7440" width="12.6640625" style="735" hidden="1" customWidth="1"/>
    <col min="7441" max="7441" width="2.6640625" style="735" hidden="1" customWidth="1"/>
    <col min="7442" max="7682" width="0" style="735" hidden="1"/>
    <col min="7683" max="7683" width="3.33203125" style="735" hidden="1" customWidth="1"/>
    <col min="7684" max="7686" width="2.6640625" style="735" hidden="1" customWidth="1"/>
    <col min="7687" max="7696" width="12.6640625" style="735" hidden="1" customWidth="1"/>
    <col min="7697" max="7697" width="2.6640625" style="735" hidden="1" customWidth="1"/>
    <col min="7698" max="7938" width="0" style="735" hidden="1"/>
    <col min="7939" max="7939" width="3.33203125" style="735" hidden="1" customWidth="1"/>
    <col min="7940" max="7942" width="2.6640625" style="735" hidden="1" customWidth="1"/>
    <col min="7943" max="7952" width="12.6640625" style="735" hidden="1" customWidth="1"/>
    <col min="7953" max="7953" width="2.6640625" style="735" hidden="1" customWidth="1"/>
    <col min="7954" max="8194" width="0" style="735" hidden="1"/>
    <col min="8195" max="8195" width="3.33203125" style="735" hidden="1" customWidth="1"/>
    <col min="8196" max="8198" width="2.6640625" style="735" hidden="1" customWidth="1"/>
    <col min="8199" max="8208" width="12.6640625" style="735" hidden="1" customWidth="1"/>
    <col min="8209" max="8209" width="2.6640625" style="735" hidden="1" customWidth="1"/>
    <col min="8210" max="8450" width="0" style="735" hidden="1"/>
    <col min="8451" max="8451" width="3.33203125" style="735" hidden="1" customWidth="1"/>
    <col min="8452" max="8454" width="2.6640625" style="735" hidden="1" customWidth="1"/>
    <col min="8455" max="8464" width="12.6640625" style="735" hidden="1" customWidth="1"/>
    <col min="8465" max="8465" width="2.6640625" style="735" hidden="1" customWidth="1"/>
    <col min="8466" max="8706" width="0" style="735" hidden="1"/>
    <col min="8707" max="8707" width="3.33203125" style="735" hidden="1" customWidth="1"/>
    <col min="8708" max="8710" width="2.6640625" style="735" hidden="1" customWidth="1"/>
    <col min="8711" max="8720" width="12.6640625" style="735" hidden="1" customWidth="1"/>
    <col min="8721" max="8721" width="2.6640625" style="735" hidden="1" customWidth="1"/>
    <col min="8722" max="8962" width="0" style="735" hidden="1"/>
    <col min="8963" max="8963" width="3.33203125" style="735" hidden="1" customWidth="1"/>
    <col min="8964" max="8966" width="2.6640625" style="735" hidden="1" customWidth="1"/>
    <col min="8967" max="8976" width="12.6640625" style="735" hidden="1" customWidth="1"/>
    <col min="8977" max="8977" width="2.6640625" style="735" hidden="1" customWidth="1"/>
    <col min="8978" max="9218" width="0" style="735" hidden="1"/>
    <col min="9219" max="9219" width="3.33203125" style="735" hidden="1" customWidth="1"/>
    <col min="9220" max="9222" width="2.6640625" style="735" hidden="1" customWidth="1"/>
    <col min="9223" max="9232" width="12.6640625" style="735" hidden="1" customWidth="1"/>
    <col min="9233" max="9233" width="2.6640625" style="735" hidden="1" customWidth="1"/>
    <col min="9234" max="9474" width="0" style="735" hidden="1"/>
    <col min="9475" max="9475" width="3.33203125" style="735" hidden="1" customWidth="1"/>
    <col min="9476" max="9478" width="2.6640625" style="735" hidden="1" customWidth="1"/>
    <col min="9479" max="9488" width="12.6640625" style="735" hidden="1" customWidth="1"/>
    <col min="9489" max="9489" width="2.6640625" style="735" hidden="1" customWidth="1"/>
    <col min="9490" max="9730" width="0" style="735" hidden="1"/>
    <col min="9731" max="9731" width="3.33203125" style="735" hidden="1" customWidth="1"/>
    <col min="9732" max="9734" width="2.6640625" style="735" hidden="1" customWidth="1"/>
    <col min="9735" max="9744" width="12.6640625" style="735" hidden="1" customWidth="1"/>
    <col min="9745" max="9745" width="2.6640625" style="735" hidden="1" customWidth="1"/>
    <col min="9746" max="9986" width="0" style="735" hidden="1"/>
    <col min="9987" max="9987" width="3.33203125" style="735" hidden="1" customWidth="1"/>
    <col min="9988" max="9990" width="2.6640625" style="735" hidden="1" customWidth="1"/>
    <col min="9991" max="10000" width="12.6640625" style="735" hidden="1" customWidth="1"/>
    <col min="10001" max="10001" width="2.6640625" style="735" hidden="1" customWidth="1"/>
    <col min="10002" max="10242" width="0" style="735" hidden="1"/>
    <col min="10243" max="10243" width="3.33203125" style="735" hidden="1" customWidth="1"/>
    <col min="10244" max="10246" width="2.6640625" style="735" hidden="1" customWidth="1"/>
    <col min="10247" max="10256" width="12.6640625" style="735" hidden="1" customWidth="1"/>
    <col min="10257" max="10257" width="2.6640625" style="735" hidden="1" customWidth="1"/>
    <col min="10258" max="10498" width="0" style="735" hidden="1"/>
    <col min="10499" max="10499" width="3.33203125" style="735" hidden="1" customWidth="1"/>
    <col min="10500" max="10502" width="2.6640625" style="735" hidden="1" customWidth="1"/>
    <col min="10503" max="10512" width="12.6640625" style="735" hidden="1" customWidth="1"/>
    <col min="10513" max="10513" width="2.6640625" style="735" hidden="1" customWidth="1"/>
    <col min="10514" max="10754" width="0" style="735" hidden="1"/>
    <col min="10755" max="10755" width="3.33203125" style="735" hidden="1" customWidth="1"/>
    <col min="10756" max="10758" width="2.6640625" style="735" hidden="1" customWidth="1"/>
    <col min="10759" max="10768" width="12.6640625" style="735" hidden="1" customWidth="1"/>
    <col min="10769" max="10769" width="2.6640625" style="735" hidden="1" customWidth="1"/>
    <col min="10770" max="11010" width="0" style="735" hidden="1"/>
    <col min="11011" max="11011" width="3.33203125" style="735" hidden="1" customWidth="1"/>
    <col min="11012" max="11014" width="2.6640625" style="735" hidden="1" customWidth="1"/>
    <col min="11015" max="11024" width="12.6640625" style="735" hidden="1" customWidth="1"/>
    <col min="11025" max="11025" width="2.6640625" style="735" hidden="1" customWidth="1"/>
    <col min="11026" max="11266" width="0" style="735" hidden="1"/>
    <col min="11267" max="11267" width="3.33203125" style="735" hidden="1" customWidth="1"/>
    <col min="11268" max="11270" width="2.6640625" style="735" hidden="1" customWidth="1"/>
    <col min="11271" max="11280" width="12.6640625" style="735" hidden="1" customWidth="1"/>
    <col min="11281" max="11281" width="2.6640625" style="735" hidden="1" customWidth="1"/>
    <col min="11282" max="11522" width="0" style="735" hidden="1"/>
    <col min="11523" max="11523" width="3.33203125" style="735" hidden="1" customWidth="1"/>
    <col min="11524" max="11526" width="2.6640625" style="735" hidden="1" customWidth="1"/>
    <col min="11527" max="11536" width="12.6640625" style="735" hidden="1" customWidth="1"/>
    <col min="11537" max="11537" width="2.6640625" style="735" hidden="1" customWidth="1"/>
    <col min="11538" max="11778" width="0" style="735" hidden="1"/>
    <col min="11779" max="11779" width="3.33203125" style="735" hidden="1" customWidth="1"/>
    <col min="11780" max="11782" width="2.6640625" style="735" hidden="1" customWidth="1"/>
    <col min="11783" max="11792" width="12.6640625" style="735" hidden="1" customWidth="1"/>
    <col min="11793" max="11793" width="2.6640625" style="735" hidden="1" customWidth="1"/>
    <col min="11794" max="12034" width="0" style="735" hidden="1"/>
    <col min="12035" max="12035" width="3.33203125" style="735" hidden="1" customWidth="1"/>
    <col min="12036" max="12038" width="2.6640625" style="735" hidden="1" customWidth="1"/>
    <col min="12039" max="12048" width="12.6640625" style="735" hidden="1" customWidth="1"/>
    <col min="12049" max="12049" width="2.6640625" style="735" hidden="1" customWidth="1"/>
    <col min="12050" max="12290" width="0" style="735" hidden="1"/>
    <col min="12291" max="12291" width="3.33203125" style="735" hidden="1" customWidth="1"/>
    <col min="12292" max="12294" width="2.6640625" style="735" hidden="1" customWidth="1"/>
    <col min="12295" max="12304" width="12.6640625" style="735" hidden="1" customWidth="1"/>
    <col min="12305" max="12305" width="2.6640625" style="735" hidden="1" customWidth="1"/>
    <col min="12306" max="12546" width="0" style="735" hidden="1"/>
    <col min="12547" max="12547" width="3.33203125" style="735" hidden="1" customWidth="1"/>
    <col min="12548" max="12550" width="2.6640625" style="735" hidden="1" customWidth="1"/>
    <col min="12551" max="12560" width="12.6640625" style="735" hidden="1" customWidth="1"/>
    <col min="12561" max="12561" width="2.6640625" style="735" hidden="1" customWidth="1"/>
    <col min="12562" max="12802" width="0" style="735" hidden="1"/>
    <col min="12803" max="12803" width="3.33203125" style="735" hidden="1" customWidth="1"/>
    <col min="12804" max="12806" width="2.6640625" style="735" hidden="1" customWidth="1"/>
    <col min="12807" max="12816" width="12.6640625" style="735" hidden="1" customWidth="1"/>
    <col min="12817" max="12817" width="2.6640625" style="735" hidden="1" customWidth="1"/>
    <col min="12818" max="13058" width="0" style="735" hidden="1"/>
    <col min="13059" max="13059" width="3.33203125" style="735" hidden="1" customWidth="1"/>
    <col min="13060" max="13062" width="2.6640625" style="735" hidden="1" customWidth="1"/>
    <col min="13063" max="13072" width="12.6640625" style="735" hidden="1" customWidth="1"/>
    <col min="13073" max="13073" width="2.6640625" style="735" hidden="1" customWidth="1"/>
    <col min="13074" max="13314" width="0" style="735" hidden="1"/>
    <col min="13315" max="13315" width="3.33203125" style="735" hidden="1" customWidth="1"/>
    <col min="13316" max="13318" width="2.6640625" style="735" hidden="1" customWidth="1"/>
    <col min="13319" max="13328" width="12.6640625" style="735" hidden="1" customWidth="1"/>
    <col min="13329" max="13329" width="2.6640625" style="735" hidden="1" customWidth="1"/>
    <col min="13330" max="13570" width="0" style="735" hidden="1"/>
    <col min="13571" max="13571" width="3.33203125" style="735" hidden="1" customWidth="1"/>
    <col min="13572" max="13574" width="2.6640625" style="735" hidden="1" customWidth="1"/>
    <col min="13575" max="13584" width="12.6640625" style="735" hidden="1" customWidth="1"/>
    <col min="13585" max="13585" width="2.6640625" style="735" hidden="1" customWidth="1"/>
    <col min="13586" max="13826" width="0" style="735" hidden="1"/>
    <col min="13827" max="13827" width="3.33203125" style="735" hidden="1" customWidth="1"/>
    <col min="13828" max="13830" width="2.6640625" style="735" hidden="1" customWidth="1"/>
    <col min="13831" max="13840" width="12.6640625" style="735" hidden="1" customWidth="1"/>
    <col min="13841" max="13841" width="2.6640625" style="735" hidden="1" customWidth="1"/>
    <col min="13842" max="14082" width="0" style="735" hidden="1"/>
    <col min="14083" max="14083" width="3.33203125" style="735" hidden="1" customWidth="1"/>
    <col min="14084" max="14086" width="2.6640625" style="735" hidden="1" customWidth="1"/>
    <col min="14087" max="14096" width="12.6640625" style="735" hidden="1" customWidth="1"/>
    <col min="14097" max="14097" width="2.6640625" style="735" hidden="1" customWidth="1"/>
    <col min="14098" max="14338" width="0" style="735" hidden="1"/>
    <col min="14339" max="14339" width="3.33203125" style="735" hidden="1" customWidth="1"/>
    <col min="14340" max="14342" width="2.6640625" style="735" hidden="1" customWidth="1"/>
    <col min="14343" max="14352" width="12.6640625" style="735" hidden="1" customWidth="1"/>
    <col min="14353" max="14353" width="2.6640625" style="735" hidden="1" customWidth="1"/>
    <col min="14354" max="14594" width="0" style="735" hidden="1"/>
    <col min="14595" max="14595" width="3.33203125" style="735" hidden="1" customWidth="1"/>
    <col min="14596" max="14598" width="2.6640625" style="735" hidden="1" customWidth="1"/>
    <col min="14599" max="14608" width="12.6640625" style="735" hidden="1" customWidth="1"/>
    <col min="14609" max="14609" width="2.6640625" style="735" hidden="1" customWidth="1"/>
    <col min="14610" max="14850" width="0" style="735" hidden="1"/>
    <col min="14851" max="14851" width="3.33203125" style="735" hidden="1" customWidth="1"/>
    <col min="14852" max="14854" width="2.6640625" style="735" hidden="1" customWidth="1"/>
    <col min="14855" max="14864" width="12.6640625" style="735" hidden="1" customWidth="1"/>
    <col min="14865" max="14865" width="2.6640625" style="735" hidden="1" customWidth="1"/>
    <col min="14866" max="15106" width="0" style="735" hidden="1"/>
    <col min="15107" max="15107" width="3.33203125" style="735" hidden="1" customWidth="1"/>
    <col min="15108" max="15110" width="2.6640625" style="735" hidden="1" customWidth="1"/>
    <col min="15111" max="15120" width="12.6640625" style="735" hidden="1" customWidth="1"/>
    <col min="15121" max="15121" width="2.6640625" style="735" hidden="1" customWidth="1"/>
    <col min="15122" max="15362" width="0" style="735" hidden="1"/>
    <col min="15363" max="15363" width="3.33203125" style="735" hidden="1" customWidth="1"/>
    <col min="15364" max="15366" width="2.6640625" style="735" hidden="1" customWidth="1"/>
    <col min="15367" max="15376" width="12.6640625" style="735" hidden="1" customWidth="1"/>
    <col min="15377" max="15377" width="2.6640625" style="735" hidden="1" customWidth="1"/>
    <col min="15378" max="15618" width="0" style="735" hidden="1"/>
    <col min="15619" max="15619" width="3.33203125" style="735" hidden="1" customWidth="1"/>
    <col min="15620" max="15622" width="2.6640625" style="735" hidden="1" customWidth="1"/>
    <col min="15623" max="15632" width="12.6640625" style="735" hidden="1" customWidth="1"/>
    <col min="15633" max="15633" width="2.6640625" style="735" hidden="1" customWidth="1"/>
    <col min="15634" max="15874" width="0" style="735" hidden="1"/>
    <col min="15875" max="15875" width="3.33203125" style="735" hidden="1" customWidth="1"/>
    <col min="15876" max="15878" width="2.6640625" style="735" hidden="1" customWidth="1"/>
    <col min="15879" max="15888" width="12.6640625" style="735" hidden="1" customWidth="1"/>
    <col min="15889" max="15889" width="2.6640625" style="735" hidden="1" customWidth="1"/>
    <col min="15890" max="16130" width="0" style="735" hidden="1"/>
    <col min="16131" max="16131" width="3.33203125" style="735" hidden="1" customWidth="1"/>
    <col min="16132" max="16134" width="2.6640625" style="735" hidden="1" customWidth="1"/>
    <col min="16135" max="16144" width="12.6640625" style="735" hidden="1" customWidth="1"/>
    <col min="16145" max="16145" width="2.6640625" style="735" hidden="1" customWidth="1"/>
    <col min="16146" max="16384" width="0" style="735" hidden="1"/>
  </cols>
  <sheetData>
    <row r="1" spans="1:20" s="708" customFormat="1" ht="13.2" x14ac:dyDescent="0.25">
      <c r="A1" s="707" t="s">
        <v>630</v>
      </c>
    </row>
    <row r="2" spans="1:20" s="708" customFormat="1" ht="13.2" x14ac:dyDescent="0.25">
      <c r="A2" s="709"/>
    </row>
    <row r="3" spans="1:20" s="712" customFormat="1" ht="12.75" customHeight="1" x14ac:dyDescent="0.25">
      <c r="A3" s="717" t="s">
        <v>583</v>
      </c>
      <c r="B3" s="718"/>
      <c r="C3" s="718"/>
      <c r="D3" s="719"/>
      <c r="E3" s="719"/>
      <c r="F3" s="720"/>
      <c r="G3" s="720"/>
      <c r="H3" s="720"/>
      <c r="I3" s="720"/>
      <c r="J3" s="720"/>
      <c r="K3" s="720"/>
      <c r="L3" s="720"/>
      <c r="M3" s="720"/>
      <c r="N3" s="720"/>
      <c r="O3" s="720"/>
      <c r="P3" s="720"/>
      <c r="Q3" s="715"/>
      <c r="R3" s="716"/>
      <c r="S3" s="708"/>
      <c r="T3" s="708"/>
    </row>
    <row r="4" spans="1:20" s="712" customFormat="1" ht="12.75" customHeight="1" x14ac:dyDescent="0.25">
      <c r="A4" s="711"/>
      <c r="B4" s="708"/>
      <c r="F4" s="713"/>
      <c r="G4" s="713"/>
      <c r="H4" s="713"/>
      <c r="I4" s="713"/>
      <c r="J4" s="714"/>
      <c r="K4" s="714"/>
      <c r="L4" s="714"/>
      <c r="M4" s="714"/>
      <c r="N4" s="714"/>
      <c r="O4" s="714"/>
      <c r="P4" s="714"/>
      <c r="Q4" s="715"/>
      <c r="R4" s="716"/>
      <c r="S4" s="708"/>
      <c r="T4" s="708"/>
    </row>
    <row r="5" spans="1:20" s="712" customFormat="1" ht="12.75" customHeight="1" x14ac:dyDescent="0.25">
      <c r="A5" s="711"/>
      <c r="B5" s="708"/>
      <c r="F5" s="713"/>
      <c r="G5" s="713"/>
      <c r="H5" s="713"/>
      <c r="I5" s="713"/>
      <c r="J5" s="714"/>
      <c r="K5" s="714"/>
      <c r="L5" s="714"/>
      <c r="M5" s="714"/>
      <c r="N5" s="714"/>
      <c r="O5" s="714"/>
      <c r="P5" s="714"/>
      <c r="Q5" s="715"/>
      <c r="R5" s="716"/>
      <c r="S5" s="708"/>
      <c r="T5" s="708"/>
    </row>
    <row r="6" spans="1:20" s="712" customFormat="1" ht="12.75" customHeight="1" x14ac:dyDescent="0.25">
      <c r="A6" s="711"/>
      <c r="B6" s="708" t="s">
        <v>340</v>
      </c>
      <c r="F6" s="713"/>
      <c r="G6" s="713"/>
      <c r="H6" s="713"/>
      <c r="I6" s="713"/>
      <c r="J6" s="714"/>
      <c r="K6" s="714"/>
      <c r="L6" s="714"/>
      <c r="M6" s="714"/>
      <c r="N6" s="714"/>
      <c r="O6" s="714"/>
      <c r="P6" s="714"/>
      <c r="Q6" s="715"/>
      <c r="R6" s="716"/>
      <c r="S6" s="708"/>
      <c r="T6" s="708"/>
    </row>
    <row r="7" spans="1:20" s="712" customFormat="1" ht="12.75" customHeight="1" x14ac:dyDescent="0.25">
      <c r="A7" s="711"/>
      <c r="B7" s="708"/>
      <c r="F7" s="713"/>
      <c r="G7" s="713"/>
      <c r="H7" s="713"/>
      <c r="I7" s="713"/>
      <c r="J7" s="714"/>
      <c r="K7" s="714"/>
      <c r="L7" s="714"/>
      <c r="M7" s="714"/>
      <c r="N7" s="714"/>
      <c r="O7" s="714"/>
      <c r="P7" s="714"/>
      <c r="Q7" s="715"/>
      <c r="R7" s="716"/>
      <c r="S7" s="708"/>
      <c r="T7" s="708"/>
    </row>
    <row r="8" spans="1:20" s="712" customFormat="1" ht="12.75" customHeight="1" x14ac:dyDescent="0.25">
      <c r="A8" s="711"/>
      <c r="B8" s="708"/>
      <c r="F8" s="713"/>
      <c r="G8" s="713"/>
      <c r="H8" s="713"/>
      <c r="I8" s="713"/>
      <c r="J8" s="714"/>
      <c r="K8" s="714"/>
      <c r="L8" s="714"/>
      <c r="M8" s="714"/>
      <c r="N8" s="714"/>
      <c r="O8" s="714"/>
      <c r="P8" s="714"/>
      <c r="Q8" s="715"/>
      <c r="R8" s="716"/>
      <c r="S8" s="708"/>
      <c r="T8" s="708"/>
    </row>
    <row r="9" spans="1:20" s="712" customFormat="1" ht="12.75" customHeight="1" x14ac:dyDescent="0.25">
      <c r="A9" s="711"/>
      <c r="B9" s="708"/>
      <c r="F9" s="713"/>
      <c r="G9" s="713"/>
      <c r="H9" s="713"/>
      <c r="I9" s="713"/>
      <c r="J9" s="714"/>
      <c r="K9" s="714"/>
      <c r="L9" s="714"/>
      <c r="M9" s="714"/>
      <c r="N9" s="714"/>
      <c r="O9" s="714"/>
      <c r="P9" s="714"/>
      <c r="Q9" s="715"/>
      <c r="R9" s="716"/>
      <c r="S9" s="708"/>
      <c r="T9" s="708"/>
    </row>
    <row r="10" spans="1:20" s="712" customFormat="1" ht="12.75" customHeight="1" x14ac:dyDescent="0.25">
      <c r="A10" s="711"/>
      <c r="B10" s="708"/>
      <c r="F10" s="713"/>
      <c r="G10" s="713"/>
      <c r="H10" s="713"/>
      <c r="I10" s="713"/>
      <c r="J10" s="714"/>
      <c r="K10" s="714"/>
      <c r="L10" s="714"/>
      <c r="M10" s="714"/>
      <c r="N10" s="714"/>
      <c r="O10" s="714"/>
      <c r="P10" s="714"/>
      <c r="Q10" s="715"/>
      <c r="R10" s="716"/>
      <c r="S10" s="708"/>
      <c r="T10" s="708"/>
    </row>
    <row r="11" spans="1:20" s="712" customFormat="1" ht="12.75" customHeight="1" x14ac:dyDescent="0.25">
      <c r="A11" s="711"/>
      <c r="B11" s="708"/>
      <c r="F11" s="713"/>
      <c r="G11" s="713"/>
      <c r="H11" s="713"/>
      <c r="I11" s="713"/>
      <c r="J11" s="714"/>
      <c r="K11" s="714"/>
      <c r="L11" s="714"/>
      <c r="M11" s="714"/>
      <c r="N11" s="714"/>
      <c r="O11" s="714"/>
      <c r="P11" s="714"/>
      <c r="Q11" s="715"/>
      <c r="R11" s="716"/>
      <c r="S11" s="708"/>
      <c r="T11" s="708"/>
    </row>
    <row r="12" spans="1:20" s="712" customFormat="1" ht="12.75" customHeight="1" x14ac:dyDescent="0.25">
      <c r="A12" s="711"/>
      <c r="B12" s="708"/>
      <c r="F12" s="713"/>
      <c r="G12" s="713"/>
      <c r="H12" s="713"/>
      <c r="I12" s="713"/>
      <c r="J12" s="714"/>
      <c r="K12" s="714"/>
      <c r="L12" s="714"/>
      <c r="M12" s="714"/>
      <c r="N12" s="714"/>
      <c r="O12" s="714"/>
      <c r="P12" s="714"/>
      <c r="Q12" s="715"/>
      <c r="R12" s="716"/>
      <c r="S12" s="708"/>
      <c r="T12" s="708"/>
    </row>
    <row r="13" spans="1:20" s="712" customFormat="1" ht="12.75" customHeight="1" x14ac:dyDescent="0.25">
      <c r="A13" s="711"/>
      <c r="B13" s="708"/>
      <c r="F13" s="713"/>
      <c r="G13" s="713"/>
      <c r="H13" s="713"/>
      <c r="I13" s="713"/>
      <c r="J13" s="714"/>
      <c r="K13" s="714"/>
      <c r="L13" s="714"/>
      <c r="M13" s="714"/>
      <c r="N13" s="714"/>
      <c r="O13" s="714"/>
      <c r="P13" s="714"/>
      <c r="Q13" s="715"/>
      <c r="R13" s="716"/>
      <c r="S13" s="708"/>
      <c r="T13" s="708"/>
    </row>
    <row r="14" spans="1:20" s="712" customFormat="1" ht="12.75" customHeight="1" x14ac:dyDescent="0.25">
      <c r="A14" s="711"/>
      <c r="B14" s="708"/>
      <c r="C14" s="708" t="s">
        <v>423</v>
      </c>
      <c r="F14" s="713"/>
      <c r="G14" s="713"/>
      <c r="H14" s="713"/>
      <c r="I14" s="713"/>
      <c r="J14" s="714"/>
      <c r="K14" s="714"/>
      <c r="L14" s="714"/>
      <c r="M14" s="714"/>
      <c r="N14" s="714"/>
      <c r="O14" s="714"/>
      <c r="P14" s="714"/>
      <c r="Q14" s="715"/>
      <c r="R14" s="716"/>
      <c r="S14" s="708"/>
      <c r="T14" s="708"/>
    </row>
    <row r="15" spans="1:20" s="712" customFormat="1" ht="12.75" customHeight="1" x14ac:dyDescent="0.25">
      <c r="A15" s="711"/>
      <c r="B15" s="708"/>
      <c r="C15" s="708" t="s">
        <v>424</v>
      </c>
      <c r="F15" s="713"/>
      <c r="G15" s="713"/>
      <c r="H15" s="713"/>
      <c r="I15" s="713"/>
      <c r="J15" s="714"/>
      <c r="K15" s="714"/>
      <c r="L15" s="714"/>
      <c r="M15" s="714"/>
      <c r="N15" s="714"/>
      <c r="O15" s="714"/>
      <c r="P15" s="714"/>
      <c r="Q15" s="715"/>
      <c r="R15" s="716"/>
      <c r="S15" s="708"/>
      <c r="T15" s="708"/>
    </row>
    <row r="16" spans="1:20" s="712" customFormat="1" ht="12.75" customHeight="1" x14ac:dyDescent="0.25">
      <c r="A16" s="711"/>
      <c r="B16" s="708"/>
      <c r="C16" s="708" t="s">
        <v>425</v>
      </c>
      <c r="F16" s="713"/>
      <c r="G16" s="713"/>
      <c r="H16" s="713"/>
      <c r="I16" s="713"/>
      <c r="J16" s="714"/>
      <c r="K16" s="714"/>
      <c r="L16" s="714"/>
      <c r="M16" s="714"/>
      <c r="N16" s="714"/>
      <c r="O16" s="714"/>
      <c r="P16" s="714"/>
      <c r="Q16" s="715"/>
      <c r="R16" s="716"/>
      <c r="S16" s="708"/>
      <c r="T16" s="708"/>
    </row>
    <row r="17" spans="1:20" s="712" customFormat="1" ht="12.75" customHeight="1" x14ac:dyDescent="0.25">
      <c r="A17" s="711"/>
      <c r="B17" s="708"/>
      <c r="C17" s="708" t="s">
        <v>426</v>
      </c>
      <c r="F17" s="713"/>
      <c r="G17" s="713"/>
      <c r="H17" s="713"/>
      <c r="I17" s="713"/>
      <c r="J17" s="714"/>
      <c r="K17" s="714"/>
      <c r="L17" s="714"/>
      <c r="M17" s="714"/>
      <c r="N17" s="714"/>
      <c r="O17" s="714"/>
      <c r="P17" s="714"/>
      <c r="Q17" s="715"/>
      <c r="R17" s="716"/>
      <c r="S17" s="708"/>
      <c r="T17" s="708"/>
    </row>
    <row r="18" spans="1:20" s="712" customFormat="1" ht="12.75" customHeight="1" x14ac:dyDescent="0.25">
      <c r="A18" s="711"/>
      <c r="B18" s="708"/>
      <c r="C18" s="708" t="s">
        <v>427</v>
      </c>
      <c r="F18" s="713"/>
      <c r="G18" s="713"/>
      <c r="H18" s="713"/>
      <c r="I18" s="713"/>
      <c r="J18" s="714"/>
      <c r="K18" s="714"/>
      <c r="L18" s="714"/>
      <c r="M18" s="714"/>
      <c r="N18" s="714"/>
      <c r="O18" s="714"/>
      <c r="P18" s="714"/>
      <c r="Q18" s="715"/>
      <c r="R18" s="716"/>
      <c r="S18" s="708"/>
      <c r="T18" s="708"/>
    </row>
    <row r="19" spans="1:20" s="712" customFormat="1" ht="12.75" customHeight="1" x14ac:dyDescent="0.25">
      <c r="A19" s="711"/>
      <c r="B19" s="708"/>
      <c r="C19" s="708" t="s">
        <v>428</v>
      </c>
      <c r="F19" s="713"/>
      <c r="G19" s="713"/>
      <c r="H19" s="713"/>
      <c r="I19" s="713"/>
      <c r="J19" s="714"/>
      <c r="K19" s="714"/>
      <c r="L19" s="714"/>
      <c r="M19" s="714"/>
      <c r="N19" s="714"/>
      <c r="O19" s="714"/>
      <c r="P19" s="714"/>
      <c r="Q19" s="715"/>
      <c r="R19" s="716"/>
      <c r="S19" s="708"/>
      <c r="T19" s="708"/>
    </row>
    <row r="20" spans="1:20" s="712" customFormat="1" ht="12.75" customHeight="1" x14ac:dyDescent="0.25">
      <c r="A20" s="711"/>
      <c r="B20" s="708"/>
      <c r="F20" s="713"/>
      <c r="G20" s="713"/>
      <c r="H20" s="713"/>
      <c r="I20" s="713"/>
      <c r="J20" s="714"/>
      <c r="K20" s="714"/>
      <c r="L20" s="714"/>
      <c r="M20" s="714"/>
      <c r="N20" s="714"/>
      <c r="O20" s="714"/>
      <c r="P20" s="714"/>
      <c r="Q20" s="715"/>
      <c r="R20" s="716"/>
      <c r="S20" s="708"/>
      <c r="T20" s="708"/>
    </row>
    <row r="21" spans="1:20" s="712" customFormat="1" ht="12.75" customHeight="1" x14ac:dyDescent="0.25">
      <c r="A21" s="711"/>
      <c r="B21" s="708"/>
      <c r="F21" s="713"/>
      <c r="G21" s="713"/>
      <c r="H21" s="713"/>
      <c r="I21" s="713"/>
      <c r="J21" s="714"/>
      <c r="K21" s="714"/>
      <c r="L21" s="714"/>
      <c r="M21" s="714"/>
      <c r="N21" s="714"/>
      <c r="O21" s="714"/>
      <c r="P21" s="714"/>
      <c r="Q21" s="715"/>
      <c r="R21" s="716"/>
      <c r="S21" s="708"/>
      <c r="T21" s="708"/>
    </row>
    <row r="22" spans="1:20" s="712" customFormat="1" ht="12.75" customHeight="1" x14ac:dyDescent="0.25">
      <c r="A22" s="711"/>
      <c r="B22" s="708"/>
      <c r="F22" s="713"/>
      <c r="G22" s="713"/>
      <c r="H22" s="713"/>
      <c r="I22" s="713"/>
      <c r="J22" s="714"/>
      <c r="K22" s="714"/>
      <c r="L22" s="714"/>
      <c r="M22" s="714"/>
      <c r="N22" s="714"/>
      <c r="O22" s="714"/>
      <c r="P22" s="714"/>
      <c r="Q22" s="715"/>
      <c r="R22" s="716"/>
      <c r="S22" s="708"/>
      <c r="T22" s="708"/>
    </row>
    <row r="23" spans="1:20" s="712" customFormat="1" ht="12.75" customHeight="1" x14ac:dyDescent="0.25">
      <c r="A23" s="711"/>
      <c r="B23" s="708"/>
      <c r="F23" s="713"/>
      <c r="G23" s="713"/>
      <c r="H23" s="713"/>
      <c r="I23" s="713"/>
      <c r="J23" s="714"/>
      <c r="K23" s="714"/>
      <c r="L23" s="714"/>
      <c r="M23" s="714"/>
      <c r="N23" s="714"/>
      <c r="O23" s="714"/>
      <c r="P23" s="714"/>
      <c r="Q23" s="715"/>
      <c r="R23" s="716"/>
      <c r="S23" s="708"/>
      <c r="T23" s="708"/>
    </row>
    <row r="24" spans="1:20" s="712" customFormat="1" ht="12.75" customHeight="1" x14ac:dyDescent="0.25">
      <c r="A24" s="711"/>
      <c r="B24" s="708"/>
      <c r="F24" s="713"/>
      <c r="G24" s="713"/>
      <c r="H24" s="713"/>
      <c r="I24" s="713"/>
      <c r="J24" s="714"/>
      <c r="K24" s="714"/>
      <c r="L24" s="714"/>
      <c r="M24" s="714"/>
      <c r="N24" s="714"/>
      <c r="O24" s="714"/>
      <c r="P24" s="714"/>
      <c r="Q24" s="715"/>
      <c r="R24" s="716"/>
      <c r="S24" s="708"/>
      <c r="T24" s="708"/>
    </row>
    <row r="25" spans="1:20" s="712" customFormat="1" ht="12.75" customHeight="1" x14ac:dyDescent="0.25">
      <c r="A25" s="711"/>
      <c r="B25" s="708"/>
      <c r="F25" s="713"/>
      <c r="G25" s="713"/>
      <c r="H25" s="713"/>
      <c r="I25" s="713"/>
      <c r="J25" s="714"/>
      <c r="K25" s="714"/>
      <c r="L25" s="714"/>
      <c r="M25" s="714"/>
      <c r="N25" s="714"/>
      <c r="O25" s="714"/>
      <c r="P25" s="714"/>
      <c r="Q25" s="715"/>
      <c r="R25" s="716"/>
      <c r="S25" s="708"/>
      <c r="T25" s="708"/>
    </row>
    <row r="26" spans="1:20" s="712" customFormat="1" ht="12.75" customHeight="1" x14ac:dyDescent="0.25">
      <c r="A26" s="711"/>
      <c r="B26" s="708"/>
      <c r="F26" s="713"/>
      <c r="G26" s="713"/>
      <c r="H26" s="713"/>
      <c r="I26" s="713"/>
      <c r="J26" s="714"/>
      <c r="K26" s="714"/>
      <c r="L26" s="714"/>
      <c r="M26" s="714"/>
      <c r="N26" s="714"/>
      <c r="O26" s="714"/>
      <c r="P26" s="714"/>
      <c r="Q26" s="715"/>
      <c r="R26" s="716"/>
      <c r="S26" s="708"/>
      <c r="T26" s="708"/>
    </row>
    <row r="27" spans="1:20" s="712" customFormat="1" ht="12.75" customHeight="1" x14ac:dyDescent="0.25">
      <c r="A27" s="711"/>
      <c r="B27" s="708"/>
      <c r="F27" s="713"/>
      <c r="G27" s="713"/>
      <c r="H27" s="713"/>
      <c r="I27" s="713"/>
      <c r="J27" s="714"/>
      <c r="K27" s="714"/>
      <c r="L27" s="714"/>
      <c r="M27" s="714"/>
      <c r="N27" s="714"/>
      <c r="O27" s="714"/>
      <c r="P27" s="714"/>
      <c r="Q27" s="715"/>
      <c r="R27" s="716"/>
      <c r="S27" s="708"/>
      <c r="T27" s="708"/>
    </row>
    <row r="28" spans="1:20" s="712" customFormat="1" ht="12.75" customHeight="1" x14ac:dyDescent="0.25">
      <c r="A28" s="711"/>
      <c r="B28" s="708"/>
      <c r="F28" s="713"/>
      <c r="G28" s="713"/>
      <c r="H28" s="713"/>
      <c r="I28" s="713"/>
      <c r="J28" s="714"/>
      <c r="K28" s="714"/>
      <c r="L28" s="714"/>
      <c r="M28" s="714"/>
      <c r="N28" s="714"/>
      <c r="O28" s="714"/>
      <c r="P28" s="714"/>
      <c r="Q28" s="715"/>
      <c r="R28" s="716"/>
      <c r="S28" s="708"/>
      <c r="T28" s="708"/>
    </row>
    <row r="29" spans="1:20" s="712" customFormat="1" ht="12.75" customHeight="1" x14ac:dyDescent="0.25">
      <c r="A29" s="711"/>
      <c r="B29" s="708"/>
      <c r="F29" s="713"/>
      <c r="G29" s="713"/>
      <c r="H29" s="713"/>
      <c r="I29" s="713"/>
      <c r="J29" s="714"/>
      <c r="K29" s="714"/>
      <c r="L29" s="714"/>
      <c r="M29" s="714"/>
      <c r="N29" s="714"/>
      <c r="O29" s="714"/>
      <c r="P29" s="714"/>
      <c r="Q29" s="715"/>
      <c r="R29" s="716"/>
      <c r="S29" s="708"/>
      <c r="T29" s="708"/>
    </row>
    <row r="30" spans="1:20" s="712" customFormat="1" ht="12.75" customHeight="1" x14ac:dyDescent="0.25">
      <c r="A30" s="711"/>
      <c r="B30" s="708"/>
      <c r="F30" s="713"/>
      <c r="G30" s="713"/>
      <c r="H30" s="713"/>
      <c r="I30" s="713"/>
      <c r="J30" s="714"/>
      <c r="K30" s="714"/>
      <c r="L30" s="714"/>
      <c r="M30" s="714"/>
      <c r="N30" s="714"/>
      <c r="O30" s="714"/>
      <c r="P30" s="714"/>
      <c r="Q30" s="715"/>
      <c r="R30" s="716"/>
      <c r="S30" s="708"/>
      <c r="T30" s="708"/>
    </row>
    <row r="31" spans="1:20" s="712" customFormat="1" ht="12.75" customHeight="1" x14ac:dyDescent="0.25">
      <c r="A31" s="711"/>
      <c r="B31" s="708"/>
      <c r="F31" s="713"/>
      <c r="G31" s="713"/>
      <c r="H31" s="713"/>
      <c r="I31" s="713"/>
      <c r="J31" s="714"/>
      <c r="K31" s="714"/>
      <c r="L31" s="714"/>
      <c r="M31" s="714"/>
      <c r="N31" s="714"/>
      <c r="O31" s="714"/>
      <c r="P31" s="714"/>
      <c r="Q31" s="715"/>
      <c r="R31" s="716"/>
      <c r="S31" s="708"/>
      <c r="T31" s="708"/>
    </row>
    <row r="32" spans="1:20" s="712" customFormat="1" ht="12.75" customHeight="1" x14ac:dyDescent="0.2">
      <c r="A32" s="711"/>
      <c r="B32" s="708"/>
      <c r="F32" s="713"/>
      <c r="G32" s="713"/>
      <c r="H32" s="713"/>
      <c r="I32" s="713"/>
      <c r="J32" s="714"/>
      <c r="K32" s="714"/>
      <c r="L32" s="714"/>
      <c r="M32" s="714"/>
      <c r="N32" s="714"/>
      <c r="O32" s="714"/>
      <c r="P32" s="714"/>
      <c r="Q32" s="715"/>
      <c r="R32" s="716"/>
      <c r="S32" s="708"/>
      <c r="T32" s="708"/>
    </row>
    <row r="33" spans="1:20" s="712" customFormat="1" ht="12.75" customHeight="1" x14ac:dyDescent="0.2">
      <c r="A33" s="711"/>
      <c r="B33" s="708"/>
      <c r="F33" s="713"/>
      <c r="G33" s="713"/>
      <c r="H33" s="713"/>
      <c r="I33" s="713"/>
      <c r="J33" s="714"/>
      <c r="K33" s="714"/>
      <c r="L33" s="714"/>
      <c r="M33" s="714"/>
      <c r="N33" s="714"/>
      <c r="O33" s="714"/>
      <c r="P33" s="714"/>
      <c r="Q33" s="715"/>
      <c r="R33" s="716"/>
      <c r="S33" s="708"/>
      <c r="T33" s="708"/>
    </row>
    <row r="34" spans="1:20" ht="12.75" customHeight="1" x14ac:dyDescent="0.2"/>
    <row r="35" spans="1:20" ht="12.75" customHeight="1" x14ac:dyDescent="0.2"/>
    <row r="36" spans="1:20" ht="12.75" hidden="1" customHeight="1" x14ac:dyDescent="0.25"/>
    <row r="37" spans="1:20" ht="12.75" hidden="1" customHeight="1" x14ac:dyDescent="0.25"/>
    <row r="38" spans="1:20" ht="12.75" hidden="1" customHeight="1" x14ac:dyDescent="0.25"/>
    <row r="39" spans="1:20" ht="12.75" hidden="1" customHeight="1" x14ac:dyDescent="0.25"/>
    <row r="40" spans="1:20" ht="12.75" hidden="1" customHeight="1" x14ac:dyDescent="0.25"/>
    <row r="41" spans="1:20" ht="12.75" hidden="1" customHeight="1" x14ac:dyDescent="0.25"/>
    <row r="42" spans="1:20" ht="12.75" hidden="1" customHeight="1" x14ac:dyDescent="0.25"/>
    <row r="43" spans="1:20" ht="12.75" hidden="1" customHeight="1" x14ac:dyDescent="0.25"/>
    <row r="44" spans="1:20" ht="12.75" hidden="1" customHeight="1" x14ac:dyDescent="0.25"/>
    <row r="45" spans="1:20" ht="12.75" hidden="1" customHeight="1" x14ac:dyDescent="0.25"/>
    <row r="46" spans="1:20" ht="12.75" hidden="1" customHeight="1" x14ac:dyDescent="0.25"/>
    <row r="47" spans="1:20" ht="12.75" hidden="1" customHeight="1" x14ac:dyDescent="0.25"/>
    <row r="48" spans="1:20" ht="12.75" hidden="1" customHeight="1" x14ac:dyDescent="0.25"/>
    <row r="49" ht="12.75" hidden="1" customHeight="1" x14ac:dyDescent="0.25"/>
    <row r="50" ht="12.75" hidden="1" customHeight="1" x14ac:dyDescent="0.25"/>
    <row r="51" ht="12.75" hidden="1" customHeight="1" x14ac:dyDescent="0.25"/>
    <row r="52" ht="12.75" hidden="1" customHeight="1" x14ac:dyDescent="0.25"/>
    <row r="53" ht="12.75" hidden="1" customHeight="1" x14ac:dyDescent="0.25"/>
    <row r="54" ht="12.75" hidden="1" customHeight="1" x14ac:dyDescent="0.25"/>
    <row r="55" ht="12.75" hidden="1" customHeight="1" x14ac:dyDescent="0.25"/>
    <row r="56" ht="12.75" hidden="1" customHeight="1" x14ac:dyDescent="0.25"/>
    <row r="57" ht="12.75" hidden="1" customHeight="1" x14ac:dyDescent="0.25"/>
    <row r="58" ht="12.75" hidden="1" customHeight="1" x14ac:dyDescent="0.25"/>
    <row r="59" ht="12.75" hidden="1" customHeight="1" x14ac:dyDescent="0.25"/>
    <row r="60" ht="12.75" hidden="1" customHeight="1" x14ac:dyDescent="0.25"/>
    <row r="61" ht="12.75" hidden="1" customHeight="1" x14ac:dyDescent="0.25"/>
    <row r="62" ht="12.75" hidden="1" customHeight="1" x14ac:dyDescent="0.25"/>
    <row r="63" ht="12.75" hidden="1" customHeight="1" x14ac:dyDescent="0.25"/>
    <row r="64" ht="12.75" hidden="1" customHeight="1" x14ac:dyDescent="0.25"/>
    <row r="65" ht="12.75" hidden="1" customHeight="1" x14ac:dyDescent="0.25"/>
    <row r="66" ht="12.75" hidden="1" customHeight="1" x14ac:dyDescent="0.25"/>
    <row r="67" ht="12.75" hidden="1" customHeight="1" x14ac:dyDescent="0.25"/>
    <row r="68" ht="12.75" hidden="1" customHeight="1" x14ac:dyDescent="0.25"/>
    <row r="69" ht="12.75" hidden="1" customHeight="1" x14ac:dyDescent="0.25"/>
    <row r="70" ht="12.75" hidden="1" customHeight="1" x14ac:dyDescent="0.25"/>
    <row r="71" ht="12.75" hidden="1" customHeight="1" x14ac:dyDescent="0.25"/>
    <row r="72" ht="12.75" hidden="1" customHeight="1" x14ac:dyDescent="0.25"/>
    <row r="73" ht="12.75" hidden="1" customHeight="1" x14ac:dyDescent="0.25"/>
    <row r="74" ht="12.75" hidden="1" customHeight="1" x14ac:dyDescent="0.25"/>
    <row r="75" ht="12.75" hidden="1" customHeight="1" x14ac:dyDescent="0.25"/>
    <row r="76" ht="12.75" hidden="1" customHeight="1" x14ac:dyDescent="0.25"/>
    <row r="77" ht="12.75" hidden="1" customHeight="1" x14ac:dyDescent="0.25"/>
    <row r="78" ht="12.75" hidden="1" customHeight="1" x14ac:dyDescent="0.25"/>
    <row r="79" ht="12.75" hidden="1" customHeight="1" x14ac:dyDescent="0.25"/>
    <row r="80" ht="12.75" hidden="1" customHeight="1" x14ac:dyDescent="0.25"/>
    <row r="81" ht="12.75" hidden="1" customHeight="1" x14ac:dyDescent="0.25"/>
    <row r="82" ht="12.75" hidden="1" customHeight="1" x14ac:dyDescent="0.25"/>
    <row r="83" ht="12.75" hidden="1" customHeight="1" x14ac:dyDescent="0.25"/>
    <row r="84" ht="12.75" hidden="1" customHeight="1" x14ac:dyDescent="0.25"/>
    <row r="85" ht="12.75" hidden="1" customHeight="1" x14ac:dyDescent="0.25"/>
    <row r="86" ht="12.75" hidden="1" customHeight="1" x14ac:dyDescent="0.25"/>
    <row r="87" ht="12.75" hidden="1" customHeight="1" x14ac:dyDescent="0.25"/>
    <row r="88" ht="12.75" hidden="1" customHeight="1" x14ac:dyDescent="0.25"/>
    <row r="89" ht="12.75" hidden="1" customHeight="1" x14ac:dyDescent="0.25"/>
    <row r="90" ht="12.75" hidden="1" customHeight="1" x14ac:dyDescent="0.25"/>
    <row r="91" ht="12.75" hidden="1" customHeight="1" x14ac:dyDescent="0.25"/>
    <row r="92" ht="12.75" hidden="1" customHeight="1" x14ac:dyDescent="0.25"/>
    <row r="93" ht="12.75" hidden="1" customHeight="1" x14ac:dyDescent="0.25"/>
    <row r="94" ht="12.75" hidden="1" customHeight="1" x14ac:dyDescent="0.25"/>
    <row r="95" ht="12.75" hidden="1" customHeight="1" x14ac:dyDescent="0.25"/>
    <row r="96" ht="12.75" hidden="1" customHeight="1" x14ac:dyDescent="0.25"/>
    <row r="97" ht="12.75" hidden="1" customHeight="1" x14ac:dyDescent="0.25"/>
    <row r="98" ht="12.75" hidden="1" customHeight="1" x14ac:dyDescent="0.25"/>
    <row r="99" ht="12.75" hidden="1" customHeight="1" x14ac:dyDescent="0.25"/>
    <row r="100" ht="12.75" hidden="1" customHeight="1" x14ac:dyDescent="0.25"/>
    <row r="101" ht="12.75" hidden="1" customHeight="1" x14ac:dyDescent="0.25"/>
    <row r="102" ht="12.75" hidden="1" customHeight="1" x14ac:dyDescent="0.25"/>
    <row r="103" ht="12.75" hidden="1" customHeight="1" x14ac:dyDescent="0.25"/>
    <row r="104" ht="12.75" hidden="1" customHeight="1" x14ac:dyDescent="0.25"/>
    <row r="105" ht="12.75" hidden="1" customHeight="1" x14ac:dyDescent="0.25"/>
    <row r="106" ht="12.75" hidden="1" customHeight="1" x14ac:dyDescent="0.25"/>
    <row r="107" ht="12.75" hidden="1" customHeight="1" x14ac:dyDescent="0.25"/>
    <row r="108" ht="12.75" hidden="1" customHeight="1" x14ac:dyDescent="0.25"/>
    <row r="109" ht="12.75" hidden="1" customHeight="1" x14ac:dyDescent="0.25"/>
    <row r="110" ht="12.75" hidden="1" customHeight="1" x14ac:dyDescent="0.25"/>
    <row r="111" ht="12.75" hidden="1" customHeight="1" x14ac:dyDescent="0.25"/>
    <row r="112" ht="12.75" hidden="1" customHeight="1" x14ac:dyDescent="0.25"/>
    <row r="113" ht="12.75" hidden="1" customHeight="1" x14ac:dyDescent="0.25"/>
    <row r="114" ht="12.75" hidden="1" customHeight="1" x14ac:dyDescent="0.25"/>
    <row r="115" ht="12.75" hidden="1" customHeight="1" x14ac:dyDescent="0.25"/>
    <row r="116" ht="12.75" hidden="1" customHeight="1" x14ac:dyDescent="0.25"/>
    <row r="117" ht="12.75" hidden="1" customHeight="1" x14ac:dyDescent="0.25"/>
    <row r="118" ht="12.75" hidden="1" customHeight="1" x14ac:dyDescent="0.25"/>
    <row r="119" ht="12.75" hidden="1" customHeight="1" x14ac:dyDescent="0.25"/>
    <row r="120" ht="12.75" hidden="1" customHeight="1" x14ac:dyDescent="0.25"/>
    <row r="121" ht="12.75" hidden="1" customHeight="1" x14ac:dyDescent="0.25"/>
    <row r="122" ht="12.75" hidden="1" customHeight="1" x14ac:dyDescent="0.25"/>
    <row r="123" ht="12.75" hidden="1" customHeight="1" x14ac:dyDescent="0.25"/>
    <row r="124" ht="12.75" hidden="1" customHeight="1" x14ac:dyDescent="0.25"/>
    <row r="125" ht="12.75" hidden="1" customHeight="1" x14ac:dyDescent="0.25"/>
    <row r="126" ht="12.75" hidden="1" customHeight="1" x14ac:dyDescent="0.25"/>
    <row r="127" ht="12.75" hidden="1" customHeight="1" x14ac:dyDescent="0.25"/>
    <row r="128" ht="12.75" hidden="1" customHeight="1" x14ac:dyDescent="0.25"/>
    <row r="129" ht="12.75" hidden="1" customHeight="1" x14ac:dyDescent="0.25"/>
    <row r="130" ht="12.75" hidden="1" customHeight="1" x14ac:dyDescent="0.25"/>
    <row r="131" ht="12.75" hidden="1" customHeight="1" x14ac:dyDescent="0.25"/>
    <row r="132" ht="12.75" hidden="1" customHeight="1" x14ac:dyDescent="0.25"/>
    <row r="133" ht="12.75" hidden="1" customHeight="1" x14ac:dyDescent="0.25"/>
    <row r="134" ht="12.75" hidden="1" customHeight="1" x14ac:dyDescent="0.25"/>
    <row r="135" ht="12.75" hidden="1" customHeight="1" x14ac:dyDescent="0.25"/>
    <row r="136" ht="12.75" hidden="1" customHeight="1" x14ac:dyDescent="0.25"/>
    <row r="137" ht="12.75" hidden="1" customHeight="1" x14ac:dyDescent="0.25"/>
    <row r="138" ht="12.75" hidden="1" customHeight="1" x14ac:dyDescent="0.25"/>
    <row r="139" ht="12.75" hidden="1" customHeight="1" x14ac:dyDescent="0.25"/>
    <row r="140" ht="12.75" hidden="1" customHeight="1" x14ac:dyDescent="0.25"/>
    <row r="141" ht="12.75" hidden="1" customHeight="1" x14ac:dyDescent="0.25"/>
    <row r="142" ht="12.75" hidden="1" customHeight="1" x14ac:dyDescent="0.25"/>
    <row r="143" ht="12.75" hidden="1" customHeight="1" x14ac:dyDescent="0.25"/>
    <row r="144" ht="12.75" hidden="1" customHeight="1" x14ac:dyDescent="0.25"/>
    <row r="145" ht="12.75" hidden="1" customHeight="1" x14ac:dyDescent="0.25"/>
    <row r="146" ht="12.75" hidden="1" customHeight="1" x14ac:dyDescent="0.25"/>
    <row r="147" ht="12.75" hidden="1" customHeight="1" x14ac:dyDescent="0.25"/>
    <row r="148" ht="12.75" hidden="1" customHeight="1" x14ac:dyDescent="0.25"/>
    <row r="149" ht="12.75" hidden="1" customHeight="1" x14ac:dyDescent="0.25"/>
    <row r="150" ht="12.75" hidden="1" customHeight="1" x14ac:dyDescent="0.25"/>
    <row r="151" ht="12.75" hidden="1" customHeight="1" x14ac:dyDescent="0.25"/>
    <row r="152" ht="12.75" hidden="1" customHeight="1" x14ac:dyDescent="0.25"/>
    <row r="153" ht="12.75" hidden="1" customHeight="1" x14ac:dyDescent="0.25"/>
    <row r="154" ht="12.75" hidden="1" customHeight="1" x14ac:dyDescent="0.25"/>
    <row r="155" ht="12.75" hidden="1" customHeight="1" x14ac:dyDescent="0.25"/>
    <row r="156" ht="12.75" hidden="1" customHeight="1" x14ac:dyDescent="0.25"/>
    <row r="157" ht="12.75" hidden="1" customHeight="1" x14ac:dyDescent="0.25"/>
    <row r="158" ht="12.75" hidden="1" customHeight="1" x14ac:dyDescent="0.25"/>
    <row r="159" ht="12.75" hidden="1" customHeight="1" x14ac:dyDescent="0.25"/>
    <row r="160" ht="12.75" hidden="1" customHeight="1" x14ac:dyDescent="0.25"/>
    <row r="161" ht="12.75" hidden="1" customHeight="1" x14ac:dyDescent="0.25"/>
    <row r="162" ht="12.75" hidden="1" customHeight="1" x14ac:dyDescent="0.25"/>
    <row r="163" ht="12.75" hidden="1" customHeight="1" x14ac:dyDescent="0.25"/>
    <row r="164" ht="12.75" hidden="1" customHeight="1" x14ac:dyDescent="0.25"/>
    <row r="165" ht="12.75" hidden="1" customHeight="1" x14ac:dyDescent="0.25"/>
    <row r="166" ht="12.75" hidden="1" customHeight="1" x14ac:dyDescent="0.25"/>
    <row r="167" ht="12.75" hidden="1" customHeight="1" x14ac:dyDescent="0.25"/>
    <row r="168" ht="12.75" hidden="1" customHeight="1" x14ac:dyDescent="0.25"/>
    <row r="169" ht="12.75" hidden="1" customHeight="1" x14ac:dyDescent="0.25"/>
    <row r="170" ht="12.75" hidden="1" customHeight="1" x14ac:dyDescent="0.25"/>
    <row r="171" ht="12.75" hidden="1" customHeight="1" x14ac:dyDescent="0.25"/>
    <row r="172" ht="12.75" hidden="1" customHeight="1" x14ac:dyDescent="0.25"/>
    <row r="173" ht="12.75" hidden="1" customHeight="1" x14ac:dyDescent="0.25"/>
    <row r="174" ht="12.75" hidden="1" customHeight="1" x14ac:dyDescent="0.25"/>
    <row r="175" ht="12.75" hidden="1" customHeight="1" x14ac:dyDescent="0.25"/>
    <row r="176" ht="12.75" hidden="1" customHeight="1" x14ac:dyDescent="0.25"/>
    <row r="177" ht="12.75" hidden="1" customHeight="1" x14ac:dyDescent="0.25"/>
    <row r="178" ht="12.75" hidden="1" customHeight="1" x14ac:dyDescent="0.25"/>
    <row r="179" ht="12.75" hidden="1" customHeight="1" x14ac:dyDescent="0.25"/>
    <row r="180" ht="12.75" hidden="1" customHeight="1" x14ac:dyDescent="0.25"/>
    <row r="181" ht="12.75" hidden="1" customHeight="1" x14ac:dyDescent="0.25"/>
    <row r="182" ht="12.75" hidden="1" customHeight="1" x14ac:dyDescent="0.25"/>
    <row r="183" ht="12.75" hidden="1" customHeight="1" x14ac:dyDescent="0.25"/>
    <row r="184" ht="12.75" hidden="1" customHeight="1" x14ac:dyDescent="0.25"/>
    <row r="185" ht="12.75" hidden="1" customHeight="1" x14ac:dyDescent="0.25"/>
    <row r="186" ht="12.75" hidden="1" customHeight="1" x14ac:dyDescent="0.25"/>
    <row r="187" ht="12.75" hidden="1" customHeight="1" x14ac:dyDescent="0.25"/>
    <row r="188" ht="12.75" hidden="1" customHeight="1" x14ac:dyDescent="0.25"/>
    <row r="189" ht="12.75" hidden="1" customHeight="1" x14ac:dyDescent="0.25"/>
    <row r="190" ht="12.75" hidden="1" customHeight="1" x14ac:dyDescent="0.25"/>
    <row r="191" ht="12.75" hidden="1" customHeight="1" x14ac:dyDescent="0.25"/>
    <row r="192" ht="12.75" hidden="1" customHeight="1" x14ac:dyDescent="0.25"/>
    <row r="193" ht="12.75" hidden="1" customHeight="1" x14ac:dyDescent="0.25"/>
    <row r="194" ht="12.75" hidden="1" customHeight="1" x14ac:dyDescent="0.25"/>
    <row r="195" ht="12.75" hidden="1" customHeight="1" x14ac:dyDescent="0.25"/>
    <row r="196" ht="12.75" hidden="1" customHeight="1" x14ac:dyDescent="0.25"/>
    <row r="197" ht="12.75" hidden="1" customHeight="1" x14ac:dyDescent="0.25"/>
    <row r="198" ht="12.75" hidden="1" customHeight="1" x14ac:dyDescent="0.25"/>
    <row r="199" ht="12.75" hidden="1" customHeight="1" x14ac:dyDescent="0.25"/>
    <row r="200" ht="12.75" hidden="1" customHeight="1" x14ac:dyDescent="0.25"/>
    <row r="201" ht="12.75" hidden="1" customHeight="1" x14ac:dyDescent="0.25"/>
    <row r="202" ht="12.75" hidden="1" customHeight="1" x14ac:dyDescent="0.25"/>
    <row r="203" ht="12.75" hidden="1" customHeight="1" x14ac:dyDescent="0.25"/>
    <row r="204" ht="12.75" hidden="1" customHeight="1" x14ac:dyDescent="0.25"/>
    <row r="205" ht="12.75" hidden="1" customHeight="1" x14ac:dyDescent="0.25"/>
    <row r="206" ht="12.75" hidden="1" customHeight="1" x14ac:dyDescent="0.25"/>
    <row r="207" ht="12.75" hidden="1" customHeight="1" x14ac:dyDescent="0.25"/>
    <row r="208" ht="12.75" hidden="1" customHeight="1" x14ac:dyDescent="0.25"/>
    <row r="209" ht="12.75" hidden="1" customHeight="1" x14ac:dyDescent="0.25"/>
    <row r="210" ht="12.75" hidden="1" customHeight="1" x14ac:dyDescent="0.25"/>
    <row r="211" ht="12.75" hidden="1" customHeight="1" x14ac:dyDescent="0.25"/>
    <row r="212" ht="12.75" hidden="1" customHeight="1" x14ac:dyDescent="0.25"/>
    <row r="213" ht="12.75" hidden="1" customHeight="1" x14ac:dyDescent="0.25"/>
    <row r="214" ht="12.75" hidden="1" customHeight="1" x14ac:dyDescent="0.25"/>
    <row r="215" ht="12.75" hidden="1" customHeight="1" x14ac:dyDescent="0.25"/>
    <row r="216" ht="12.75" hidden="1" customHeight="1" x14ac:dyDescent="0.25"/>
    <row r="217" ht="12.75" hidden="1" customHeight="1" x14ac:dyDescent="0.25"/>
    <row r="218" ht="12.75" hidden="1" customHeight="1" x14ac:dyDescent="0.25"/>
    <row r="219" ht="12.75" hidden="1" customHeight="1" x14ac:dyDescent="0.25"/>
    <row r="220" ht="12.75" hidden="1" customHeight="1" x14ac:dyDescent="0.25"/>
    <row r="221" ht="12.75" hidden="1" customHeight="1" x14ac:dyDescent="0.25"/>
    <row r="222" ht="12.75" hidden="1" customHeight="1" x14ac:dyDescent="0.25"/>
    <row r="223" ht="12.75" hidden="1" customHeight="1" x14ac:dyDescent="0.25"/>
    <row r="224" ht="12.75" hidden="1" customHeight="1" x14ac:dyDescent="0.25"/>
    <row r="225" ht="12.75" hidden="1" customHeight="1" x14ac:dyDescent="0.25"/>
    <row r="226" ht="12.75" hidden="1" customHeight="1" x14ac:dyDescent="0.25"/>
    <row r="227" ht="12.75" hidden="1" customHeight="1" x14ac:dyDescent="0.25"/>
    <row r="228" ht="12.75" hidden="1" customHeight="1" x14ac:dyDescent="0.25"/>
    <row r="229" ht="12.75" hidden="1" customHeight="1" x14ac:dyDescent="0.25"/>
    <row r="230" ht="12.75" hidden="1" customHeight="1" x14ac:dyDescent="0.25"/>
    <row r="231" ht="12.75" hidden="1" customHeight="1" x14ac:dyDescent="0.25"/>
    <row r="232" ht="12.75" hidden="1" customHeight="1" x14ac:dyDescent="0.25"/>
    <row r="233" ht="12.75" hidden="1" customHeight="1" x14ac:dyDescent="0.25"/>
    <row r="234" ht="12.75" hidden="1" customHeight="1" x14ac:dyDescent="0.25"/>
    <row r="235" ht="12.75" hidden="1" customHeight="1" x14ac:dyDescent="0.25"/>
    <row r="236" ht="12.75" hidden="1" customHeight="1" x14ac:dyDescent="0.25"/>
    <row r="237" ht="12.75" hidden="1" customHeight="1" x14ac:dyDescent="0.25"/>
    <row r="238" ht="12.75" hidden="1" customHeight="1" x14ac:dyDescent="0.25"/>
    <row r="239" ht="12.75" hidden="1" customHeight="1" x14ac:dyDescent="0.25"/>
    <row r="240" ht="12.75" hidden="1" customHeight="1" x14ac:dyDescent="0.25"/>
    <row r="241" ht="12.75" hidden="1" customHeight="1" x14ac:dyDescent="0.25"/>
    <row r="242" ht="12.75" hidden="1" customHeight="1" x14ac:dyDescent="0.25"/>
    <row r="243" ht="12.75" hidden="1" customHeight="1" x14ac:dyDescent="0.25"/>
    <row r="244" ht="12.75" hidden="1" customHeight="1" x14ac:dyDescent="0.25"/>
    <row r="245" ht="12.75" hidden="1" customHeight="1" x14ac:dyDescent="0.25"/>
    <row r="246" ht="12.75" hidden="1" customHeight="1" x14ac:dyDescent="0.25"/>
    <row r="247" ht="12.75" hidden="1" customHeight="1" x14ac:dyDescent="0.25"/>
    <row r="248" ht="12.75" hidden="1" customHeight="1" x14ac:dyDescent="0.25"/>
    <row r="249" ht="12.75" hidden="1" customHeight="1" x14ac:dyDescent="0.25"/>
    <row r="250" ht="12.75" hidden="1" customHeight="1" x14ac:dyDescent="0.25"/>
    <row r="251" ht="12.75" hidden="1" customHeight="1" x14ac:dyDescent="0.25"/>
    <row r="252" ht="12.75" hidden="1" customHeight="1" x14ac:dyDescent="0.25"/>
    <row r="253" ht="12.75" hidden="1" customHeight="1" x14ac:dyDescent="0.25"/>
    <row r="254" ht="12.75" hidden="1" customHeight="1" x14ac:dyDescent="0.25"/>
    <row r="255" ht="12.75" hidden="1" customHeight="1" x14ac:dyDescent="0.25"/>
    <row r="256" ht="12.75" hidden="1" customHeight="1" x14ac:dyDescent="0.25"/>
    <row r="257" ht="12.75" hidden="1" customHeight="1" x14ac:dyDescent="0.25"/>
    <row r="258" ht="12.75" hidden="1" customHeight="1" x14ac:dyDescent="0.25"/>
    <row r="259" ht="12.75" hidden="1" customHeight="1" x14ac:dyDescent="0.25"/>
    <row r="260" ht="12.75" hidden="1" customHeight="1" x14ac:dyDescent="0.25"/>
    <row r="261" ht="12.75" hidden="1" customHeight="1" x14ac:dyDescent="0.25"/>
    <row r="262" ht="12.75" hidden="1" customHeight="1" x14ac:dyDescent="0.25"/>
    <row r="263" ht="12.75" hidden="1" customHeight="1" x14ac:dyDescent="0.25"/>
    <row r="264" ht="12.75" hidden="1" customHeight="1" x14ac:dyDescent="0.25"/>
    <row r="265" ht="12.75" hidden="1" customHeight="1" x14ac:dyDescent="0.25"/>
    <row r="266" ht="12.75" hidden="1" customHeight="1" x14ac:dyDescent="0.25"/>
    <row r="267" ht="12.75" hidden="1" customHeight="1" x14ac:dyDescent="0.25"/>
    <row r="268" ht="12.75" hidden="1" customHeight="1" x14ac:dyDescent="0.25"/>
    <row r="269" ht="12.75" hidden="1" customHeight="1" x14ac:dyDescent="0.25"/>
    <row r="270" ht="12.75" hidden="1" customHeight="1" x14ac:dyDescent="0.25"/>
    <row r="271" ht="12.75" hidden="1" customHeight="1" x14ac:dyDescent="0.25"/>
    <row r="272" ht="12.75" hidden="1" customHeight="1" x14ac:dyDescent="0.25"/>
    <row r="273" ht="12.75" hidden="1" customHeight="1" x14ac:dyDescent="0.25"/>
    <row r="274" ht="12.75" hidden="1" customHeight="1" x14ac:dyDescent="0.25"/>
    <row r="275" ht="12.75" hidden="1" customHeight="1" x14ac:dyDescent="0.25"/>
    <row r="276" ht="12.75" hidden="1" customHeight="1" x14ac:dyDescent="0.25"/>
    <row r="277" ht="12.75" hidden="1" customHeight="1" x14ac:dyDescent="0.25"/>
    <row r="278" ht="12.75" hidden="1" customHeight="1" x14ac:dyDescent="0.25"/>
    <row r="279" ht="12.75" hidden="1" customHeight="1" x14ac:dyDescent="0.25"/>
    <row r="280" ht="12.75" hidden="1" customHeight="1" x14ac:dyDescent="0.25"/>
    <row r="281" ht="12.75" hidden="1" customHeight="1" x14ac:dyDescent="0.25"/>
    <row r="282" ht="12.75" hidden="1" customHeight="1" x14ac:dyDescent="0.25"/>
    <row r="283" ht="12.75" hidden="1" customHeight="1" x14ac:dyDescent="0.25"/>
    <row r="284" ht="12.75" hidden="1" customHeight="1" x14ac:dyDescent="0.25"/>
    <row r="285" ht="12.75" hidden="1" customHeight="1" x14ac:dyDescent="0.25"/>
    <row r="286" ht="12.75" hidden="1" customHeight="1" x14ac:dyDescent="0.25"/>
    <row r="287" ht="12.75" hidden="1" customHeight="1" x14ac:dyDescent="0.25"/>
    <row r="288" ht="12.75" hidden="1" customHeight="1" x14ac:dyDescent="0.25"/>
    <row r="289" ht="12.75" hidden="1" customHeight="1" x14ac:dyDescent="0.25"/>
    <row r="290" ht="12.75" hidden="1" customHeight="1" x14ac:dyDescent="0.25"/>
    <row r="291" ht="12.75" hidden="1" customHeight="1" x14ac:dyDescent="0.25"/>
    <row r="292" ht="12.75" hidden="1" customHeight="1" x14ac:dyDescent="0.25"/>
    <row r="293" ht="12.75" hidden="1" customHeight="1" x14ac:dyDescent="0.25"/>
    <row r="294" ht="12.75" hidden="1" customHeight="1" x14ac:dyDescent="0.25"/>
    <row r="295" ht="12.75" hidden="1" customHeight="1" x14ac:dyDescent="0.25"/>
    <row r="296" ht="12.75" hidden="1" customHeight="1" x14ac:dyDescent="0.25"/>
    <row r="297" ht="12.75" hidden="1" customHeight="1" x14ac:dyDescent="0.25"/>
    <row r="298" ht="12.75" hidden="1" customHeight="1" x14ac:dyDescent="0.25"/>
    <row r="299" ht="12.75" hidden="1" customHeight="1" x14ac:dyDescent="0.25"/>
    <row r="300" ht="12.75" hidden="1" customHeight="1" x14ac:dyDescent="0.25"/>
    <row r="301" ht="12.75" hidden="1" customHeight="1" x14ac:dyDescent="0.25"/>
    <row r="302" ht="12.75" hidden="1" customHeight="1" x14ac:dyDescent="0.25"/>
    <row r="303" ht="12.75" hidden="1" customHeight="1" x14ac:dyDescent="0.25"/>
    <row r="304" ht="12.75" hidden="1" customHeight="1" x14ac:dyDescent="0.25"/>
    <row r="305" ht="12.75" hidden="1" customHeight="1" x14ac:dyDescent="0.25"/>
    <row r="306" ht="12.75" hidden="1" customHeight="1" x14ac:dyDescent="0.25"/>
    <row r="307" ht="12.75" hidden="1" customHeight="1" x14ac:dyDescent="0.25"/>
    <row r="308" ht="12.75" hidden="1" customHeight="1" x14ac:dyDescent="0.25"/>
    <row r="309" ht="12.75" hidden="1" customHeight="1" x14ac:dyDescent="0.25"/>
    <row r="310" ht="12.75" hidden="1" customHeight="1" x14ac:dyDescent="0.25"/>
    <row r="311" ht="12.75" hidden="1" customHeight="1" x14ac:dyDescent="0.25"/>
    <row r="312" ht="12.75" hidden="1" customHeight="1" x14ac:dyDescent="0.25"/>
    <row r="313" ht="12.75" hidden="1" customHeight="1" x14ac:dyDescent="0.25"/>
    <row r="314" ht="12.75" hidden="1" customHeight="1" x14ac:dyDescent="0.25"/>
    <row r="315" ht="12.75" hidden="1" customHeight="1" x14ac:dyDescent="0.25"/>
    <row r="316" ht="12.75" hidden="1" customHeight="1" x14ac:dyDescent="0.25"/>
    <row r="317" ht="12.75" hidden="1" customHeight="1" x14ac:dyDescent="0.25"/>
    <row r="318" ht="12.75" hidden="1" customHeight="1" x14ac:dyDescent="0.25"/>
    <row r="319" ht="12.75" hidden="1" customHeight="1" x14ac:dyDescent="0.25"/>
    <row r="320" ht="12.75" hidden="1" customHeight="1" x14ac:dyDescent="0.25"/>
    <row r="321" ht="12.75" hidden="1" customHeight="1" x14ac:dyDescent="0.25"/>
    <row r="322" ht="12.75" hidden="1" customHeight="1" x14ac:dyDescent="0.25"/>
    <row r="323" ht="12.75" hidden="1" customHeight="1" x14ac:dyDescent="0.25"/>
    <row r="324" ht="12.75" hidden="1" customHeight="1" x14ac:dyDescent="0.25"/>
    <row r="325" ht="12.75" hidden="1" customHeight="1" x14ac:dyDescent="0.25"/>
    <row r="326" ht="12.75" hidden="1" customHeight="1" x14ac:dyDescent="0.25"/>
    <row r="327" ht="12.75" hidden="1" customHeight="1" x14ac:dyDescent="0.25"/>
    <row r="328" ht="12.75" hidden="1" customHeight="1" x14ac:dyDescent="0.25"/>
    <row r="329" ht="12.75" hidden="1" customHeight="1" x14ac:dyDescent="0.25"/>
    <row r="330" ht="12.75" hidden="1" customHeight="1" x14ac:dyDescent="0.25"/>
    <row r="331" ht="12.75" hidden="1" customHeight="1" x14ac:dyDescent="0.25"/>
    <row r="332" ht="12.75" hidden="1" customHeight="1" x14ac:dyDescent="0.25"/>
    <row r="333" ht="12.75" hidden="1" customHeight="1" x14ac:dyDescent="0.25"/>
    <row r="334" ht="12.75" hidden="1" customHeight="1" x14ac:dyDescent="0.25"/>
    <row r="335" ht="12.75" hidden="1" customHeight="1" x14ac:dyDescent="0.25"/>
    <row r="336" ht="12.75" hidden="1" customHeight="1" x14ac:dyDescent="0.25"/>
    <row r="337" ht="12.75" hidden="1" customHeight="1" x14ac:dyDescent="0.25"/>
    <row r="338" ht="12.75" hidden="1" customHeight="1" x14ac:dyDescent="0.25"/>
    <row r="339" ht="12.75" hidden="1" customHeight="1" x14ac:dyDescent="0.25"/>
    <row r="340" ht="12.75" hidden="1" customHeight="1" x14ac:dyDescent="0.25"/>
    <row r="341" ht="12.75" hidden="1" customHeight="1" x14ac:dyDescent="0.25"/>
    <row r="342" ht="12.75" hidden="1" customHeight="1" x14ac:dyDescent="0.25"/>
    <row r="343" ht="12.75" hidden="1" customHeight="1" x14ac:dyDescent="0.25"/>
    <row r="344" ht="12.75" hidden="1" customHeight="1" x14ac:dyDescent="0.25"/>
    <row r="345" ht="12.75" hidden="1" customHeight="1" x14ac:dyDescent="0.25"/>
    <row r="346" ht="12.75" hidden="1" customHeight="1" x14ac:dyDescent="0.25"/>
    <row r="347" ht="12.75" hidden="1" customHeight="1" x14ac:dyDescent="0.25"/>
    <row r="348" ht="12.75" hidden="1" customHeight="1" x14ac:dyDescent="0.25"/>
    <row r="349" ht="12.75" hidden="1" customHeight="1" x14ac:dyDescent="0.25"/>
    <row r="350" ht="12.75" hidden="1" customHeight="1" x14ac:dyDescent="0.25"/>
    <row r="351" ht="12.75" hidden="1" customHeight="1" x14ac:dyDescent="0.25"/>
    <row r="352" ht="12.75" hidden="1" customHeight="1" x14ac:dyDescent="0.25"/>
    <row r="353" ht="12.75" hidden="1" customHeight="1" x14ac:dyDescent="0.25"/>
    <row r="354" ht="12.75" hidden="1" customHeight="1" x14ac:dyDescent="0.25"/>
    <row r="355" ht="12.75" hidden="1" customHeight="1" x14ac:dyDescent="0.25"/>
    <row r="356" ht="12.75" hidden="1" customHeight="1" x14ac:dyDescent="0.25"/>
    <row r="357" ht="12.75" hidden="1" customHeight="1" x14ac:dyDescent="0.25"/>
    <row r="358" ht="12.75" hidden="1" customHeight="1" x14ac:dyDescent="0.25"/>
    <row r="359" ht="12.75" hidden="1" customHeight="1" x14ac:dyDescent="0.25"/>
    <row r="360" ht="12.75" hidden="1" customHeight="1" x14ac:dyDescent="0.25"/>
    <row r="361" ht="12.75" hidden="1" customHeight="1" x14ac:dyDescent="0.25"/>
    <row r="362" ht="12.75" hidden="1" customHeight="1" x14ac:dyDescent="0.25"/>
    <row r="363" ht="12.75" hidden="1" customHeight="1" x14ac:dyDescent="0.25"/>
    <row r="364" ht="12.75" hidden="1" customHeight="1" x14ac:dyDescent="0.25"/>
    <row r="365" ht="12.75" hidden="1" customHeight="1" x14ac:dyDescent="0.25"/>
    <row r="366" ht="12.75" hidden="1" customHeight="1" x14ac:dyDescent="0.25"/>
    <row r="367" ht="12.75" hidden="1" customHeight="1" x14ac:dyDescent="0.25"/>
    <row r="368" ht="12.75" hidden="1" customHeight="1" x14ac:dyDescent="0.25"/>
    <row r="369" ht="12.75" hidden="1" customHeight="1" x14ac:dyDescent="0.25"/>
    <row r="370" ht="12.75" hidden="1" customHeight="1" x14ac:dyDescent="0.25"/>
    <row r="371" ht="12.75" hidden="1" customHeight="1" x14ac:dyDescent="0.25"/>
    <row r="372" ht="12.75" hidden="1" customHeight="1" x14ac:dyDescent="0.25"/>
    <row r="373" ht="12.75" hidden="1" customHeight="1" x14ac:dyDescent="0.25"/>
    <row r="374" ht="12.75" hidden="1" customHeight="1" x14ac:dyDescent="0.25"/>
    <row r="375" ht="12.75" hidden="1" customHeight="1" x14ac:dyDescent="0.25"/>
    <row r="376" ht="12.75" hidden="1" customHeight="1" x14ac:dyDescent="0.25"/>
    <row r="377" ht="12.75" hidden="1" customHeight="1" x14ac:dyDescent="0.25"/>
    <row r="378" ht="12.75" hidden="1" customHeight="1" x14ac:dyDescent="0.25"/>
    <row r="379" ht="12.75" hidden="1" customHeight="1" x14ac:dyDescent="0.25"/>
    <row r="380" ht="12.75" hidden="1" customHeight="1" x14ac:dyDescent="0.25"/>
    <row r="381" ht="12.75" hidden="1" customHeight="1" x14ac:dyDescent="0.25"/>
    <row r="382" ht="12.75" hidden="1" customHeight="1" x14ac:dyDescent="0.25"/>
    <row r="383" ht="12.75" hidden="1" customHeight="1" x14ac:dyDescent="0.25"/>
    <row r="384" ht="12.75" hidden="1" customHeight="1" x14ac:dyDescent="0.25"/>
    <row r="385" ht="12.75" hidden="1" customHeight="1" x14ac:dyDescent="0.25"/>
    <row r="386" ht="12.75" hidden="1" customHeight="1" x14ac:dyDescent="0.25"/>
    <row r="387" ht="12.75" hidden="1" customHeight="1" x14ac:dyDescent="0.25"/>
    <row r="388" ht="12.75" hidden="1" customHeight="1" x14ac:dyDescent="0.25"/>
    <row r="389" ht="12.75" hidden="1" customHeight="1" x14ac:dyDescent="0.25"/>
    <row r="390" ht="12.75" hidden="1" customHeight="1" x14ac:dyDescent="0.25"/>
    <row r="391" ht="12.75" hidden="1" customHeight="1" x14ac:dyDescent="0.25"/>
    <row r="392" ht="12.75" hidden="1" customHeight="1" x14ac:dyDescent="0.25"/>
    <row r="393" ht="12.75" hidden="1" customHeight="1" x14ac:dyDescent="0.25"/>
    <row r="394" ht="12.75" hidden="1" customHeight="1" x14ac:dyDescent="0.25"/>
    <row r="395" ht="12.75" hidden="1" customHeight="1" x14ac:dyDescent="0.25"/>
    <row r="396" ht="12.75" hidden="1" customHeight="1" x14ac:dyDescent="0.25"/>
    <row r="397" ht="12.75" hidden="1" customHeight="1" x14ac:dyDescent="0.25"/>
    <row r="398" ht="12.75" hidden="1" customHeight="1" x14ac:dyDescent="0.25"/>
    <row r="399" ht="12.75" hidden="1" customHeight="1" x14ac:dyDescent="0.25"/>
    <row r="400" ht="12.75" hidden="1" customHeight="1" x14ac:dyDescent="0.25"/>
  </sheetData>
  <sheetProtection formatCells="0" formatColumns="0" formatRows="0" insertColumns="0" insertRows="0"/>
  <pageMargins left="0.42" right="0.5" top="0.75" bottom="0.75" header="0.5" footer="0.5"/>
  <pageSetup scale="62" orientation="landscape" horizontalDpi="300" verticalDpi="300"/>
  <headerFooter alignWithMargins="0">
    <oddFooter>&amp;L&amp;A&amp;R&amp;P of &amp;N</oddFooter>
  </headerFooter>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V536"/>
  <sheetViews>
    <sheetView showGridLines="0" zoomScale="85" zoomScaleNormal="85" zoomScalePageLayoutView="85" workbookViewId="0"/>
  </sheetViews>
  <sheetFormatPr defaultColWidth="0" defaultRowHeight="12.75" customHeight="1" zeroHeight="1" x14ac:dyDescent="0.25"/>
  <cols>
    <col min="1" max="5" width="2.6640625" style="1188" customWidth="1"/>
    <col min="6" max="7" width="12.6640625" style="1188" customWidth="1"/>
    <col min="8" max="8" width="17.109375" style="1188" customWidth="1"/>
    <col min="9" max="9" width="13.6640625" style="1188" customWidth="1"/>
    <col min="10" max="29" width="14.6640625" style="1188" customWidth="1"/>
    <col min="30" max="39" width="12.6640625" style="1188" customWidth="1"/>
    <col min="40" max="40" width="2.44140625" style="1188" customWidth="1"/>
    <col min="41" max="281" width="0" style="1188" hidden="1"/>
    <col min="282" max="282" width="3.33203125" style="1188" hidden="1" customWidth="1"/>
    <col min="283" max="285" width="2.6640625" style="1188" hidden="1" customWidth="1"/>
    <col min="286" max="295" width="12.6640625" style="1188" hidden="1" customWidth="1"/>
    <col min="296" max="296" width="2.6640625" style="1188" hidden="1" customWidth="1"/>
    <col min="297" max="537" width="0" style="1188" hidden="1"/>
    <col min="538" max="538" width="3.33203125" style="1188" hidden="1" customWidth="1"/>
    <col min="539" max="541" width="2.6640625" style="1188" hidden="1" customWidth="1"/>
    <col min="542" max="551" width="12.6640625" style="1188" hidden="1" customWidth="1"/>
    <col min="552" max="552" width="2.6640625" style="1188" hidden="1" customWidth="1"/>
    <col min="553" max="793" width="0" style="1188" hidden="1"/>
    <col min="794" max="794" width="3.33203125" style="1188" hidden="1" customWidth="1"/>
    <col min="795" max="797" width="2.6640625" style="1188" hidden="1" customWidth="1"/>
    <col min="798" max="807" width="12.6640625" style="1188" hidden="1" customWidth="1"/>
    <col min="808" max="808" width="2.6640625" style="1188" hidden="1" customWidth="1"/>
    <col min="809" max="1049" width="0" style="1188" hidden="1"/>
    <col min="1050" max="1050" width="3.33203125" style="1188" hidden="1" customWidth="1"/>
    <col min="1051" max="1053" width="2.6640625" style="1188" hidden="1" customWidth="1"/>
    <col min="1054" max="1063" width="12.6640625" style="1188" hidden="1" customWidth="1"/>
    <col min="1064" max="1064" width="2.6640625" style="1188" hidden="1" customWidth="1"/>
    <col min="1065" max="1305" width="0" style="1188" hidden="1"/>
    <col min="1306" max="1306" width="3.33203125" style="1188" hidden="1" customWidth="1"/>
    <col min="1307" max="1309" width="2.6640625" style="1188" hidden="1" customWidth="1"/>
    <col min="1310" max="1319" width="12.6640625" style="1188" hidden="1" customWidth="1"/>
    <col min="1320" max="1320" width="2.6640625" style="1188" hidden="1" customWidth="1"/>
    <col min="1321" max="1561" width="0" style="1188" hidden="1"/>
    <col min="1562" max="1562" width="3.33203125" style="1188" hidden="1" customWidth="1"/>
    <col min="1563" max="1565" width="2.6640625" style="1188" hidden="1" customWidth="1"/>
    <col min="1566" max="1575" width="12.6640625" style="1188" hidden="1" customWidth="1"/>
    <col min="1576" max="1576" width="2.6640625" style="1188" hidden="1" customWidth="1"/>
    <col min="1577" max="1817" width="0" style="1188" hidden="1"/>
    <col min="1818" max="1818" width="3.33203125" style="1188" hidden="1" customWidth="1"/>
    <col min="1819" max="1821" width="2.6640625" style="1188" hidden="1" customWidth="1"/>
    <col min="1822" max="1831" width="12.6640625" style="1188" hidden="1" customWidth="1"/>
    <col min="1832" max="1832" width="2.6640625" style="1188" hidden="1" customWidth="1"/>
    <col min="1833" max="2073" width="0" style="1188" hidden="1"/>
    <col min="2074" max="2074" width="3.33203125" style="1188" hidden="1" customWidth="1"/>
    <col min="2075" max="2077" width="2.6640625" style="1188" hidden="1" customWidth="1"/>
    <col min="2078" max="2087" width="12.6640625" style="1188" hidden="1" customWidth="1"/>
    <col min="2088" max="2088" width="2.6640625" style="1188" hidden="1" customWidth="1"/>
    <col min="2089" max="2329" width="0" style="1188" hidden="1"/>
    <col min="2330" max="2330" width="3.33203125" style="1188" hidden="1" customWidth="1"/>
    <col min="2331" max="2333" width="2.6640625" style="1188" hidden="1" customWidth="1"/>
    <col min="2334" max="2343" width="12.6640625" style="1188" hidden="1" customWidth="1"/>
    <col min="2344" max="2344" width="2.6640625" style="1188" hidden="1" customWidth="1"/>
    <col min="2345" max="2585" width="0" style="1188" hidden="1"/>
    <col min="2586" max="2586" width="3.33203125" style="1188" hidden="1" customWidth="1"/>
    <col min="2587" max="2589" width="2.6640625" style="1188" hidden="1" customWidth="1"/>
    <col min="2590" max="2599" width="12.6640625" style="1188" hidden="1" customWidth="1"/>
    <col min="2600" max="2600" width="2.6640625" style="1188" hidden="1" customWidth="1"/>
    <col min="2601" max="2841" width="0" style="1188" hidden="1"/>
    <col min="2842" max="2842" width="3.33203125" style="1188" hidden="1" customWidth="1"/>
    <col min="2843" max="2845" width="2.6640625" style="1188" hidden="1" customWidth="1"/>
    <col min="2846" max="2855" width="12.6640625" style="1188" hidden="1" customWidth="1"/>
    <col min="2856" max="2856" width="2.6640625" style="1188" hidden="1" customWidth="1"/>
    <col min="2857" max="3097" width="0" style="1188" hidden="1"/>
    <col min="3098" max="3098" width="3.33203125" style="1188" hidden="1" customWidth="1"/>
    <col min="3099" max="3101" width="2.6640625" style="1188" hidden="1" customWidth="1"/>
    <col min="3102" max="3111" width="12.6640625" style="1188" hidden="1" customWidth="1"/>
    <col min="3112" max="3112" width="2.6640625" style="1188" hidden="1" customWidth="1"/>
    <col min="3113" max="3353" width="0" style="1188" hidden="1"/>
    <col min="3354" max="3354" width="3.33203125" style="1188" hidden="1" customWidth="1"/>
    <col min="3355" max="3357" width="2.6640625" style="1188" hidden="1" customWidth="1"/>
    <col min="3358" max="3367" width="12.6640625" style="1188" hidden="1" customWidth="1"/>
    <col min="3368" max="3368" width="2.6640625" style="1188" hidden="1" customWidth="1"/>
    <col min="3369" max="3609" width="0" style="1188" hidden="1"/>
    <col min="3610" max="3610" width="3.33203125" style="1188" hidden="1" customWidth="1"/>
    <col min="3611" max="3613" width="2.6640625" style="1188" hidden="1" customWidth="1"/>
    <col min="3614" max="3623" width="12.6640625" style="1188" hidden="1" customWidth="1"/>
    <col min="3624" max="3624" width="2.6640625" style="1188" hidden="1" customWidth="1"/>
    <col min="3625" max="3865" width="0" style="1188" hidden="1"/>
    <col min="3866" max="3866" width="3.33203125" style="1188" hidden="1" customWidth="1"/>
    <col min="3867" max="3869" width="2.6640625" style="1188" hidden="1" customWidth="1"/>
    <col min="3870" max="3879" width="12.6640625" style="1188" hidden="1" customWidth="1"/>
    <col min="3880" max="3880" width="2.6640625" style="1188" hidden="1" customWidth="1"/>
    <col min="3881" max="4121" width="0" style="1188" hidden="1"/>
    <col min="4122" max="4122" width="3.33203125" style="1188" hidden="1" customWidth="1"/>
    <col min="4123" max="4125" width="2.6640625" style="1188" hidden="1" customWidth="1"/>
    <col min="4126" max="4135" width="12.6640625" style="1188" hidden="1" customWidth="1"/>
    <col min="4136" max="4136" width="2.6640625" style="1188" hidden="1" customWidth="1"/>
    <col min="4137" max="4377" width="0" style="1188" hidden="1"/>
    <col min="4378" max="4378" width="3.33203125" style="1188" hidden="1" customWidth="1"/>
    <col min="4379" max="4381" width="2.6640625" style="1188" hidden="1" customWidth="1"/>
    <col min="4382" max="4391" width="12.6640625" style="1188" hidden="1" customWidth="1"/>
    <col min="4392" max="4392" width="2.6640625" style="1188" hidden="1" customWidth="1"/>
    <col min="4393" max="4633" width="0" style="1188" hidden="1"/>
    <col min="4634" max="4634" width="3.33203125" style="1188" hidden="1" customWidth="1"/>
    <col min="4635" max="4637" width="2.6640625" style="1188" hidden="1" customWidth="1"/>
    <col min="4638" max="4647" width="12.6640625" style="1188" hidden="1" customWidth="1"/>
    <col min="4648" max="4648" width="2.6640625" style="1188" hidden="1" customWidth="1"/>
    <col min="4649" max="4889" width="0" style="1188" hidden="1"/>
    <col min="4890" max="4890" width="3.33203125" style="1188" hidden="1" customWidth="1"/>
    <col min="4891" max="4893" width="2.6640625" style="1188" hidden="1" customWidth="1"/>
    <col min="4894" max="4903" width="12.6640625" style="1188" hidden="1" customWidth="1"/>
    <col min="4904" max="4904" width="2.6640625" style="1188" hidden="1" customWidth="1"/>
    <col min="4905" max="5145" width="0" style="1188" hidden="1"/>
    <col min="5146" max="5146" width="3.33203125" style="1188" hidden="1" customWidth="1"/>
    <col min="5147" max="5149" width="2.6640625" style="1188" hidden="1" customWidth="1"/>
    <col min="5150" max="5159" width="12.6640625" style="1188" hidden="1" customWidth="1"/>
    <col min="5160" max="5160" width="2.6640625" style="1188" hidden="1" customWidth="1"/>
    <col min="5161" max="5401" width="0" style="1188" hidden="1"/>
    <col min="5402" max="5402" width="3.33203125" style="1188" hidden="1" customWidth="1"/>
    <col min="5403" max="5405" width="2.6640625" style="1188" hidden="1" customWidth="1"/>
    <col min="5406" max="5415" width="12.6640625" style="1188" hidden="1" customWidth="1"/>
    <col min="5416" max="5416" width="2.6640625" style="1188" hidden="1" customWidth="1"/>
    <col min="5417" max="5657" width="0" style="1188" hidden="1"/>
    <col min="5658" max="5658" width="3.33203125" style="1188" hidden="1" customWidth="1"/>
    <col min="5659" max="5661" width="2.6640625" style="1188" hidden="1" customWidth="1"/>
    <col min="5662" max="5671" width="12.6640625" style="1188" hidden="1" customWidth="1"/>
    <col min="5672" max="5672" width="2.6640625" style="1188" hidden="1" customWidth="1"/>
    <col min="5673" max="5913" width="0" style="1188" hidden="1"/>
    <col min="5914" max="5914" width="3.33203125" style="1188" hidden="1" customWidth="1"/>
    <col min="5915" max="5917" width="2.6640625" style="1188" hidden="1" customWidth="1"/>
    <col min="5918" max="5927" width="12.6640625" style="1188" hidden="1" customWidth="1"/>
    <col min="5928" max="5928" width="2.6640625" style="1188" hidden="1" customWidth="1"/>
    <col min="5929" max="6169" width="0" style="1188" hidden="1"/>
    <col min="6170" max="6170" width="3.33203125" style="1188" hidden="1" customWidth="1"/>
    <col min="6171" max="6173" width="2.6640625" style="1188" hidden="1" customWidth="1"/>
    <col min="6174" max="6183" width="12.6640625" style="1188" hidden="1" customWidth="1"/>
    <col min="6184" max="6184" width="2.6640625" style="1188" hidden="1" customWidth="1"/>
    <col min="6185" max="6425" width="0" style="1188" hidden="1"/>
    <col min="6426" max="6426" width="3.33203125" style="1188" hidden="1" customWidth="1"/>
    <col min="6427" max="6429" width="2.6640625" style="1188" hidden="1" customWidth="1"/>
    <col min="6430" max="6439" width="12.6640625" style="1188" hidden="1" customWidth="1"/>
    <col min="6440" max="6440" width="2.6640625" style="1188" hidden="1" customWidth="1"/>
    <col min="6441" max="6681" width="0" style="1188" hidden="1"/>
    <col min="6682" max="6682" width="3.33203125" style="1188" hidden="1" customWidth="1"/>
    <col min="6683" max="6685" width="2.6640625" style="1188" hidden="1" customWidth="1"/>
    <col min="6686" max="6695" width="12.6640625" style="1188" hidden="1" customWidth="1"/>
    <col min="6696" max="6696" width="2.6640625" style="1188" hidden="1" customWidth="1"/>
    <col min="6697" max="6937" width="0" style="1188" hidden="1"/>
    <col min="6938" max="6938" width="3.33203125" style="1188" hidden="1" customWidth="1"/>
    <col min="6939" max="6941" width="2.6640625" style="1188" hidden="1" customWidth="1"/>
    <col min="6942" max="6951" width="12.6640625" style="1188" hidden="1" customWidth="1"/>
    <col min="6952" max="6952" width="2.6640625" style="1188" hidden="1" customWidth="1"/>
    <col min="6953" max="7193" width="0" style="1188" hidden="1"/>
    <col min="7194" max="7194" width="3.33203125" style="1188" hidden="1" customWidth="1"/>
    <col min="7195" max="7197" width="2.6640625" style="1188" hidden="1" customWidth="1"/>
    <col min="7198" max="7207" width="12.6640625" style="1188" hidden="1" customWidth="1"/>
    <col min="7208" max="7208" width="2.6640625" style="1188" hidden="1" customWidth="1"/>
    <col min="7209" max="7449" width="0" style="1188" hidden="1"/>
    <col min="7450" max="7450" width="3.33203125" style="1188" hidden="1" customWidth="1"/>
    <col min="7451" max="7453" width="2.6640625" style="1188" hidden="1" customWidth="1"/>
    <col min="7454" max="7463" width="12.6640625" style="1188" hidden="1" customWidth="1"/>
    <col min="7464" max="7464" width="2.6640625" style="1188" hidden="1" customWidth="1"/>
    <col min="7465" max="7705" width="0" style="1188" hidden="1"/>
    <col min="7706" max="7706" width="3.33203125" style="1188" hidden="1" customWidth="1"/>
    <col min="7707" max="7709" width="2.6640625" style="1188" hidden="1" customWidth="1"/>
    <col min="7710" max="7719" width="12.6640625" style="1188" hidden="1" customWidth="1"/>
    <col min="7720" max="7720" width="2.6640625" style="1188" hidden="1" customWidth="1"/>
    <col min="7721" max="7961" width="0" style="1188" hidden="1"/>
    <col min="7962" max="7962" width="3.33203125" style="1188" hidden="1" customWidth="1"/>
    <col min="7963" max="7965" width="2.6640625" style="1188" hidden="1" customWidth="1"/>
    <col min="7966" max="7975" width="12.6640625" style="1188" hidden="1" customWidth="1"/>
    <col min="7976" max="7976" width="2.6640625" style="1188" hidden="1" customWidth="1"/>
    <col min="7977" max="8217" width="0" style="1188" hidden="1"/>
    <col min="8218" max="8218" width="3.33203125" style="1188" hidden="1" customWidth="1"/>
    <col min="8219" max="8221" width="2.6640625" style="1188" hidden="1" customWidth="1"/>
    <col min="8222" max="8231" width="12.6640625" style="1188" hidden="1" customWidth="1"/>
    <col min="8232" max="8232" width="2.6640625" style="1188" hidden="1" customWidth="1"/>
    <col min="8233" max="8473" width="0" style="1188" hidden="1"/>
    <col min="8474" max="8474" width="3.33203125" style="1188" hidden="1" customWidth="1"/>
    <col min="8475" max="8477" width="2.6640625" style="1188" hidden="1" customWidth="1"/>
    <col min="8478" max="8487" width="12.6640625" style="1188" hidden="1" customWidth="1"/>
    <col min="8488" max="8488" width="2.6640625" style="1188" hidden="1" customWidth="1"/>
    <col min="8489" max="8729" width="0" style="1188" hidden="1"/>
    <col min="8730" max="8730" width="3.33203125" style="1188" hidden="1" customWidth="1"/>
    <col min="8731" max="8733" width="2.6640625" style="1188" hidden="1" customWidth="1"/>
    <col min="8734" max="8743" width="12.6640625" style="1188" hidden="1" customWidth="1"/>
    <col min="8744" max="8744" width="2.6640625" style="1188" hidden="1" customWidth="1"/>
    <col min="8745" max="8985" width="0" style="1188" hidden="1"/>
    <col min="8986" max="8986" width="3.33203125" style="1188" hidden="1" customWidth="1"/>
    <col min="8987" max="8989" width="2.6640625" style="1188" hidden="1" customWidth="1"/>
    <col min="8990" max="8999" width="12.6640625" style="1188" hidden="1" customWidth="1"/>
    <col min="9000" max="9000" width="2.6640625" style="1188" hidden="1" customWidth="1"/>
    <col min="9001" max="9241" width="0" style="1188" hidden="1"/>
    <col min="9242" max="9242" width="3.33203125" style="1188" hidden="1" customWidth="1"/>
    <col min="9243" max="9245" width="2.6640625" style="1188" hidden="1" customWidth="1"/>
    <col min="9246" max="9255" width="12.6640625" style="1188" hidden="1" customWidth="1"/>
    <col min="9256" max="9256" width="2.6640625" style="1188" hidden="1" customWidth="1"/>
    <col min="9257" max="9497" width="0" style="1188" hidden="1"/>
    <col min="9498" max="9498" width="3.33203125" style="1188" hidden="1" customWidth="1"/>
    <col min="9499" max="9501" width="2.6640625" style="1188" hidden="1" customWidth="1"/>
    <col min="9502" max="9511" width="12.6640625" style="1188" hidden="1" customWidth="1"/>
    <col min="9512" max="9512" width="2.6640625" style="1188" hidden="1" customWidth="1"/>
    <col min="9513" max="9753" width="0" style="1188" hidden="1"/>
    <col min="9754" max="9754" width="3.33203125" style="1188" hidden="1" customWidth="1"/>
    <col min="9755" max="9757" width="2.6640625" style="1188" hidden="1" customWidth="1"/>
    <col min="9758" max="9767" width="12.6640625" style="1188" hidden="1" customWidth="1"/>
    <col min="9768" max="9768" width="2.6640625" style="1188" hidden="1" customWidth="1"/>
    <col min="9769" max="10009" width="0" style="1188" hidden="1"/>
    <col min="10010" max="10010" width="3.33203125" style="1188" hidden="1" customWidth="1"/>
    <col min="10011" max="10013" width="2.6640625" style="1188" hidden="1" customWidth="1"/>
    <col min="10014" max="10023" width="12.6640625" style="1188" hidden="1" customWidth="1"/>
    <col min="10024" max="10024" width="2.6640625" style="1188" hidden="1" customWidth="1"/>
    <col min="10025" max="10265" width="0" style="1188" hidden="1"/>
    <col min="10266" max="10266" width="3.33203125" style="1188" hidden="1" customWidth="1"/>
    <col min="10267" max="10269" width="2.6640625" style="1188" hidden="1" customWidth="1"/>
    <col min="10270" max="10279" width="12.6640625" style="1188" hidden="1" customWidth="1"/>
    <col min="10280" max="10280" width="2.6640625" style="1188" hidden="1" customWidth="1"/>
    <col min="10281" max="10521" width="0" style="1188" hidden="1"/>
    <col min="10522" max="10522" width="3.33203125" style="1188" hidden="1" customWidth="1"/>
    <col min="10523" max="10525" width="2.6640625" style="1188" hidden="1" customWidth="1"/>
    <col min="10526" max="10535" width="12.6640625" style="1188" hidden="1" customWidth="1"/>
    <col min="10536" max="10536" width="2.6640625" style="1188" hidden="1" customWidth="1"/>
    <col min="10537" max="10777" width="0" style="1188" hidden="1"/>
    <col min="10778" max="10778" width="3.33203125" style="1188" hidden="1" customWidth="1"/>
    <col min="10779" max="10781" width="2.6640625" style="1188" hidden="1" customWidth="1"/>
    <col min="10782" max="10791" width="12.6640625" style="1188" hidden="1" customWidth="1"/>
    <col min="10792" max="10792" width="2.6640625" style="1188" hidden="1" customWidth="1"/>
    <col min="10793" max="11033" width="0" style="1188" hidden="1"/>
    <col min="11034" max="11034" width="3.33203125" style="1188" hidden="1" customWidth="1"/>
    <col min="11035" max="11037" width="2.6640625" style="1188" hidden="1" customWidth="1"/>
    <col min="11038" max="11047" width="12.6640625" style="1188" hidden="1" customWidth="1"/>
    <col min="11048" max="11048" width="2.6640625" style="1188" hidden="1" customWidth="1"/>
    <col min="11049" max="11289" width="0" style="1188" hidden="1"/>
    <col min="11290" max="11290" width="3.33203125" style="1188" hidden="1" customWidth="1"/>
    <col min="11291" max="11293" width="2.6640625" style="1188" hidden="1" customWidth="1"/>
    <col min="11294" max="11303" width="12.6640625" style="1188" hidden="1" customWidth="1"/>
    <col min="11304" max="11304" width="2.6640625" style="1188" hidden="1" customWidth="1"/>
    <col min="11305" max="11545" width="0" style="1188" hidden="1"/>
    <col min="11546" max="11546" width="3.33203125" style="1188" hidden="1" customWidth="1"/>
    <col min="11547" max="11549" width="2.6640625" style="1188" hidden="1" customWidth="1"/>
    <col min="11550" max="11559" width="12.6640625" style="1188" hidden="1" customWidth="1"/>
    <col min="11560" max="11560" width="2.6640625" style="1188" hidden="1" customWidth="1"/>
    <col min="11561" max="11801" width="0" style="1188" hidden="1"/>
    <col min="11802" max="11802" width="3.33203125" style="1188" hidden="1" customWidth="1"/>
    <col min="11803" max="11805" width="2.6640625" style="1188" hidden="1" customWidth="1"/>
    <col min="11806" max="11815" width="12.6640625" style="1188" hidden="1" customWidth="1"/>
    <col min="11816" max="11816" width="2.6640625" style="1188" hidden="1" customWidth="1"/>
    <col min="11817" max="12057" width="0" style="1188" hidden="1"/>
    <col min="12058" max="12058" width="3.33203125" style="1188" hidden="1" customWidth="1"/>
    <col min="12059" max="12061" width="2.6640625" style="1188" hidden="1" customWidth="1"/>
    <col min="12062" max="12071" width="12.6640625" style="1188" hidden="1" customWidth="1"/>
    <col min="12072" max="12072" width="2.6640625" style="1188" hidden="1" customWidth="1"/>
    <col min="12073" max="12313" width="0" style="1188" hidden="1"/>
    <col min="12314" max="12314" width="3.33203125" style="1188" hidden="1" customWidth="1"/>
    <col min="12315" max="12317" width="2.6640625" style="1188" hidden="1" customWidth="1"/>
    <col min="12318" max="12327" width="12.6640625" style="1188" hidden="1" customWidth="1"/>
    <col min="12328" max="12328" width="2.6640625" style="1188" hidden="1" customWidth="1"/>
    <col min="12329" max="12569" width="0" style="1188" hidden="1"/>
    <col min="12570" max="12570" width="3.33203125" style="1188" hidden="1" customWidth="1"/>
    <col min="12571" max="12573" width="2.6640625" style="1188" hidden="1" customWidth="1"/>
    <col min="12574" max="12583" width="12.6640625" style="1188" hidden="1" customWidth="1"/>
    <col min="12584" max="12584" width="2.6640625" style="1188" hidden="1" customWidth="1"/>
    <col min="12585" max="12825" width="0" style="1188" hidden="1"/>
    <col min="12826" max="12826" width="3.33203125" style="1188" hidden="1" customWidth="1"/>
    <col min="12827" max="12829" width="2.6640625" style="1188" hidden="1" customWidth="1"/>
    <col min="12830" max="12839" width="12.6640625" style="1188" hidden="1" customWidth="1"/>
    <col min="12840" max="12840" width="2.6640625" style="1188" hidden="1" customWidth="1"/>
    <col min="12841" max="13081" width="0" style="1188" hidden="1"/>
    <col min="13082" max="13082" width="3.33203125" style="1188" hidden="1" customWidth="1"/>
    <col min="13083" max="13085" width="2.6640625" style="1188" hidden="1" customWidth="1"/>
    <col min="13086" max="13095" width="12.6640625" style="1188" hidden="1" customWidth="1"/>
    <col min="13096" max="13096" width="2.6640625" style="1188" hidden="1" customWidth="1"/>
    <col min="13097" max="13337" width="0" style="1188" hidden="1"/>
    <col min="13338" max="13338" width="3.33203125" style="1188" hidden="1" customWidth="1"/>
    <col min="13339" max="13341" width="2.6640625" style="1188" hidden="1" customWidth="1"/>
    <col min="13342" max="13351" width="12.6640625" style="1188" hidden="1" customWidth="1"/>
    <col min="13352" max="13352" width="2.6640625" style="1188" hidden="1" customWidth="1"/>
    <col min="13353" max="13593" width="0" style="1188" hidden="1"/>
    <col min="13594" max="13594" width="3.33203125" style="1188" hidden="1" customWidth="1"/>
    <col min="13595" max="13597" width="2.6640625" style="1188" hidden="1" customWidth="1"/>
    <col min="13598" max="13607" width="12.6640625" style="1188" hidden="1" customWidth="1"/>
    <col min="13608" max="13608" width="2.6640625" style="1188" hidden="1" customWidth="1"/>
    <col min="13609" max="13849" width="0" style="1188" hidden="1"/>
    <col min="13850" max="13850" width="3.33203125" style="1188" hidden="1" customWidth="1"/>
    <col min="13851" max="13853" width="2.6640625" style="1188" hidden="1" customWidth="1"/>
    <col min="13854" max="13863" width="12.6640625" style="1188" hidden="1" customWidth="1"/>
    <col min="13864" max="13864" width="2.6640625" style="1188" hidden="1" customWidth="1"/>
    <col min="13865" max="14105" width="0" style="1188" hidden="1"/>
    <col min="14106" max="14106" width="3.33203125" style="1188" hidden="1" customWidth="1"/>
    <col min="14107" max="14109" width="2.6640625" style="1188" hidden="1" customWidth="1"/>
    <col min="14110" max="14119" width="12.6640625" style="1188" hidden="1" customWidth="1"/>
    <col min="14120" max="14120" width="2.6640625" style="1188" hidden="1" customWidth="1"/>
    <col min="14121" max="14361" width="0" style="1188" hidden="1"/>
    <col min="14362" max="14362" width="3.33203125" style="1188" hidden="1" customWidth="1"/>
    <col min="14363" max="14365" width="2.6640625" style="1188" hidden="1" customWidth="1"/>
    <col min="14366" max="14375" width="12.6640625" style="1188" hidden="1" customWidth="1"/>
    <col min="14376" max="14376" width="2.6640625" style="1188" hidden="1" customWidth="1"/>
    <col min="14377" max="14617" width="0" style="1188" hidden="1"/>
    <col min="14618" max="14618" width="3.33203125" style="1188" hidden="1" customWidth="1"/>
    <col min="14619" max="14621" width="2.6640625" style="1188" hidden="1" customWidth="1"/>
    <col min="14622" max="14631" width="12.6640625" style="1188" hidden="1" customWidth="1"/>
    <col min="14632" max="14632" width="2.6640625" style="1188" hidden="1" customWidth="1"/>
    <col min="14633" max="14873" width="0" style="1188" hidden="1"/>
    <col min="14874" max="14874" width="3.33203125" style="1188" hidden="1" customWidth="1"/>
    <col min="14875" max="14877" width="2.6640625" style="1188" hidden="1" customWidth="1"/>
    <col min="14878" max="14887" width="12.6640625" style="1188" hidden="1" customWidth="1"/>
    <col min="14888" max="14888" width="2.6640625" style="1188" hidden="1" customWidth="1"/>
    <col min="14889" max="15129" width="0" style="1188" hidden="1"/>
    <col min="15130" max="15130" width="3.33203125" style="1188" hidden="1" customWidth="1"/>
    <col min="15131" max="15133" width="2.6640625" style="1188" hidden="1" customWidth="1"/>
    <col min="15134" max="15143" width="12.6640625" style="1188" hidden="1" customWidth="1"/>
    <col min="15144" max="15144" width="2.6640625" style="1188" hidden="1" customWidth="1"/>
    <col min="15145" max="15385" width="0" style="1188" hidden="1"/>
    <col min="15386" max="15386" width="3.33203125" style="1188" hidden="1" customWidth="1"/>
    <col min="15387" max="15389" width="2.6640625" style="1188" hidden="1" customWidth="1"/>
    <col min="15390" max="15399" width="12.6640625" style="1188" hidden="1" customWidth="1"/>
    <col min="15400" max="15400" width="2.6640625" style="1188" hidden="1" customWidth="1"/>
    <col min="15401" max="15641" width="0" style="1188" hidden="1"/>
    <col min="15642" max="15642" width="3.33203125" style="1188" hidden="1" customWidth="1"/>
    <col min="15643" max="15645" width="2.6640625" style="1188" hidden="1" customWidth="1"/>
    <col min="15646" max="15655" width="12.6640625" style="1188" hidden="1" customWidth="1"/>
    <col min="15656" max="15656" width="2.6640625" style="1188" hidden="1" customWidth="1"/>
    <col min="15657" max="15897" width="0" style="1188" hidden="1"/>
    <col min="15898" max="15898" width="3.33203125" style="1188" hidden="1" customWidth="1"/>
    <col min="15899" max="15901" width="2.6640625" style="1188" hidden="1" customWidth="1"/>
    <col min="15902" max="15911" width="12.6640625" style="1188" hidden="1" customWidth="1"/>
    <col min="15912" max="15912" width="2.6640625" style="1188" hidden="1" customWidth="1"/>
    <col min="15913" max="16153" width="0" style="1188" hidden="1"/>
    <col min="16154" max="16154" width="3.33203125" style="1188" hidden="1" customWidth="1"/>
    <col min="16155" max="16157" width="2.6640625" style="1188" hidden="1" customWidth="1"/>
    <col min="16158" max="16167" width="12.6640625" style="1188" hidden="1" customWidth="1"/>
    <col min="16168" max="16168" width="2.6640625" style="1188" hidden="1" customWidth="1"/>
    <col min="16169" max="16384" width="0" style="1188" hidden="1"/>
  </cols>
  <sheetData>
    <row r="1" spans="1:43" s="1176" customFormat="1" ht="13.2" x14ac:dyDescent="0.25">
      <c r="A1" s="707" t="s">
        <v>630</v>
      </c>
    </row>
    <row r="2" spans="1:43" s="1176" customFormat="1" ht="13.2" x14ac:dyDescent="0.25">
      <c r="A2" s="1177"/>
    </row>
    <row r="3" spans="1:43" s="1184" customFormat="1" ht="12.75" customHeight="1" x14ac:dyDescent="0.25">
      <c r="A3" s="1178" t="s">
        <v>584</v>
      </c>
      <c r="B3" s="1179"/>
      <c r="C3" s="1179"/>
      <c r="D3" s="1180"/>
      <c r="E3" s="1180"/>
      <c r="F3" s="1181"/>
      <c r="G3" s="1181"/>
      <c r="H3" s="1181"/>
      <c r="I3" s="1181"/>
      <c r="J3" s="1181"/>
      <c r="K3" s="1181"/>
      <c r="L3" s="1181"/>
      <c r="M3" s="1181"/>
      <c r="N3" s="1181"/>
      <c r="O3" s="1181"/>
      <c r="P3" s="1181"/>
      <c r="Q3" s="1181"/>
      <c r="R3" s="1181"/>
      <c r="S3" s="1181"/>
      <c r="T3" s="1181"/>
      <c r="U3" s="1181"/>
      <c r="V3" s="1181"/>
      <c r="W3" s="1181"/>
      <c r="X3" s="1181"/>
      <c r="Y3" s="1181"/>
      <c r="Z3" s="1181"/>
      <c r="AA3" s="1181"/>
      <c r="AB3" s="1181"/>
      <c r="AC3" s="1181"/>
      <c r="AD3" s="1181"/>
      <c r="AE3" s="1181"/>
      <c r="AF3" s="1181"/>
      <c r="AG3" s="1181"/>
      <c r="AH3" s="1181"/>
      <c r="AI3" s="1181"/>
      <c r="AJ3" s="1181"/>
      <c r="AK3" s="1181"/>
      <c r="AL3" s="1181"/>
      <c r="AM3" s="1181"/>
      <c r="AN3" s="1182"/>
      <c r="AO3" s="1183"/>
      <c r="AP3" s="1176"/>
      <c r="AQ3" s="1176"/>
    </row>
    <row r="4" spans="1:43" s="1184" customFormat="1" ht="12.75" customHeight="1" x14ac:dyDescent="0.25">
      <c r="A4" s="1185"/>
      <c r="B4" s="1176"/>
      <c r="F4" s="1186"/>
      <c r="G4" s="1186"/>
      <c r="H4" s="1186"/>
      <c r="I4" s="1186"/>
      <c r="J4" s="1187"/>
      <c r="K4" s="1187"/>
      <c r="L4" s="1187"/>
      <c r="M4" s="1187"/>
      <c r="N4" s="1187"/>
      <c r="O4" s="1187"/>
      <c r="P4" s="1187"/>
      <c r="Q4" s="1187"/>
      <c r="R4" s="1187"/>
      <c r="S4" s="1187"/>
      <c r="T4" s="1187"/>
      <c r="U4" s="1187"/>
      <c r="V4" s="1187"/>
      <c r="W4" s="1187"/>
      <c r="X4" s="1187"/>
      <c r="Y4" s="1187"/>
      <c r="Z4" s="1187"/>
      <c r="AA4" s="1187"/>
      <c r="AB4" s="1187"/>
      <c r="AC4" s="1187"/>
      <c r="AD4" s="1187"/>
      <c r="AE4" s="1187"/>
      <c r="AF4" s="1187"/>
      <c r="AG4" s="1187"/>
      <c r="AH4" s="1187"/>
      <c r="AI4" s="1187"/>
      <c r="AJ4" s="1187"/>
      <c r="AK4" s="1187"/>
      <c r="AL4" s="1187"/>
      <c r="AM4" s="1187"/>
      <c r="AN4" s="1182"/>
      <c r="AO4" s="1183"/>
      <c r="AP4" s="1176"/>
      <c r="AQ4" s="1176"/>
    </row>
    <row r="5" spans="1:43" s="1184" customFormat="1" ht="12.75" customHeight="1" x14ac:dyDescent="0.25">
      <c r="A5" s="1185"/>
      <c r="B5" s="1176" t="s">
        <v>422</v>
      </c>
      <c r="F5" s="1186"/>
      <c r="G5" s="1186"/>
      <c r="H5" s="1186"/>
      <c r="I5" s="1186"/>
      <c r="J5" s="1187"/>
      <c r="K5" s="1187"/>
      <c r="L5" s="1187"/>
      <c r="M5" s="1187"/>
      <c r="N5" s="1187"/>
      <c r="O5" s="1187"/>
      <c r="P5" s="1187"/>
      <c r="Q5" s="1187"/>
      <c r="R5" s="1187"/>
      <c r="S5" s="1187"/>
      <c r="T5" s="1187"/>
      <c r="U5" s="1187"/>
      <c r="V5" s="1187"/>
      <c r="W5" s="1187"/>
      <c r="X5" s="1187"/>
      <c r="Y5" s="1187"/>
      <c r="Z5" s="1187"/>
      <c r="AA5" s="1187"/>
      <c r="AB5" s="1187"/>
      <c r="AC5" s="1187"/>
      <c r="AD5" s="1187"/>
      <c r="AE5" s="1187"/>
      <c r="AF5" s="1187"/>
      <c r="AG5" s="1187"/>
      <c r="AH5" s="1187"/>
      <c r="AI5" s="1187"/>
      <c r="AJ5" s="1187"/>
      <c r="AK5" s="1187"/>
      <c r="AL5" s="1187"/>
      <c r="AM5" s="1187"/>
      <c r="AN5" s="1182"/>
      <c r="AO5" s="1183"/>
      <c r="AP5" s="1176"/>
      <c r="AQ5" s="1176"/>
    </row>
    <row r="6" spans="1:43" s="1184" customFormat="1" ht="12.75" customHeight="1" x14ac:dyDescent="0.25">
      <c r="A6" s="1185"/>
      <c r="B6" s="1176"/>
      <c r="F6" s="1186"/>
      <c r="G6" s="1186"/>
      <c r="H6" s="1186"/>
      <c r="I6" s="1186"/>
      <c r="J6" s="1187"/>
      <c r="K6" s="1187"/>
      <c r="L6" s="1187"/>
      <c r="M6" s="1187"/>
      <c r="N6" s="1187"/>
      <c r="O6" s="1187"/>
      <c r="P6" s="1187"/>
      <c r="Q6" s="1187"/>
      <c r="R6" s="1187"/>
      <c r="S6" s="1187"/>
      <c r="T6" s="1187"/>
      <c r="U6" s="1187"/>
      <c r="V6" s="1187"/>
      <c r="W6" s="1187"/>
      <c r="X6" s="1187"/>
      <c r="Y6" s="1187"/>
      <c r="Z6" s="1187"/>
      <c r="AA6" s="1187"/>
      <c r="AB6" s="1187"/>
      <c r="AC6" s="1187"/>
      <c r="AD6" s="1187"/>
      <c r="AE6" s="1187"/>
      <c r="AF6" s="1187"/>
      <c r="AG6" s="1187"/>
      <c r="AH6" s="1187"/>
      <c r="AI6" s="1187"/>
      <c r="AJ6" s="1187"/>
      <c r="AK6" s="1187"/>
      <c r="AL6" s="1187"/>
      <c r="AM6" s="1187"/>
      <c r="AN6" s="1182"/>
      <c r="AO6" s="1183"/>
      <c r="AP6" s="1176"/>
      <c r="AQ6" s="1176"/>
    </row>
    <row r="7" spans="1:43" s="1184" customFormat="1" ht="12.75" customHeight="1" x14ac:dyDescent="0.25">
      <c r="A7" s="1185"/>
      <c r="B7" s="1184" t="s">
        <v>674</v>
      </c>
      <c r="F7" s="1186"/>
      <c r="G7" s="1186"/>
      <c r="H7" s="1186"/>
      <c r="I7" s="1186"/>
      <c r="J7" s="1187"/>
      <c r="K7" s="1187"/>
      <c r="L7" s="1187"/>
      <c r="M7" s="1187"/>
      <c r="N7" s="1187"/>
      <c r="O7" s="1187"/>
      <c r="P7" s="1187"/>
      <c r="Q7" s="1187"/>
      <c r="R7" s="1187"/>
      <c r="S7" s="1187"/>
      <c r="T7" s="1187"/>
      <c r="U7" s="1187"/>
      <c r="V7" s="1187"/>
      <c r="W7" s="1187"/>
      <c r="X7" s="1187"/>
      <c r="Y7" s="1187"/>
      <c r="Z7" s="1187"/>
      <c r="AA7" s="1187"/>
      <c r="AB7" s="1187"/>
      <c r="AC7" s="1187"/>
      <c r="AD7" s="1187"/>
      <c r="AE7" s="1187"/>
      <c r="AF7" s="1187"/>
      <c r="AG7" s="1187"/>
      <c r="AH7" s="1187"/>
      <c r="AI7" s="1187"/>
      <c r="AJ7" s="1187"/>
      <c r="AK7" s="1187"/>
      <c r="AL7" s="1187"/>
      <c r="AM7" s="1187"/>
      <c r="AN7" s="1182"/>
      <c r="AO7" s="1183"/>
      <c r="AP7" s="1176"/>
      <c r="AQ7" s="1176"/>
    </row>
    <row r="8" spans="1:43" s="1184" customFormat="1" ht="12.75" customHeight="1" x14ac:dyDescent="0.25">
      <c r="A8" s="1185"/>
      <c r="B8" s="1176"/>
      <c r="D8" s="1184" t="s">
        <v>512</v>
      </c>
      <c r="F8" s="1186"/>
      <c r="G8" s="1186"/>
      <c r="H8" s="1186"/>
      <c r="I8" s="1186"/>
      <c r="J8" s="1187"/>
      <c r="K8" s="1187"/>
      <c r="L8" s="1187"/>
      <c r="M8" s="1187"/>
      <c r="N8" s="1187"/>
      <c r="O8" s="1187"/>
      <c r="P8" s="1187"/>
      <c r="Q8" s="1187"/>
      <c r="R8" s="1187"/>
      <c r="S8" s="1187"/>
      <c r="T8" s="1187"/>
      <c r="U8" s="1187"/>
      <c r="V8" s="1187"/>
      <c r="W8" s="1187"/>
      <c r="X8" s="1187"/>
      <c r="Y8" s="1187"/>
      <c r="Z8" s="1187"/>
      <c r="AA8" s="1187"/>
      <c r="AB8" s="1187"/>
      <c r="AC8" s="1187"/>
      <c r="AD8" s="1187"/>
      <c r="AE8" s="1187"/>
      <c r="AF8" s="1187"/>
      <c r="AG8" s="1187"/>
      <c r="AH8" s="1187"/>
      <c r="AI8" s="1187"/>
      <c r="AJ8" s="1187"/>
      <c r="AK8" s="1187"/>
      <c r="AL8" s="1187"/>
      <c r="AM8" s="1187"/>
      <c r="AN8" s="1182"/>
      <c r="AO8" s="1183"/>
      <c r="AP8" s="1176"/>
      <c r="AQ8" s="1176"/>
    </row>
    <row r="9" spans="1:43" s="1184" customFormat="1" ht="12.75" customHeight="1" x14ac:dyDescent="0.25">
      <c r="A9" s="1185"/>
      <c r="B9" s="1176"/>
      <c r="F9" s="1186"/>
      <c r="G9" s="1186"/>
      <c r="H9" s="1186"/>
      <c r="I9" s="1186"/>
      <c r="J9" s="1187"/>
      <c r="K9" s="1187"/>
      <c r="L9" s="1187"/>
      <c r="M9" s="1187"/>
      <c r="N9" s="1187"/>
      <c r="O9" s="1187"/>
      <c r="P9" s="1187"/>
      <c r="Q9" s="1187"/>
      <c r="R9" s="1187"/>
      <c r="S9" s="1187"/>
      <c r="T9" s="1187"/>
      <c r="U9" s="1187"/>
      <c r="V9" s="1187"/>
      <c r="W9" s="1187"/>
      <c r="X9" s="1187"/>
      <c r="Y9" s="1187"/>
      <c r="Z9" s="1187"/>
      <c r="AA9" s="1187"/>
      <c r="AB9" s="1187"/>
      <c r="AC9" s="1187"/>
      <c r="AD9" s="1187"/>
      <c r="AE9" s="1187"/>
      <c r="AF9" s="1187"/>
      <c r="AG9" s="1187"/>
      <c r="AH9" s="1187"/>
      <c r="AI9" s="1187"/>
      <c r="AJ9" s="1187"/>
      <c r="AK9" s="1187"/>
      <c r="AL9" s="1187"/>
      <c r="AM9" s="1187"/>
      <c r="AN9" s="1182"/>
      <c r="AO9" s="1183"/>
      <c r="AP9" s="1176"/>
      <c r="AQ9" s="1176"/>
    </row>
    <row r="10" spans="1:43" s="1184" customFormat="1" ht="12.75" customHeight="1" x14ac:dyDescent="0.25">
      <c r="A10" s="1185"/>
      <c r="B10" s="1176"/>
      <c r="D10" s="1188" t="s">
        <v>441</v>
      </c>
      <c r="F10" s="1186"/>
      <c r="G10" s="1186"/>
      <c r="H10" s="1189" t="s">
        <v>98</v>
      </c>
      <c r="I10" s="1190">
        <f>'I. Summary Outputs'!L28</f>
        <v>1404288</v>
      </c>
      <c r="J10" s="1187"/>
      <c r="K10" s="1187"/>
      <c r="L10" s="1187"/>
      <c r="M10" s="1187"/>
      <c r="N10" s="1187"/>
      <c r="O10" s="1187"/>
      <c r="P10" s="1187"/>
      <c r="Q10" s="1187"/>
      <c r="R10" s="1187"/>
      <c r="S10" s="1187"/>
      <c r="T10" s="1187"/>
      <c r="U10" s="1187"/>
      <c r="V10" s="1187"/>
      <c r="W10" s="1187"/>
      <c r="X10" s="1187"/>
      <c r="Y10" s="1187"/>
      <c r="Z10" s="1187"/>
      <c r="AA10" s="1187"/>
      <c r="AB10" s="1187"/>
      <c r="AC10" s="1187"/>
      <c r="AD10" s="1187"/>
      <c r="AE10" s="1187"/>
      <c r="AF10" s="1187"/>
      <c r="AG10" s="1187"/>
      <c r="AH10" s="1187"/>
      <c r="AI10" s="1187"/>
      <c r="AJ10" s="1187"/>
      <c r="AK10" s="1187"/>
      <c r="AL10" s="1187"/>
      <c r="AM10" s="1187"/>
      <c r="AN10" s="1182"/>
      <c r="AO10" s="1183"/>
      <c r="AP10" s="1176"/>
      <c r="AQ10" s="1176"/>
    </row>
    <row r="11" spans="1:43" s="1184" customFormat="1" ht="12.75" customHeight="1" x14ac:dyDescent="0.25">
      <c r="A11" s="1185"/>
      <c r="B11" s="1176"/>
      <c r="D11" s="1188" t="s">
        <v>442</v>
      </c>
      <c r="F11" s="1186"/>
      <c r="G11" s="1186"/>
      <c r="H11" s="1189" t="s">
        <v>434</v>
      </c>
      <c r="I11" s="1368">
        <f>'I. Summary Outputs'!N63*1000</f>
        <v>76.615333038968245</v>
      </c>
      <c r="J11" s="1187"/>
      <c r="K11" s="1187"/>
      <c r="L11" s="1187"/>
      <c r="M11" s="1187"/>
      <c r="N11" s="1187"/>
      <c r="O11" s="1187"/>
      <c r="P11" s="1187"/>
      <c r="Q11" s="1187"/>
      <c r="R11" s="1187"/>
      <c r="S11" s="1187"/>
      <c r="T11" s="1187"/>
      <c r="U11" s="1187"/>
      <c r="V11" s="1187"/>
      <c r="W11" s="1187"/>
      <c r="X11" s="1187"/>
      <c r="Y11" s="1187"/>
      <c r="Z11" s="1187"/>
      <c r="AA11" s="1187"/>
      <c r="AB11" s="1187"/>
      <c r="AC11" s="1187"/>
      <c r="AD11" s="1187"/>
      <c r="AE11" s="1187"/>
      <c r="AF11" s="1187"/>
      <c r="AG11" s="1187"/>
      <c r="AH11" s="1187"/>
      <c r="AI11" s="1187"/>
      <c r="AJ11" s="1187"/>
      <c r="AK11" s="1187"/>
      <c r="AL11" s="1187"/>
      <c r="AM11" s="1187"/>
      <c r="AN11" s="1182"/>
      <c r="AO11" s="1183"/>
      <c r="AP11" s="1176"/>
      <c r="AQ11" s="1176"/>
    </row>
    <row r="12" spans="1:43" s="1184" customFormat="1" ht="12.75" customHeight="1" x14ac:dyDescent="0.25">
      <c r="A12" s="1185"/>
      <c r="B12" s="1176"/>
      <c r="D12" s="1188" t="s">
        <v>516</v>
      </c>
      <c r="F12" s="1186"/>
      <c r="G12" s="1186"/>
      <c r="H12" s="1189"/>
      <c r="I12" s="1366">
        <f>I10*I11</f>
        <v>107589992.80262664</v>
      </c>
      <c r="J12" s="1187"/>
      <c r="K12" s="1187"/>
      <c r="L12" s="1187"/>
      <c r="M12" s="1187"/>
      <c r="N12" s="1187"/>
      <c r="O12" s="1187"/>
      <c r="P12" s="1187"/>
      <c r="Q12" s="1187"/>
      <c r="R12" s="1187"/>
      <c r="S12" s="1187"/>
      <c r="T12" s="1187"/>
      <c r="U12" s="1187"/>
      <c r="V12" s="1187"/>
      <c r="W12" s="1187"/>
      <c r="X12" s="1187"/>
      <c r="Y12" s="1187"/>
      <c r="Z12" s="1187"/>
      <c r="AA12" s="1187"/>
      <c r="AB12" s="1187"/>
      <c r="AC12" s="1187"/>
      <c r="AD12" s="1187"/>
      <c r="AE12" s="1187"/>
      <c r="AF12" s="1187"/>
      <c r="AG12" s="1187"/>
      <c r="AH12" s="1187"/>
      <c r="AI12" s="1187"/>
      <c r="AJ12" s="1187"/>
      <c r="AK12" s="1187"/>
      <c r="AL12" s="1187"/>
      <c r="AM12" s="1187"/>
      <c r="AN12" s="1182"/>
      <c r="AO12" s="1183"/>
      <c r="AP12" s="1176"/>
      <c r="AQ12" s="1176"/>
    </row>
    <row r="13" spans="1:43" s="1184" customFormat="1" ht="12.75" customHeight="1" x14ac:dyDescent="0.25">
      <c r="A13" s="1185"/>
      <c r="B13" s="1176"/>
      <c r="F13" s="1186"/>
      <c r="G13" s="1186"/>
      <c r="H13" s="1186"/>
      <c r="I13" s="1186"/>
      <c r="J13" s="1187"/>
      <c r="K13" s="1187"/>
      <c r="L13" s="1187"/>
      <c r="M13" s="1187"/>
      <c r="N13" s="1187"/>
      <c r="O13" s="1187"/>
      <c r="P13" s="1187"/>
      <c r="Q13" s="1187"/>
      <c r="R13" s="1187"/>
      <c r="S13" s="1187"/>
      <c r="T13" s="1187"/>
      <c r="U13" s="1187"/>
      <c r="V13" s="1187"/>
      <c r="W13" s="1187"/>
      <c r="X13" s="1187"/>
      <c r="Y13" s="1187"/>
      <c r="Z13" s="1187"/>
      <c r="AA13" s="1187"/>
      <c r="AB13" s="1187"/>
      <c r="AC13" s="1187"/>
      <c r="AD13" s="1187"/>
      <c r="AE13" s="1187"/>
      <c r="AF13" s="1187"/>
      <c r="AG13" s="1187"/>
      <c r="AH13" s="1187"/>
      <c r="AI13" s="1187"/>
      <c r="AJ13" s="1187"/>
      <c r="AK13" s="1187"/>
      <c r="AL13" s="1187"/>
      <c r="AM13" s="1187"/>
      <c r="AN13" s="1182"/>
      <c r="AO13" s="1183"/>
      <c r="AP13" s="1176"/>
      <c r="AQ13" s="1176"/>
    </row>
    <row r="14" spans="1:43" s="1184" customFormat="1" ht="12.75" customHeight="1" x14ac:dyDescent="0.25">
      <c r="A14" s="1185"/>
      <c r="B14" s="1176"/>
      <c r="D14" s="1176" t="s">
        <v>513</v>
      </c>
      <c r="F14" s="1186"/>
      <c r="G14" s="1186"/>
      <c r="H14" s="1186" t="s">
        <v>514</v>
      </c>
      <c r="I14" s="1204">
        <f>3.65</f>
        <v>3.65</v>
      </c>
      <c r="J14" s="1187"/>
      <c r="K14" s="1187"/>
      <c r="L14" s="1187"/>
      <c r="M14" s="1187"/>
      <c r="N14" s="1187"/>
      <c r="O14" s="1187"/>
      <c r="P14" s="1187"/>
      <c r="Q14" s="1187"/>
      <c r="R14" s="1187"/>
      <c r="S14" s="1187"/>
      <c r="T14" s="1187"/>
      <c r="U14" s="1187"/>
      <c r="V14" s="1187"/>
      <c r="W14" s="1187"/>
      <c r="X14" s="1187"/>
      <c r="Y14" s="1187"/>
      <c r="Z14" s="1187"/>
      <c r="AA14" s="1187"/>
      <c r="AB14" s="1187"/>
      <c r="AC14" s="1187"/>
      <c r="AD14" s="1187"/>
      <c r="AE14" s="1187"/>
      <c r="AF14" s="1187"/>
      <c r="AG14" s="1187"/>
      <c r="AH14" s="1187"/>
      <c r="AI14" s="1187"/>
      <c r="AJ14" s="1187"/>
      <c r="AK14" s="1187"/>
      <c r="AL14" s="1187"/>
      <c r="AM14" s="1187"/>
      <c r="AN14" s="1182"/>
      <c r="AO14" s="1183"/>
      <c r="AP14" s="1176"/>
      <c r="AQ14" s="1176"/>
    </row>
    <row r="15" spans="1:43" s="1184" customFormat="1" ht="12.75" customHeight="1" x14ac:dyDescent="0.25">
      <c r="A15" s="1185"/>
      <c r="B15" s="1176"/>
      <c r="D15" s="1176" t="s">
        <v>515</v>
      </c>
      <c r="F15" s="1186"/>
      <c r="G15" s="1186"/>
      <c r="H15" s="1186" t="s">
        <v>16</v>
      </c>
      <c r="I15" s="1135">
        <f>I14/365</f>
        <v>0.01</v>
      </c>
      <c r="J15" s="1187"/>
      <c r="K15" s="1187"/>
      <c r="L15" s="1187"/>
      <c r="M15" s="1187"/>
      <c r="N15" s="1187"/>
      <c r="O15" s="1187"/>
      <c r="P15" s="1187"/>
      <c r="Q15" s="1187"/>
      <c r="R15" s="1187"/>
      <c r="S15" s="1187"/>
      <c r="T15" s="1187"/>
      <c r="U15" s="1187"/>
      <c r="V15" s="1187"/>
      <c r="W15" s="1187"/>
      <c r="X15" s="1187"/>
      <c r="Y15" s="1187"/>
      <c r="Z15" s="1187"/>
      <c r="AA15" s="1187"/>
      <c r="AB15" s="1187"/>
      <c r="AC15" s="1187"/>
      <c r="AD15" s="1187"/>
      <c r="AE15" s="1187"/>
      <c r="AF15" s="1187"/>
      <c r="AG15" s="1187"/>
      <c r="AH15" s="1187"/>
      <c r="AI15" s="1187"/>
      <c r="AJ15" s="1187"/>
      <c r="AK15" s="1187"/>
      <c r="AL15" s="1187"/>
      <c r="AM15" s="1187"/>
      <c r="AN15" s="1182"/>
      <c r="AO15" s="1183"/>
      <c r="AP15" s="1176"/>
      <c r="AQ15" s="1176"/>
    </row>
    <row r="16" spans="1:43" s="1184" customFormat="1" ht="12.75" customHeight="1" x14ac:dyDescent="0.25">
      <c r="A16" s="1185"/>
      <c r="B16" s="1176"/>
      <c r="F16" s="1186"/>
      <c r="G16" s="1186"/>
      <c r="H16" s="1186"/>
      <c r="I16" s="1186"/>
      <c r="J16" s="1187"/>
      <c r="K16" s="1187"/>
      <c r="L16" s="1187"/>
      <c r="M16" s="1187"/>
      <c r="N16" s="1187"/>
      <c r="O16" s="1187"/>
      <c r="P16" s="1187"/>
      <c r="Q16" s="1187"/>
      <c r="R16" s="1187"/>
      <c r="S16" s="1187"/>
      <c r="T16" s="1187"/>
      <c r="U16" s="1187"/>
      <c r="V16" s="1187"/>
      <c r="W16" s="1187"/>
      <c r="X16" s="1187"/>
      <c r="Y16" s="1187"/>
      <c r="Z16" s="1187"/>
      <c r="AA16" s="1187"/>
      <c r="AB16" s="1187"/>
      <c r="AC16" s="1187"/>
      <c r="AD16" s="1187"/>
      <c r="AE16" s="1187"/>
      <c r="AF16" s="1187"/>
      <c r="AG16" s="1187"/>
      <c r="AH16" s="1187"/>
      <c r="AI16" s="1187"/>
      <c r="AJ16" s="1187"/>
      <c r="AK16" s="1187"/>
      <c r="AL16" s="1187"/>
      <c r="AM16" s="1187"/>
      <c r="AN16" s="1182"/>
      <c r="AO16" s="1183"/>
      <c r="AP16" s="1176"/>
      <c r="AQ16" s="1176"/>
    </row>
    <row r="17" spans="1:43" s="1184" customFormat="1" ht="12.75" customHeight="1" x14ac:dyDescent="0.25">
      <c r="A17" s="1185"/>
      <c r="B17" s="1176"/>
      <c r="D17" s="1176" t="s">
        <v>58</v>
      </c>
      <c r="F17" s="1186"/>
      <c r="G17" s="1186"/>
      <c r="H17" s="1186"/>
      <c r="I17" s="1188">
        <v>0</v>
      </c>
      <c r="J17" s="1188">
        <v>1</v>
      </c>
      <c r="K17" s="1188">
        <v>2</v>
      </c>
      <c r="L17" s="1188">
        <v>3</v>
      </c>
      <c r="M17" s="1188">
        <v>4</v>
      </c>
      <c r="N17" s="1188">
        <v>5</v>
      </c>
      <c r="O17" s="1188">
        <v>6</v>
      </c>
      <c r="P17" s="1188">
        <v>7</v>
      </c>
      <c r="Q17" s="1188">
        <v>8</v>
      </c>
      <c r="R17" s="1188">
        <v>9</v>
      </c>
      <c r="S17" s="1188">
        <v>10</v>
      </c>
      <c r="T17" s="1188">
        <v>11</v>
      </c>
      <c r="U17" s="1188">
        <v>12</v>
      </c>
      <c r="V17" s="1188">
        <v>13</v>
      </c>
      <c r="W17" s="1188">
        <v>14</v>
      </c>
      <c r="X17" s="1188">
        <v>15</v>
      </c>
      <c r="Y17" s="1188">
        <v>16</v>
      </c>
      <c r="Z17" s="1188">
        <v>17</v>
      </c>
      <c r="AA17" s="1188">
        <v>18</v>
      </c>
      <c r="AB17" s="1188">
        <v>19</v>
      </c>
      <c r="AC17" s="1188">
        <v>20</v>
      </c>
      <c r="AD17" s="1187"/>
      <c r="AE17" s="1187"/>
      <c r="AF17" s="1187"/>
      <c r="AG17" s="1187"/>
      <c r="AH17" s="1187"/>
      <c r="AI17" s="1187"/>
      <c r="AJ17" s="1187"/>
      <c r="AK17" s="1187"/>
      <c r="AL17" s="1187"/>
      <c r="AM17" s="1187"/>
      <c r="AN17" s="1182"/>
      <c r="AO17" s="1183"/>
      <c r="AP17" s="1176"/>
      <c r="AQ17" s="1176"/>
    </row>
    <row r="18" spans="1:43" s="1184" customFormat="1" ht="12.75" customHeight="1" x14ac:dyDescent="0.25">
      <c r="A18" s="1185"/>
      <c r="B18" s="1176"/>
      <c r="D18" s="1176" t="s">
        <v>517</v>
      </c>
      <c r="F18" s="1186"/>
      <c r="G18" s="1186"/>
      <c r="H18" s="1186" t="s">
        <v>437</v>
      </c>
      <c r="I18" s="1366">
        <v>0</v>
      </c>
      <c r="J18" s="1367">
        <f>$I$12*($I$15)</f>
        <v>1075899.9280262664</v>
      </c>
      <c r="K18" s="1367">
        <f t="shared" ref="K18:AC18" si="0">$I$12*($I$15)</f>
        <v>1075899.9280262664</v>
      </c>
      <c r="L18" s="1367">
        <f t="shared" si="0"/>
        <v>1075899.9280262664</v>
      </c>
      <c r="M18" s="1367">
        <f t="shared" si="0"/>
        <v>1075899.9280262664</v>
      </c>
      <c r="N18" s="1367">
        <f t="shared" si="0"/>
        <v>1075899.9280262664</v>
      </c>
      <c r="O18" s="1367">
        <f t="shared" si="0"/>
        <v>1075899.9280262664</v>
      </c>
      <c r="P18" s="1367">
        <f t="shared" si="0"/>
        <v>1075899.9280262664</v>
      </c>
      <c r="Q18" s="1367">
        <f t="shared" si="0"/>
        <v>1075899.9280262664</v>
      </c>
      <c r="R18" s="1367">
        <f t="shared" si="0"/>
        <v>1075899.9280262664</v>
      </c>
      <c r="S18" s="1367">
        <f t="shared" si="0"/>
        <v>1075899.9280262664</v>
      </c>
      <c r="T18" s="1367">
        <f t="shared" si="0"/>
        <v>1075899.9280262664</v>
      </c>
      <c r="U18" s="1367">
        <f t="shared" si="0"/>
        <v>1075899.9280262664</v>
      </c>
      <c r="V18" s="1367">
        <f t="shared" si="0"/>
        <v>1075899.9280262664</v>
      </c>
      <c r="W18" s="1367">
        <f t="shared" si="0"/>
        <v>1075899.9280262664</v>
      </c>
      <c r="X18" s="1367">
        <f t="shared" si="0"/>
        <v>1075899.9280262664</v>
      </c>
      <c r="Y18" s="1367">
        <f t="shared" si="0"/>
        <v>1075899.9280262664</v>
      </c>
      <c r="Z18" s="1367">
        <f t="shared" si="0"/>
        <v>1075899.9280262664</v>
      </c>
      <c r="AA18" s="1367">
        <f t="shared" si="0"/>
        <v>1075899.9280262664</v>
      </c>
      <c r="AB18" s="1367">
        <f t="shared" si="0"/>
        <v>1075899.9280262664</v>
      </c>
      <c r="AC18" s="1367">
        <f t="shared" si="0"/>
        <v>1075899.9280262664</v>
      </c>
      <c r="AD18" s="1187"/>
      <c r="AE18" s="1187"/>
      <c r="AF18" s="1187"/>
      <c r="AG18" s="1187"/>
      <c r="AH18" s="1187"/>
      <c r="AI18" s="1187"/>
      <c r="AJ18" s="1187"/>
      <c r="AK18" s="1187"/>
      <c r="AL18" s="1187"/>
      <c r="AM18" s="1187"/>
      <c r="AN18" s="1182"/>
      <c r="AO18" s="1183"/>
      <c r="AP18" s="1176"/>
      <c r="AQ18" s="1176"/>
    </row>
    <row r="19" spans="1:43" s="1184" customFormat="1" ht="12.75" customHeight="1" x14ac:dyDescent="0.25">
      <c r="A19" s="1185"/>
      <c r="B19" s="1176"/>
      <c r="F19" s="1186"/>
      <c r="G19" s="1186"/>
      <c r="H19" s="1186"/>
      <c r="I19" s="1186"/>
      <c r="J19" s="1187"/>
      <c r="K19" s="1187"/>
      <c r="L19" s="1187"/>
      <c r="M19" s="1187"/>
      <c r="N19" s="1187"/>
      <c r="O19" s="1187"/>
      <c r="P19" s="1187"/>
      <c r="Q19" s="1187"/>
      <c r="R19" s="1187"/>
      <c r="S19" s="1187"/>
      <c r="T19" s="1187"/>
      <c r="U19" s="1187"/>
      <c r="V19" s="1187"/>
      <c r="W19" s="1187"/>
      <c r="X19" s="1187"/>
      <c r="Y19" s="1187"/>
      <c r="Z19" s="1187"/>
      <c r="AA19" s="1187"/>
      <c r="AB19" s="1187"/>
      <c r="AC19" s="1187"/>
      <c r="AD19" s="1187"/>
      <c r="AE19" s="1187"/>
      <c r="AF19" s="1187"/>
      <c r="AG19" s="1187"/>
      <c r="AH19" s="1187"/>
      <c r="AI19" s="1187"/>
      <c r="AJ19" s="1187"/>
      <c r="AK19" s="1187"/>
      <c r="AL19" s="1187"/>
      <c r="AM19" s="1187"/>
      <c r="AN19" s="1182"/>
      <c r="AO19" s="1183"/>
      <c r="AP19" s="1176"/>
      <c r="AQ19" s="1176"/>
    </row>
    <row r="20" spans="1:43" s="1184" customFormat="1" ht="12.75" customHeight="1" x14ac:dyDescent="0.25">
      <c r="A20" s="1185"/>
      <c r="B20" s="1176"/>
      <c r="D20" s="1188" t="s">
        <v>446</v>
      </c>
      <c r="F20" s="1186"/>
      <c r="G20" s="1186"/>
      <c r="H20" s="1186" t="s">
        <v>16</v>
      </c>
      <c r="I20" s="1205">
        <v>0.06</v>
      </c>
      <c r="J20" s="1187"/>
      <c r="K20" s="1187"/>
      <c r="L20" s="1187"/>
      <c r="M20" s="1187"/>
      <c r="N20" s="1187"/>
      <c r="O20" s="1187"/>
      <c r="P20" s="1187"/>
      <c r="Q20" s="1187"/>
      <c r="R20" s="1187"/>
      <c r="S20" s="1187"/>
      <c r="T20" s="1187"/>
      <c r="U20" s="1187"/>
      <c r="V20" s="1187"/>
      <c r="W20" s="1187"/>
      <c r="X20" s="1187"/>
      <c r="Y20" s="1187"/>
      <c r="Z20" s="1187"/>
      <c r="AA20" s="1187"/>
      <c r="AB20" s="1187"/>
      <c r="AC20" s="1187"/>
      <c r="AD20" s="1187"/>
      <c r="AE20" s="1187"/>
      <c r="AF20" s="1187"/>
      <c r="AG20" s="1187"/>
      <c r="AH20" s="1187"/>
      <c r="AI20" s="1187"/>
      <c r="AJ20" s="1187"/>
      <c r="AK20" s="1187"/>
      <c r="AL20" s="1187"/>
      <c r="AM20" s="1187"/>
      <c r="AN20" s="1182"/>
      <c r="AO20" s="1183"/>
      <c r="AP20" s="1176"/>
      <c r="AQ20" s="1176"/>
    </row>
    <row r="21" spans="1:43" s="1184" customFormat="1" ht="12.75" customHeight="1" x14ac:dyDescent="0.25">
      <c r="A21" s="1185"/>
      <c r="B21" s="1176"/>
      <c r="D21" s="1188"/>
      <c r="F21" s="1186"/>
      <c r="G21" s="1186"/>
      <c r="H21" s="1186"/>
      <c r="I21" s="1188"/>
      <c r="J21" s="1187"/>
      <c r="K21" s="1187"/>
      <c r="L21" s="1187"/>
      <c r="M21" s="1187"/>
      <c r="N21" s="1187"/>
      <c r="O21" s="1187"/>
      <c r="P21" s="1187"/>
      <c r="Q21" s="1187"/>
      <c r="R21" s="1187"/>
      <c r="S21" s="1187"/>
      <c r="T21" s="1187"/>
      <c r="U21" s="1187"/>
      <c r="V21" s="1187"/>
      <c r="W21" s="1187"/>
      <c r="X21" s="1187"/>
      <c r="Y21" s="1187"/>
      <c r="Z21" s="1187"/>
      <c r="AA21" s="1187"/>
      <c r="AB21" s="1187"/>
      <c r="AC21" s="1187"/>
      <c r="AD21" s="1187"/>
      <c r="AE21" s="1187"/>
      <c r="AF21" s="1187"/>
      <c r="AG21" s="1187"/>
      <c r="AH21" s="1187"/>
      <c r="AI21" s="1187"/>
      <c r="AJ21" s="1187"/>
      <c r="AK21" s="1187"/>
      <c r="AL21" s="1187"/>
      <c r="AM21" s="1187"/>
      <c r="AN21" s="1182"/>
      <c r="AO21" s="1183"/>
      <c r="AP21" s="1176"/>
      <c r="AQ21" s="1176"/>
    </row>
    <row r="22" spans="1:43" s="1184" customFormat="1" ht="12.75" customHeight="1" x14ac:dyDescent="0.25">
      <c r="A22" s="1185"/>
      <c r="B22" s="1176"/>
      <c r="D22" s="1188" t="s">
        <v>531</v>
      </c>
      <c r="F22" s="1186"/>
      <c r="G22" s="1186"/>
      <c r="H22" s="1186"/>
      <c r="I22" s="1366">
        <f>NPV(I20,I18:AC18)</f>
        <v>11641969.258038964</v>
      </c>
      <c r="J22" s="1187"/>
      <c r="K22" s="1187"/>
      <c r="L22" s="1187"/>
      <c r="M22" s="1187"/>
      <c r="N22" s="1187"/>
      <c r="O22" s="1187"/>
      <c r="P22" s="1187"/>
      <c r="Q22" s="1187"/>
      <c r="R22" s="1187"/>
      <c r="S22" s="1187"/>
      <c r="T22" s="1187"/>
      <c r="U22" s="1187"/>
      <c r="V22" s="1187"/>
      <c r="W22" s="1187"/>
      <c r="X22" s="1187"/>
      <c r="Y22" s="1187"/>
      <c r="Z22" s="1187"/>
      <c r="AA22" s="1187"/>
      <c r="AB22" s="1187"/>
      <c r="AC22" s="1187"/>
      <c r="AD22" s="1187"/>
      <c r="AE22" s="1187"/>
      <c r="AF22" s="1187"/>
      <c r="AG22" s="1187"/>
      <c r="AH22" s="1187"/>
      <c r="AI22" s="1187"/>
      <c r="AJ22" s="1187"/>
      <c r="AK22" s="1187"/>
      <c r="AL22" s="1187"/>
      <c r="AM22" s="1187"/>
      <c r="AN22" s="1182"/>
      <c r="AO22" s="1183"/>
      <c r="AP22" s="1176"/>
      <c r="AQ22" s="1176"/>
    </row>
    <row r="23" spans="1:43" s="1184" customFormat="1" ht="12.75" customHeight="1" x14ac:dyDescent="0.25">
      <c r="A23" s="1185"/>
      <c r="B23" s="1176"/>
      <c r="F23" s="1186"/>
      <c r="G23" s="1186"/>
      <c r="H23" s="1186"/>
      <c r="I23" s="1186"/>
      <c r="J23" s="1187"/>
      <c r="K23" s="1187"/>
      <c r="L23" s="1187"/>
      <c r="M23" s="1187"/>
      <c r="N23" s="1187"/>
      <c r="O23" s="1187"/>
      <c r="P23" s="1187"/>
      <c r="Q23" s="1187"/>
      <c r="R23" s="1187"/>
      <c r="S23" s="1187"/>
      <c r="T23" s="1187"/>
      <c r="U23" s="1187"/>
      <c r="V23" s="1187"/>
      <c r="W23" s="1187"/>
      <c r="X23" s="1187"/>
      <c r="Y23" s="1187"/>
      <c r="Z23" s="1187"/>
      <c r="AA23" s="1187"/>
      <c r="AB23" s="1187"/>
      <c r="AC23" s="1187"/>
      <c r="AD23" s="1187"/>
      <c r="AE23" s="1187"/>
      <c r="AF23" s="1187"/>
      <c r="AG23" s="1187"/>
      <c r="AH23" s="1187"/>
      <c r="AI23" s="1187"/>
      <c r="AJ23" s="1187"/>
      <c r="AK23" s="1187"/>
      <c r="AL23" s="1187"/>
      <c r="AM23" s="1187"/>
      <c r="AN23" s="1182"/>
      <c r="AO23" s="1183"/>
      <c r="AP23" s="1176"/>
      <c r="AQ23" s="1176"/>
    </row>
    <row r="24" spans="1:43" s="1184" customFormat="1" ht="12.75" customHeight="1" x14ac:dyDescent="0.25">
      <c r="A24" s="1185"/>
      <c r="B24" s="1176"/>
      <c r="F24" s="1186"/>
      <c r="G24" s="1186"/>
      <c r="H24" s="1186"/>
      <c r="I24" s="1186"/>
      <c r="J24" s="1187"/>
      <c r="K24" s="1187"/>
      <c r="L24" s="1187"/>
      <c r="M24" s="1187"/>
      <c r="N24" s="1187"/>
      <c r="O24" s="1187"/>
      <c r="P24" s="1187"/>
      <c r="Q24" s="1187"/>
      <c r="R24" s="1187"/>
      <c r="S24" s="1187"/>
      <c r="T24" s="1187"/>
      <c r="U24" s="1187"/>
      <c r="V24" s="1187"/>
      <c r="W24" s="1187"/>
      <c r="X24" s="1187"/>
      <c r="Y24" s="1187"/>
      <c r="Z24" s="1187"/>
      <c r="AA24" s="1187"/>
      <c r="AB24" s="1187"/>
      <c r="AC24" s="1187"/>
      <c r="AD24" s="1187"/>
      <c r="AE24" s="1187"/>
      <c r="AF24" s="1187"/>
      <c r="AG24" s="1187"/>
      <c r="AH24" s="1187"/>
      <c r="AI24" s="1187"/>
      <c r="AJ24" s="1187"/>
      <c r="AK24" s="1187"/>
      <c r="AL24" s="1187"/>
      <c r="AM24" s="1187"/>
      <c r="AN24" s="1182"/>
      <c r="AO24" s="1183"/>
      <c r="AP24" s="1176"/>
      <c r="AQ24" s="1176"/>
    </row>
    <row r="25" spans="1:43" s="1184" customFormat="1" ht="12.75" customHeight="1" x14ac:dyDescent="0.25">
      <c r="A25" s="1185"/>
      <c r="B25" s="1176"/>
      <c r="F25" s="1186"/>
      <c r="G25" s="1186"/>
      <c r="H25" s="1186"/>
      <c r="I25" s="1186"/>
      <c r="J25" s="1187"/>
      <c r="K25" s="1187"/>
      <c r="L25" s="1187"/>
      <c r="M25" s="1187"/>
      <c r="N25" s="1187"/>
      <c r="O25" s="1187"/>
      <c r="P25" s="1187"/>
      <c r="Q25" s="1187"/>
      <c r="R25" s="1187"/>
      <c r="S25" s="1187"/>
      <c r="T25" s="1187"/>
      <c r="U25" s="1187"/>
      <c r="V25" s="1187"/>
      <c r="W25" s="1187"/>
      <c r="X25" s="1187"/>
      <c r="Y25" s="1187"/>
      <c r="Z25" s="1187"/>
      <c r="AA25" s="1187"/>
      <c r="AB25" s="1187"/>
      <c r="AC25" s="1187"/>
      <c r="AD25" s="1187"/>
      <c r="AE25" s="1187"/>
      <c r="AF25" s="1187"/>
      <c r="AG25" s="1187"/>
      <c r="AH25" s="1187"/>
      <c r="AI25" s="1187"/>
      <c r="AJ25" s="1187"/>
      <c r="AK25" s="1187"/>
      <c r="AL25" s="1187"/>
      <c r="AM25" s="1187"/>
      <c r="AN25" s="1182"/>
      <c r="AO25" s="1183"/>
      <c r="AP25" s="1176"/>
      <c r="AQ25" s="1176"/>
    </row>
    <row r="26" spans="1:43" s="1184" customFormat="1" ht="12.75" customHeight="1" x14ac:dyDescent="0.25">
      <c r="A26" s="1185"/>
      <c r="B26" s="1176"/>
      <c r="F26" s="1186"/>
      <c r="G26" s="1186"/>
      <c r="H26" s="1186"/>
      <c r="I26" s="1186"/>
      <c r="J26" s="1187"/>
      <c r="K26" s="1187"/>
      <c r="L26" s="1187"/>
      <c r="M26" s="1187"/>
      <c r="N26" s="1187"/>
      <c r="O26" s="1187"/>
      <c r="P26" s="1187"/>
      <c r="Q26" s="1187"/>
      <c r="R26" s="1187"/>
      <c r="S26" s="1187"/>
      <c r="T26" s="1187"/>
      <c r="U26" s="1187"/>
      <c r="V26" s="1187"/>
      <c r="W26" s="1187"/>
      <c r="X26" s="1187"/>
      <c r="Y26" s="1187"/>
      <c r="Z26" s="1187"/>
      <c r="AA26" s="1187"/>
      <c r="AB26" s="1187"/>
      <c r="AC26" s="1187"/>
      <c r="AD26" s="1187"/>
      <c r="AE26" s="1187"/>
      <c r="AF26" s="1187"/>
      <c r="AG26" s="1187"/>
      <c r="AH26" s="1187"/>
      <c r="AI26" s="1187"/>
      <c r="AJ26" s="1187"/>
      <c r="AK26" s="1187"/>
      <c r="AL26" s="1187"/>
      <c r="AM26" s="1187"/>
      <c r="AN26" s="1182"/>
      <c r="AO26" s="1183"/>
      <c r="AP26" s="1176"/>
      <c r="AQ26" s="1176"/>
    </row>
    <row r="27" spans="1:43" s="1184" customFormat="1" ht="12.75" customHeight="1" x14ac:dyDescent="0.25">
      <c r="A27" s="1185"/>
      <c r="B27" s="1176"/>
      <c r="D27" s="1184" t="s">
        <v>440</v>
      </c>
      <c r="F27" s="1186"/>
      <c r="G27" s="1186"/>
      <c r="H27" s="1186"/>
      <c r="I27" s="1186"/>
      <c r="J27" s="1187"/>
      <c r="K27" s="1187"/>
      <c r="L27" s="1187"/>
      <c r="M27" s="1187"/>
      <c r="N27" s="1187"/>
      <c r="O27" s="1187"/>
      <c r="P27" s="1187"/>
      <c r="Q27" s="1187"/>
      <c r="R27" s="1187"/>
      <c r="S27" s="1187"/>
      <c r="T27" s="1187"/>
      <c r="U27" s="1187"/>
      <c r="V27" s="1187"/>
      <c r="W27" s="1187"/>
      <c r="X27" s="1187"/>
      <c r="Y27" s="1187"/>
      <c r="Z27" s="1187"/>
      <c r="AA27" s="1187"/>
      <c r="AB27" s="1187"/>
      <c r="AC27" s="1187"/>
      <c r="AD27" s="1187"/>
      <c r="AE27" s="1187"/>
      <c r="AF27" s="1187"/>
      <c r="AG27" s="1187"/>
      <c r="AH27" s="1187"/>
      <c r="AI27" s="1187"/>
      <c r="AJ27" s="1187"/>
      <c r="AK27" s="1187"/>
      <c r="AL27" s="1187"/>
      <c r="AM27" s="1187"/>
      <c r="AN27" s="1182"/>
      <c r="AO27" s="1183"/>
      <c r="AP27" s="1176"/>
      <c r="AQ27" s="1176"/>
    </row>
    <row r="28" spans="1:43" s="1184" customFormat="1" ht="12.75" customHeight="1" x14ac:dyDescent="0.25">
      <c r="A28" s="1185"/>
      <c r="B28" s="1176"/>
      <c r="F28" s="1186"/>
      <c r="G28" s="1186"/>
      <c r="H28" s="1186"/>
      <c r="I28" s="1186"/>
      <c r="J28" s="1187"/>
      <c r="K28" s="1187"/>
      <c r="L28" s="1187"/>
      <c r="M28" s="1187"/>
      <c r="N28" s="1187"/>
      <c r="O28" s="1187"/>
      <c r="P28" s="1187"/>
      <c r="Q28" s="1187"/>
      <c r="R28" s="1187"/>
      <c r="S28" s="1187"/>
      <c r="T28" s="1187"/>
      <c r="U28" s="1187"/>
      <c r="V28" s="1187"/>
      <c r="W28" s="1187"/>
      <c r="X28" s="1187"/>
      <c r="Y28" s="1187"/>
      <c r="Z28" s="1187"/>
      <c r="AA28" s="1187"/>
      <c r="AB28" s="1187"/>
      <c r="AC28" s="1187"/>
      <c r="AD28" s="1187"/>
      <c r="AE28" s="1187"/>
      <c r="AF28" s="1187"/>
      <c r="AG28" s="1187"/>
      <c r="AH28" s="1187"/>
      <c r="AI28" s="1187"/>
      <c r="AJ28" s="1187"/>
      <c r="AK28" s="1187"/>
      <c r="AL28" s="1187"/>
      <c r="AM28" s="1187"/>
      <c r="AN28" s="1182"/>
      <c r="AO28" s="1183"/>
      <c r="AP28" s="1176"/>
      <c r="AQ28" s="1176"/>
    </row>
    <row r="29" spans="1:43" ht="12.75" customHeight="1" x14ac:dyDescent="0.25">
      <c r="D29" s="1188" t="s">
        <v>441</v>
      </c>
      <c r="H29" s="1189" t="s">
        <v>98</v>
      </c>
      <c r="I29" s="1190">
        <f>I10</f>
        <v>1404288</v>
      </c>
    </row>
    <row r="30" spans="1:43" ht="12.75" customHeight="1" x14ac:dyDescent="0.25">
      <c r="D30" s="1188" t="s">
        <v>442</v>
      </c>
      <c r="H30" s="1189" t="s">
        <v>434</v>
      </c>
      <c r="I30" s="1368">
        <f>'I. Summary Outputs'!N63*1000</f>
        <v>76.615333038968245</v>
      </c>
    </row>
    <row r="31" spans="1:43" ht="12.75" customHeight="1" x14ac:dyDescent="0.25">
      <c r="H31" s="1189"/>
    </row>
    <row r="32" spans="1:43" ht="12.75" customHeight="1" x14ac:dyDescent="0.2">
      <c r="D32" s="1188" t="s">
        <v>443</v>
      </c>
      <c r="H32" s="1189"/>
      <c r="I32" s="1366">
        <f>I29*I30</f>
        <v>107589992.80262664</v>
      </c>
    </row>
    <row r="33" spans="4:29" ht="12.75" customHeight="1" x14ac:dyDescent="0.2">
      <c r="H33" s="1189"/>
    </row>
    <row r="34" spans="4:29" ht="12.75" customHeight="1" x14ac:dyDescent="0.2">
      <c r="D34" s="1188" t="s">
        <v>444</v>
      </c>
      <c r="H34" s="1189" t="s">
        <v>16</v>
      </c>
      <c r="I34" s="1205">
        <v>0.04</v>
      </c>
    </row>
    <row r="35" spans="4:29" ht="12.75" customHeight="1" x14ac:dyDescent="0.2"/>
    <row r="36" spans="4:29" ht="12.75" customHeight="1" x14ac:dyDescent="0.2">
      <c r="D36" s="1188" t="s">
        <v>58</v>
      </c>
      <c r="I36" s="1188">
        <v>0</v>
      </c>
      <c r="J36" s="1188">
        <v>1</v>
      </c>
      <c r="K36" s="1188">
        <v>2</v>
      </c>
      <c r="L36" s="1188">
        <v>3</v>
      </c>
      <c r="M36" s="1188">
        <v>4</v>
      </c>
      <c r="N36" s="1188">
        <v>5</v>
      </c>
      <c r="O36" s="1188">
        <v>6</v>
      </c>
      <c r="P36" s="1188">
        <v>7</v>
      </c>
      <c r="Q36" s="1188">
        <v>8</v>
      </c>
      <c r="R36" s="1188">
        <v>9</v>
      </c>
      <c r="S36" s="1188">
        <v>10</v>
      </c>
      <c r="T36" s="1188">
        <v>11</v>
      </c>
      <c r="U36" s="1188">
        <v>12</v>
      </c>
      <c r="V36" s="1188">
        <v>13</v>
      </c>
      <c r="W36" s="1188">
        <v>14</v>
      </c>
      <c r="X36" s="1188">
        <v>15</v>
      </c>
      <c r="Y36" s="1188">
        <v>16</v>
      </c>
      <c r="Z36" s="1188">
        <v>17</v>
      </c>
      <c r="AA36" s="1188">
        <v>18</v>
      </c>
      <c r="AB36" s="1188">
        <v>19</v>
      </c>
      <c r="AC36" s="1188">
        <v>20</v>
      </c>
    </row>
    <row r="37" spans="4:29" ht="12.75" customHeight="1" x14ac:dyDescent="0.2">
      <c r="D37" s="1188" t="s">
        <v>445</v>
      </c>
      <c r="I37" s="1369">
        <f>I32</f>
        <v>107589992.80262664</v>
      </c>
      <c r="J37" s="1369">
        <f>I37 *(1+$I$34)</f>
        <v>111893592.51473171</v>
      </c>
      <c r="K37" s="1369">
        <f t="shared" ref="K37:AC37" si="1">J37 *(1+$I$34)</f>
        <v>116369336.21532097</v>
      </c>
      <c r="L37" s="1369">
        <f t="shared" si="1"/>
        <v>121024109.66393381</v>
      </c>
      <c r="M37" s="1369">
        <f t="shared" si="1"/>
        <v>125865074.05049117</v>
      </c>
      <c r="N37" s="1369">
        <f t="shared" si="1"/>
        <v>130899677.01251082</v>
      </c>
      <c r="O37" s="1369">
        <f t="shared" si="1"/>
        <v>136135664.09301126</v>
      </c>
      <c r="P37" s="1369">
        <f t="shared" si="1"/>
        <v>141581090.65673172</v>
      </c>
      <c r="Q37" s="1369">
        <f t="shared" si="1"/>
        <v>147244334.28300101</v>
      </c>
      <c r="R37" s="1369">
        <f t="shared" si="1"/>
        <v>153134107.65432104</v>
      </c>
      <c r="S37" s="1369">
        <f t="shared" si="1"/>
        <v>159259471.96049389</v>
      </c>
      <c r="T37" s="1369">
        <f t="shared" si="1"/>
        <v>165629850.83891365</v>
      </c>
      <c r="U37" s="1369">
        <f t="shared" si="1"/>
        <v>172255044.8724702</v>
      </c>
      <c r="V37" s="1369">
        <f t="shared" si="1"/>
        <v>179145246.66736901</v>
      </c>
      <c r="W37" s="1369">
        <f t="shared" si="1"/>
        <v>186311056.53406379</v>
      </c>
      <c r="X37" s="1369">
        <f t="shared" si="1"/>
        <v>193763498.79542634</v>
      </c>
      <c r="Y37" s="1369">
        <f t="shared" si="1"/>
        <v>201514038.7472434</v>
      </c>
      <c r="Z37" s="1369">
        <f t="shared" si="1"/>
        <v>209574600.29713315</v>
      </c>
      <c r="AA37" s="1369">
        <f t="shared" si="1"/>
        <v>217957584.30901849</v>
      </c>
      <c r="AB37" s="1369">
        <f t="shared" si="1"/>
        <v>226675887.68137923</v>
      </c>
      <c r="AC37" s="1369">
        <f t="shared" si="1"/>
        <v>235742923.1886344</v>
      </c>
    </row>
    <row r="38" spans="4:29" ht="12.75" customHeight="1" x14ac:dyDescent="0.2">
      <c r="D38" s="1188" t="s">
        <v>448</v>
      </c>
      <c r="I38" s="1370">
        <v>0</v>
      </c>
      <c r="J38" s="1369">
        <f>-(J37-I37)</f>
        <v>-4303599.7121050656</v>
      </c>
      <c r="K38" s="1369">
        <f t="shared" ref="K38:AC38" si="2">-(K37-J37)</f>
        <v>-4475743.7005892694</v>
      </c>
      <c r="L38" s="1369">
        <f t="shared" si="2"/>
        <v>-4654773.448612839</v>
      </c>
      <c r="M38" s="1369">
        <f t="shared" si="2"/>
        <v>-4840964.3865573555</v>
      </c>
      <c r="N38" s="1369">
        <f t="shared" si="2"/>
        <v>-5034602.9620196521</v>
      </c>
      <c r="O38" s="1369">
        <f t="shared" si="2"/>
        <v>-5235987.0805004388</v>
      </c>
      <c r="P38" s="1369">
        <f t="shared" si="2"/>
        <v>-5445426.5637204647</v>
      </c>
      <c r="Q38" s="1369">
        <f t="shared" si="2"/>
        <v>-5663243.6262692809</v>
      </c>
      <c r="R38" s="1369">
        <f t="shared" si="2"/>
        <v>-5889773.371320039</v>
      </c>
      <c r="S38" s="1369">
        <f t="shared" si="2"/>
        <v>-6125364.3061728477</v>
      </c>
      <c r="T38" s="1369">
        <f t="shared" si="2"/>
        <v>-6370378.8784197569</v>
      </c>
      <c r="U38" s="1369">
        <f t="shared" si="2"/>
        <v>-6625194.0335565507</v>
      </c>
      <c r="V38" s="1369">
        <f t="shared" si="2"/>
        <v>-6890201.794898808</v>
      </c>
      <c r="W38" s="1369">
        <f t="shared" si="2"/>
        <v>-7165809.8666947782</v>
      </c>
      <c r="X38" s="1369">
        <f t="shared" si="2"/>
        <v>-7452442.2613625526</v>
      </c>
      <c r="Y38" s="1369">
        <f t="shared" si="2"/>
        <v>-7750539.9518170655</v>
      </c>
      <c r="Z38" s="1369">
        <f t="shared" si="2"/>
        <v>-8060561.5498897433</v>
      </c>
      <c r="AA38" s="1369">
        <f t="shared" si="2"/>
        <v>-8382984.011885345</v>
      </c>
      <c r="AB38" s="1369">
        <f t="shared" si="2"/>
        <v>-8718303.3723607361</v>
      </c>
      <c r="AC38" s="1369">
        <f t="shared" si="2"/>
        <v>-9067035.5072551668</v>
      </c>
    </row>
    <row r="39" spans="4:29" ht="12.75" customHeight="1" x14ac:dyDescent="0.2"/>
    <row r="40" spans="4:29" ht="12.75" customHeight="1" x14ac:dyDescent="0.2">
      <c r="D40" s="1188" t="s">
        <v>446</v>
      </c>
      <c r="I40" s="1205">
        <v>0.06</v>
      </c>
    </row>
    <row r="41" spans="4:29" ht="12.75" customHeight="1" x14ac:dyDescent="0.2"/>
    <row r="42" spans="4:29" ht="12.75" customHeight="1" x14ac:dyDescent="0.25">
      <c r="D42" s="1188" t="s">
        <v>449</v>
      </c>
      <c r="I42" s="1366">
        <f>NPV(I40,I38:AC38)</f>
        <v>-64309877.400881782</v>
      </c>
    </row>
    <row r="43" spans="4:29" ht="12.75" customHeight="1" x14ac:dyDescent="0.25"/>
    <row r="44" spans="4:29" ht="12.75" customHeight="1" x14ac:dyDescent="0.25">
      <c r="D44" s="1188" t="s">
        <v>447</v>
      </c>
      <c r="I44" s="1205">
        <v>0.5</v>
      </c>
    </row>
    <row r="45" spans="4:29" ht="12.75" customHeight="1" x14ac:dyDescent="0.25"/>
    <row r="46" spans="4:29" ht="12.75" customHeight="1" x14ac:dyDescent="0.25">
      <c r="D46" s="1188" t="s">
        <v>450</v>
      </c>
      <c r="I46" s="1366">
        <f>I42*I44</f>
        <v>-32154938.700440891</v>
      </c>
    </row>
    <row r="47" spans="4:29" ht="12.75" customHeight="1" x14ac:dyDescent="0.25"/>
    <row r="48" spans="4:29" ht="12.75" customHeight="1" x14ac:dyDescent="0.25"/>
    <row r="49" spans="1:13" ht="12.75" customHeight="1" x14ac:dyDescent="0.25">
      <c r="A49" s="1371"/>
      <c r="B49" s="1371" t="s">
        <v>641</v>
      </c>
    </row>
    <row r="50" spans="1:13" ht="12.75" customHeight="1" x14ac:dyDescent="0.25"/>
    <row r="51" spans="1:13" ht="12.75" customHeight="1" x14ac:dyDescent="0.25">
      <c r="C51" s="1188" t="s">
        <v>642</v>
      </c>
    </row>
    <row r="52" spans="1:13" ht="12.75" customHeight="1" x14ac:dyDescent="0.25">
      <c r="D52" s="1188" t="s">
        <v>643</v>
      </c>
    </row>
    <row r="53" spans="1:13" ht="12.75" customHeight="1" x14ac:dyDescent="0.25">
      <c r="D53" s="1188" t="s">
        <v>644</v>
      </c>
    </row>
    <row r="54" spans="1:13" ht="12.75" customHeight="1" x14ac:dyDescent="0.25"/>
    <row r="55" spans="1:13" ht="12.75" customHeight="1" x14ac:dyDescent="0.25">
      <c r="C55" s="1188" t="s">
        <v>645</v>
      </c>
    </row>
    <row r="56" spans="1:13" ht="12.75" customHeight="1" x14ac:dyDescent="0.25"/>
    <row r="57" spans="1:13" ht="12.75" customHeight="1" x14ac:dyDescent="0.25">
      <c r="D57" s="1371" t="s">
        <v>646</v>
      </c>
    </row>
    <row r="58" spans="1:13" ht="12.75" customHeight="1" x14ac:dyDescent="0.25"/>
    <row r="59" spans="1:13" ht="12.75" customHeight="1" x14ac:dyDescent="0.25">
      <c r="D59" s="1188" t="s">
        <v>647</v>
      </c>
      <c r="J59" s="1189" t="s">
        <v>16</v>
      </c>
      <c r="K59" s="1372">
        <v>0.3</v>
      </c>
    </row>
    <row r="60" spans="1:13" ht="12.75" customHeight="1" x14ac:dyDescent="0.25">
      <c r="D60" s="1188" t="s">
        <v>648</v>
      </c>
      <c r="J60" s="1189" t="s">
        <v>16</v>
      </c>
      <c r="K60" s="1372">
        <v>7.4999999999999997E-2</v>
      </c>
      <c r="M60" s="1188" t="s">
        <v>649</v>
      </c>
    </row>
    <row r="61" spans="1:13" ht="12.75" customHeight="1" x14ac:dyDescent="0.25">
      <c r="J61" s="1189"/>
    </row>
    <row r="62" spans="1:13" ht="12.75" customHeight="1" x14ac:dyDescent="0.25">
      <c r="D62" s="1188" t="s">
        <v>650</v>
      </c>
      <c r="J62" s="1189" t="s">
        <v>15</v>
      </c>
      <c r="K62" s="1373">
        <v>100</v>
      </c>
    </row>
    <row r="63" spans="1:13" ht="12.75" customHeight="1" x14ac:dyDescent="0.25">
      <c r="E63" s="1188" t="s">
        <v>651</v>
      </c>
      <c r="J63" s="1189" t="s">
        <v>15</v>
      </c>
      <c r="K63" s="1188">
        <f>K62*(1-(K60/K59))</f>
        <v>75</v>
      </c>
    </row>
    <row r="64" spans="1:13" ht="12.75" customHeight="1" x14ac:dyDescent="0.25"/>
    <row r="65" spans="4:13" ht="12.75" customHeight="1" x14ac:dyDescent="0.25">
      <c r="D65" s="1188" t="s">
        <v>652</v>
      </c>
      <c r="J65" s="1189" t="s">
        <v>16</v>
      </c>
      <c r="K65" s="1372">
        <v>0.218</v>
      </c>
    </row>
    <row r="66" spans="4:13" ht="12.75" customHeight="1" x14ac:dyDescent="0.25">
      <c r="D66" s="1188" t="s">
        <v>653</v>
      </c>
      <c r="J66" s="1189" t="s">
        <v>16</v>
      </c>
      <c r="K66" s="1372">
        <v>0.15</v>
      </c>
      <c r="M66" s="1188" t="s">
        <v>654</v>
      </c>
    </row>
    <row r="67" spans="4:13" ht="12.75" customHeight="1" x14ac:dyDescent="0.25"/>
    <row r="68" spans="4:13" ht="12.75" customHeight="1" x14ac:dyDescent="0.25">
      <c r="D68" s="1188" t="s">
        <v>655</v>
      </c>
      <c r="J68" s="1189" t="s">
        <v>15</v>
      </c>
      <c r="K68" s="1373">
        <v>100</v>
      </c>
    </row>
    <row r="69" spans="4:13" ht="12.75" customHeight="1" x14ac:dyDescent="0.25">
      <c r="E69" s="1188" t="s">
        <v>651</v>
      </c>
      <c r="J69" s="1189" t="s">
        <v>15</v>
      </c>
      <c r="K69" s="1374">
        <f>K68*(1-(K66/K65))</f>
        <v>31.192660550458719</v>
      </c>
    </row>
    <row r="70" spans="4:13" ht="12.75" customHeight="1" x14ac:dyDescent="0.25"/>
    <row r="71" spans="4:13" ht="12.75" customHeight="1" x14ac:dyDescent="0.25">
      <c r="D71" s="1188" t="s">
        <v>656</v>
      </c>
    </row>
    <row r="72" spans="4:13" ht="12.75" customHeight="1" x14ac:dyDescent="0.25">
      <c r="D72" s="1188" t="s">
        <v>657</v>
      </c>
      <c r="J72" s="1189" t="s">
        <v>435</v>
      </c>
      <c r="K72" s="1375">
        <v>1.5620566117395774E-2</v>
      </c>
      <c r="M72" s="1188" t="s">
        <v>658</v>
      </c>
    </row>
    <row r="73" spans="4:13" ht="12.75" customHeight="1" x14ac:dyDescent="0.25">
      <c r="E73" s="1371" t="s">
        <v>659</v>
      </c>
      <c r="F73" s="1371"/>
      <c r="G73" s="1371"/>
      <c r="H73" s="1371"/>
      <c r="I73" s="1371"/>
      <c r="J73" s="1376" t="s">
        <v>435</v>
      </c>
      <c r="K73" s="1377">
        <f>K72*(K63/100)</f>
        <v>1.171542458804683E-2</v>
      </c>
    </row>
    <row r="74" spans="4:13" ht="12.75" customHeight="1" x14ac:dyDescent="0.25">
      <c r="E74" s="1371" t="s">
        <v>660</v>
      </c>
      <c r="F74" s="1371"/>
      <c r="G74" s="1371"/>
      <c r="H74" s="1371"/>
      <c r="I74" s="1371"/>
      <c r="J74" s="1376" t="s">
        <v>435</v>
      </c>
      <c r="K74" s="1377">
        <f>K72*(K69/100)</f>
        <v>4.872470165059233E-3</v>
      </c>
    </row>
    <row r="75" spans="4:13" ht="12.75" customHeight="1" x14ac:dyDescent="0.25"/>
    <row r="76" spans="4:13" ht="12.75" customHeight="1" x14ac:dyDescent="0.25"/>
    <row r="77" spans="4:13" ht="12.75" customHeight="1" x14ac:dyDescent="0.25">
      <c r="D77" s="1371" t="s">
        <v>41</v>
      </c>
    </row>
    <row r="78" spans="4:13" ht="12.75" customHeight="1" x14ac:dyDescent="0.25">
      <c r="E78" s="1188" t="s">
        <v>661</v>
      </c>
      <c r="J78" s="1189" t="s">
        <v>16</v>
      </c>
      <c r="K78" s="1372">
        <v>0.52700000000000002</v>
      </c>
      <c r="M78" s="1188" t="s">
        <v>662</v>
      </c>
    </row>
    <row r="79" spans="4:13" ht="12.75" customHeight="1" x14ac:dyDescent="0.25">
      <c r="E79" s="1188" t="s">
        <v>663</v>
      </c>
      <c r="J79" s="1189" t="s">
        <v>16</v>
      </c>
      <c r="K79" s="1372">
        <v>0.34499999999999997</v>
      </c>
      <c r="M79" s="1188" t="s">
        <v>664</v>
      </c>
    </row>
    <row r="80" spans="4:13" ht="12.75" customHeight="1" x14ac:dyDescent="0.25"/>
    <row r="81" spans="3:13" ht="12.75" customHeight="1" x14ac:dyDescent="0.25">
      <c r="E81" s="1188" t="s">
        <v>665</v>
      </c>
      <c r="J81" s="1189" t="s">
        <v>16</v>
      </c>
      <c r="K81" s="1372">
        <v>0.15</v>
      </c>
      <c r="M81" s="1188" t="s">
        <v>649</v>
      </c>
    </row>
    <row r="82" spans="3:13" ht="12.75" customHeight="1" x14ac:dyDescent="0.25">
      <c r="E82" s="1188" t="s">
        <v>666</v>
      </c>
      <c r="J82" s="1189" t="s">
        <v>16</v>
      </c>
      <c r="K82" s="1372">
        <v>0.15</v>
      </c>
      <c r="M82" s="1188" t="s">
        <v>667</v>
      </c>
    </row>
    <row r="83" spans="3:13" ht="12.75" customHeight="1" x14ac:dyDescent="0.25"/>
    <row r="84" spans="3:13" ht="12.75" customHeight="1" x14ac:dyDescent="0.25">
      <c r="D84" s="1188" t="s">
        <v>668</v>
      </c>
      <c r="J84" s="1189" t="s">
        <v>435</v>
      </c>
      <c r="K84" s="1375">
        <v>2.4E-2</v>
      </c>
      <c r="M84" s="1188" t="s">
        <v>669</v>
      </c>
    </row>
    <row r="85" spans="3:13" ht="12.75" customHeight="1" x14ac:dyDescent="0.25">
      <c r="E85" s="1371" t="s">
        <v>670</v>
      </c>
      <c r="F85" s="1371"/>
      <c r="G85" s="1371"/>
      <c r="H85" s="1371"/>
      <c r="J85" s="1376" t="s">
        <v>435</v>
      </c>
      <c r="K85" s="1378">
        <f>K84*K81</f>
        <v>3.5999999999999999E-3</v>
      </c>
    </row>
    <row r="86" spans="3:13" ht="12.75" customHeight="1" x14ac:dyDescent="0.25">
      <c r="E86" s="1371" t="s">
        <v>660</v>
      </c>
      <c r="F86" s="1371"/>
      <c r="G86" s="1371"/>
      <c r="H86" s="1371"/>
      <c r="J86" s="1376" t="s">
        <v>435</v>
      </c>
      <c r="K86" s="1378">
        <f>K84*K82</f>
        <v>3.5999999999999999E-3</v>
      </c>
    </row>
    <row r="87" spans="3:13" ht="12.75" customHeight="1" x14ac:dyDescent="0.25"/>
    <row r="88" spans="3:13" ht="12.75" customHeight="1" x14ac:dyDescent="0.25">
      <c r="C88" s="1371" t="s">
        <v>671</v>
      </c>
    </row>
    <row r="89" spans="3:13" ht="12.75" customHeight="1" x14ac:dyDescent="0.25">
      <c r="E89" s="1371" t="s">
        <v>672</v>
      </c>
      <c r="F89" s="1371"/>
      <c r="G89" s="1371"/>
      <c r="H89" s="1371"/>
      <c r="J89" s="1376" t="s">
        <v>435</v>
      </c>
      <c r="K89" s="1378">
        <f>K73+K85</f>
        <v>1.5315424588046831E-2</v>
      </c>
    </row>
    <row r="90" spans="3:13" ht="12.75" customHeight="1" x14ac:dyDescent="0.25">
      <c r="E90" s="1371" t="s">
        <v>673</v>
      </c>
      <c r="F90" s="1371"/>
      <c r="G90" s="1371"/>
      <c r="H90" s="1371"/>
      <c r="J90" s="1376" t="s">
        <v>435</v>
      </c>
      <c r="K90" s="1378">
        <f>K74+K86</f>
        <v>8.4724701650592329E-3</v>
      </c>
    </row>
    <row r="91" spans="3:13" ht="12.75" customHeight="1" x14ac:dyDescent="0.25"/>
    <row r="92" spans="3:13" ht="12.75" customHeight="1" x14ac:dyDescent="0.25"/>
    <row r="93" spans="3:13" ht="12.75" customHeight="1" x14ac:dyDescent="0.25"/>
    <row r="94" spans="3:13" ht="12.75" customHeight="1" x14ac:dyDescent="0.25"/>
    <row r="95" spans="3:13" ht="12.75" customHeight="1" x14ac:dyDescent="0.25"/>
    <row r="96" spans="3:13"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sheetData>
  <pageMargins left="0.42" right="0.5" top="0.75" bottom="0.75" header="0.5" footer="0.5"/>
  <pageSetup scale="62" orientation="landscape" horizontalDpi="300" verticalDpi="300"/>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zoomScale="70" zoomScaleNormal="70" zoomScalePageLayoutView="70" workbookViewId="0">
      <selection activeCell="F11" sqref="F11"/>
    </sheetView>
  </sheetViews>
  <sheetFormatPr defaultColWidth="0" defaultRowHeight="14.4" zeroHeight="1" x14ac:dyDescent="0.3"/>
  <cols>
    <col min="1" max="1" width="2.6640625" customWidth="1"/>
    <col min="2" max="2" width="23.33203125" customWidth="1"/>
    <col min="3" max="3" width="32.109375" bestFit="1" customWidth="1"/>
    <col min="4" max="4" width="5.6640625" customWidth="1"/>
    <col min="5" max="5" width="11.6640625" customWidth="1"/>
    <col min="6" max="6" width="31.44140625" bestFit="1" customWidth="1"/>
    <col min="7" max="7" width="4.33203125" customWidth="1"/>
    <col min="8" max="8" width="4.44140625" customWidth="1"/>
    <col min="9" max="9" width="25.6640625" customWidth="1"/>
    <col min="10" max="12" width="9.109375" customWidth="1"/>
    <col min="13" max="19" width="9.109375" hidden="1" customWidth="1"/>
    <col min="20" max="20" width="0" hidden="1" customWidth="1"/>
    <col min="21" max="16384" width="9.109375" hidden="1"/>
  </cols>
  <sheetData>
    <row r="1" spans="1:15" x14ac:dyDescent="0.3"/>
    <row r="2" spans="1:15" s="708" customFormat="1" ht="13.2" x14ac:dyDescent="0.25">
      <c r="A2" s="707" t="s">
        <v>288</v>
      </c>
    </row>
    <row r="3" spans="1:15" s="708" customFormat="1" ht="13.2" x14ac:dyDescent="0.25">
      <c r="A3" s="709"/>
    </row>
    <row r="4" spans="1:15" s="712" customFormat="1" ht="12.75" customHeight="1" x14ac:dyDescent="0.25">
      <c r="A4" s="717" t="s">
        <v>356</v>
      </c>
      <c r="B4" s="718"/>
      <c r="C4" s="718"/>
      <c r="D4" s="719"/>
      <c r="E4" s="719"/>
      <c r="F4" s="720"/>
      <c r="G4" s="720"/>
      <c r="H4" s="720"/>
      <c r="I4" s="720"/>
      <c r="J4" s="720"/>
      <c r="K4" s="720"/>
      <c r="L4" s="720"/>
      <c r="M4" s="716"/>
      <c r="N4" s="708"/>
      <c r="O4" s="708"/>
    </row>
    <row r="5" spans="1:15" x14ac:dyDescent="0.3"/>
    <row r="6" spans="1:15" x14ac:dyDescent="0.3">
      <c r="B6" s="3" t="s">
        <v>355</v>
      </c>
      <c r="E6" s="3" t="s">
        <v>47</v>
      </c>
      <c r="I6" s="3" t="s">
        <v>50</v>
      </c>
    </row>
    <row r="7" spans="1:15" x14ac:dyDescent="0.3"/>
    <row r="8" spans="1:15" x14ac:dyDescent="0.3">
      <c r="B8" t="s">
        <v>131</v>
      </c>
      <c r="C8" s="2" t="s">
        <v>6</v>
      </c>
      <c r="E8" t="s">
        <v>51</v>
      </c>
      <c r="F8" s="2" t="s">
        <v>6</v>
      </c>
      <c r="I8" t="s">
        <v>250</v>
      </c>
      <c r="J8" t="s">
        <v>251</v>
      </c>
    </row>
    <row r="9" spans="1:15" x14ac:dyDescent="0.3">
      <c r="C9" s="2" t="s">
        <v>7</v>
      </c>
      <c r="F9" s="2" t="s">
        <v>7</v>
      </c>
      <c r="J9" t="s">
        <v>156</v>
      </c>
    </row>
    <row r="10" spans="1:15" x14ac:dyDescent="0.3"/>
    <row r="11" spans="1:15" x14ac:dyDescent="0.3">
      <c r="C11" s="4"/>
      <c r="I11" t="s">
        <v>8</v>
      </c>
      <c r="J11" s="2" t="s">
        <v>6</v>
      </c>
    </row>
    <row r="12" spans="1:15" x14ac:dyDescent="0.3">
      <c r="C12" s="4"/>
      <c r="J12" s="2" t="s">
        <v>7</v>
      </c>
    </row>
    <row r="13" spans="1:15" x14ac:dyDescent="0.3">
      <c r="C13" s="4"/>
      <c r="J13" s="2"/>
    </row>
    <row r="14" spans="1:15" x14ac:dyDescent="0.3">
      <c r="C14" s="4"/>
      <c r="E14" t="s">
        <v>23</v>
      </c>
      <c r="F14" t="s">
        <v>24</v>
      </c>
      <c r="J14" s="2"/>
    </row>
    <row r="15" spans="1:15" x14ac:dyDescent="0.3">
      <c r="F15" t="s">
        <v>25</v>
      </c>
      <c r="I15" t="s">
        <v>10</v>
      </c>
      <c r="J15" s="1">
        <v>1</v>
      </c>
    </row>
    <row r="16" spans="1:15" x14ac:dyDescent="0.3">
      <c r="J16" s="1">
        <v>0.75</v>
      </c>
    </row>
    <row r="17" spans="2:10" x14ac:dyDescent="0.3">
      <c r="B17" t="s">
        <v>41</v>
      </c>
      <c r="C17" s="4" t="s">
        <v>24</v>
      </c>
      <c r="J17" s="1">
        <v>0.5</v>
      </c>
    </row>
    <row r="18" spans="2:10" x14ac:dyDescent="0.3">
      <c r="C18" s="4" t="s">
        <v>42</v>
      </c>
      <c r="J18" s="1">
        <v>0.25</v>
      </c>
    </row>
    <row r="19" spans="2:10" x14ac:dyDescent="0.3">
      <c r="C19" s="4" t="s">
        <v>157</v>
      </c>
      <c r="J19" s="1">
        <v>0</v>
      </c>
    </row>
    <row r="20" spans="2:10" x14ac:dyDescent="0.3">
      <c r="C20" s="4" t="s">
        <v>156</v>
      </c>
    </row>
    <row r="21" spans="2:10" x14ac:dyDescent="0.3">
      <c r="I21" t="s">
        <v>11</v>
      </c>
      <c r="J21" s="1">
        <v>1</v>
      </c>
    </row>
    <row r="22" spans="2:10" x14ac:dyDescent="0.3">
      <c r="J22" s="1">
        <v>0.75</v>
      </c>
    </row>
    <row r="23" spans="2:10" x14ac:dyDescent="0.3">
      <c r="J23" s="1">
        <v>0.5</v>
      </c>
    </row>
    <row r="24" spans="2:10" x14ac:dyDescent="0.3">
      <c r="J24" s="1">
        <v>0.25</v>
      </c>
    </row>
    <row r="25" spans="2:10" x14ac:dyDescent="0.3">
      <c r="J25" s="1">
        <v>0</v>
      </c>
    </row>
    <row r="26" spans="2:10" x14ac:dyDescent="0.3"/>
    <row r="27" spans="2:10" x14ac:dyDescent="0.3">
      <c r="I27" t="s">
        <v>9</v>
      </c>
      <c r="J27" s="1">
        <v>1</v>
      </c>
    </row>
    <row r="28" spans="2:10" x14ac:dyDescent="0.3">
      <c r="J28" s="1">
        <v>0.75</v>
      </c>
    </row>
    <row r="29" spans="2:10" x14ac:dyDescent="0.3">
      <c r="J29" s="1">
        <v>0.5</v>
      </c>
    </row>
    <row r="30" spans="2:10" x14ac:dyDescent="0.3">
      <c r="J30" s="1">
        <v>0.25</v>
      </c>
    </row>
    <row r="31" spans="2:10" x14ac:dyDescent="0.3">
      <c r="J31" s="1">
        <v>0</v>
      </c>
    </row>
    <row r="32" spans="2:10" x14ac:dyDescent="0.3"/>
    <row r="33" spans="9:10" x14ac:dyDescent="0.3">
      <c r="I33" t="s">
        <v>179</v>
      </c>
    </row>
    <row r="34" spans="9:10" x14ac:dyDescent="0.3">
      <c r="J34" t="s">
        <v>224</v>
      </c>
    </row>
    <row r="35" spans="9:10" ht="15" x14ac:dyDescent="0.25">
      <c r="J35" t="s">
        <v>83</v>
      </c>
    </row>
    <row r="36" spans="9:10" ht="15" x14ac:dyDescent="0.25"/>
    <row r="37" spans="9:10" ht="15" x14ac:dyDescent="0.25">
      <c r="I37" t="s">
        <v>184</v>
      </c>
      <c r="J37" s="2" t="s">
        <v>183</v>
      </c>
    </row>
    <row r="38" spans="9:10" ht="15" x14ac:dyDescent="0.25">
      <c r="J38" s="2" t="s">
        <v>185</v>
      </c>
    </row>
    <row r="39" spans="9:10" ht="15" x14ac:dyDescent="0.25"/>
    <row r="40" spans="9:10" ht="15" x14ac:dyDescent="0.25"/>
    <row r="41" spans="9:10" ht="15" x14ac:dyDescent="0.25"/>
    <row r="42" spans="9:10" ht="15" x14ac:dyDescent="0.25"/>
    <row r="43" spans="9:10" ht="15" x14ac:dyDescent="0.25"/>
    <row r="44" spans="9:10" ht="15" x14ac:dyDescent="0.25"/>
  </sheetData>
  <sheetProtection password="CC84" sheet="1" objects="1" scenarios="1"/>
  <pageMargins left="0.7" right="0.7" top="0.75" bottom="0.75" header="0.3" footer="0.3"/>
  <pageSetup orientation="portrait" horizontalDpi="4294967293"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9"/>
  <sheetViews>
    <sheetView showGridLines="0" zoomScale="85" zoomScaleNormal="85" zoomScalePageLayoutView="85" workbookViewId="0">
      <selection activeCell="N121" sqref="N121:O121"/>
    </sheetView>
  </sheetViews>
  <sheetFormatPr defaultColWidth="0" defaultRowHeight="13.2" zeroHeight="1" outlineLevelRow="1" x14ac:dyDescent="0.25"/>
  <cols>
    <col min="1" max="8" width="2.6640625" style="8" customWidth="1"/>
    <col min="9" max="9" width="48.44140625" style="8" customWidth="1"/>
    <col min="10" max="12" width="13.33203125" style="9" customWidth="1"/>
    <col min="13" max="13" width="12.44140625" style="8" bestFit="1" customWidth="1"/>
    <col min="14" max="14" width="13.33203125" style="8" customWidth="1"/>
    <col min="15" max="15" width="14" style="8" customWidth="1"/>
    <col min="16" max="19" width="13.33203125" style="8" customWidth="1"/>
    <col min="20" max="20" width="2.44140625" style="8" customWidth="1"/>
    <col min="21" max="23" width="0" style="8" hidden="1" customWidth="1"/>
    <col min="24" max="16384" width="8.6640625" style="8" hidden="1"/>
  </cols>
  <sheetData>
    <row r="1" spans="1:23" ht="12.75" customHeight="1" x14ac:dyDescent="0.25">
      <c r="A1" s="707" t="s">
        <v>630</v>
      </c>
    </row>
    <row r="2" spans="1:23" ht="12.75" customHeight="1" x14ac:dyDescent="0.25">
      <c r="A2" s="707"/>
      <c r="J2" s="686"/>
      <c r="K2" s="686"/>
      <c r="L2" s="686"/>
    </row>
    <row r="3" spans="1:23" ht="12.75" customHeight="1" x14ac:dyDescent="0.25">
      <c r="A3" s="5" t="s">
        <v>291</v>
      </c>
      <c r="B3" s="5"/>
      <c r="C3" s="5"/>
      <c r="D3" s="6"/>
      <c r="E3" s="7"/>
      <c r="F3" s="7"/>
      <c r="G3" s="7"/>
      <c r="H3" s="6"/>
      <c r="I3" s="6"/>
      <c r="J3" s="6"/>
      <c r="K3" s="6"/>
      <c r="L3" s="6"/>
      <c r="M3" s="6"/>
      <c r="N3" s="6"/>
      <c r="O3" s="6"/>
      <c r="P3" s="6"/>
      <c r="Q3" s="6"/>
      <c r="R3" s="6"/>
      <c r="S3" s="6"/>
    </row>
    <row r="4" spans="1:23" ht="3" customHeight="1" x14ac:dyDescent="0.25"/>
    <row r="5" spans="1:23" ht="12.75" customHeight="1" x14ac:dyDescent="0.25">
      <c r="U5" s="10"/>
      <c r="V5" s="10"/>
      <c r="W5" s="10"/>
    </row>
    <row r="6" spans="1:23" ht="12.75" customHeight="1" x14ac:dyDescent="0.25">
      <c r="B6" s="8" t="s">
        <v>195</v>
      </c>
      <c r="S6" s="50"/>
      <c r="U6" s="10"/>
      <c r="V6" s="10"/>
      <c r="W6" s="10"/>
    </row>
    <row r="7" spans="1:23" ht="12.75" customHeight="1" x14ac:dyDescent="0.25">
      <c r="A7" s="54"/>
      <c r="C7" s="8" t="s">
        <v>365</v>
      </c>
      <c r="S7" s="51"/>
      <c r="U7" s="10"/>
      <c r="V7" s="10"/>
      <c r="W7" s="10"/>
    </row>
    <row r="8" spans="1:23" ht="12.75" customHeight="1" x14ac:dyDescent="0.25">
      <c r="C8" s="8" t="s">
        <v>479</v>
      </c>
      <c r="S8" s="50"/>
      <c r="U8" s="10"/>
      <c r="V8" s="10"/>
      <c r="W8" s="10"/>
    </row>
    <row r="9" spans="1:23" ht="12.75" customHeight="1" x14ac:dyDescent="0.25"/>
    <row r="10" spans="1:23" ht="12.75" customHeight="1" x14ac:dyDescent="0.25">
      <c r="A10" s="44" t="s">
        <v>292</v>
      </c>
      <c r="B10" s="44"/>
      <c r="C10" s="45"/>
      <c r="D10" s="46"/>
      <c r="E10" s="46"/>
      <c r="F10" s="46"/>
      <c r="G10" s="46"/>
      <c r="H10" s="46"/>
      <c r="I10" s="46"/>
      <c r="J10" s="46"/>
      <c r="K10" s="46"/>
      <c r="L10" s="46"/>
      <c r="M10" s="46"/>
      <c r="N10" s="46"/>
      <c r="O10" s="46"/>
      <c r="P10" s="46"/>
      <c r="Q10" s="46"/>
      <c r="R10" s="46"/>
      <c r="S10" s="46"/>
    </row>
    <row r="11" spans="1:23" ht="12.75" customHeight="1" x14ac:dyDescent="0.25">
      <c r="A11" s="12"/>
      <c r="B11" s="12"/>
      <c r="C11" s="12"/>
      <c r="D11" s="12"/>
      <c r="E11" s="12"/>
      <c r="F11" s="12"/>
      <c r="G11" s="12"/>
      <c r="H11" s="12"/>
      <c r="I11" s="12"/>
      <c r="J11" s="12"/>
      <c r="K11" s="12"/>
      <c r="L11" s="12"/>
      <c r="M11" s="12"/>
      <c r="N11" s="12"/>
      <c r="O11" s="12"/>
      <c r="P11" s="12"/>
      <c r="Q11" s="12"/>
    </row>
    <row r="12" spans="1:23" ht="12.75" customHeight="1" x14ac:dyDescent="0.25">
      <c r="A12" s="34"/>
      <c r="B12" s="43"/>
      <c r="C12" s="34"/>
      <c r="D12" s="34"/>
      <c r="E12" s="34"/>
      <c r="F12" s="34"/>
      <c r="G12" s="34"/>
      <c r="H12" s="34"/>
      <c r="I12" s="34"/>
      <c r="J12" s="34"/>
      <c r="K12" s="34"/>
      <c r="L12" s="35"/>
      <c r="M12" s="35"/>
      <c r="N12" s="35"/>
      <c r="O12" s="35"/>
      <c r="P12" s="35"/>
      <c r="Q12" s="35"/>
      <c r="R12" s="25"/>
    </row>
    <row r="13" spans="1:23" s="12" customFormat="1" ht="12.75" customHeight="1" x14ac:dyDescent="0.25">
      <c r="J13" s="13"/>
      <c r="K13" s="13"/>
      <c r="L13" s="1650" t="s">
        <v>528</v>
      </c>
      <c r="M13" s="1651"/>
      <c r="N13" s="1651"/>
      <c r="O13" s="1651"/>
      <c r="P13" s="1651"/>
      <c r="Q13" s="1651"/>
      <c r="R13" s="1652"/>
      <c r="T13" s="8"/>
    </row>
    <row r="14" spans="1:23" s="12" customFormat="1" ht="12.75" customHeight="1" x14ac:dyDescent="0.25">
      <c r="C14" s="14"/>
      <c r="D14" s="14"/>
      <c r="E14" s="14"/>
      <c r="F14" s="14"/>
      <c r="G14" s="14"/>
      <c r="H14" s="14"/>
      <c r="I14" s="14"/>
      <c r="J14" s="13"/>
      <c r="K14" s="13"/>
      <c r="L14" s="15" t="str">
        <f>'II. Inputs, Baseline Energy Mix'!N14</f>
        <v>Natural Gas</v>
      </c>
      <c r="M14" s="47" t="str">
        <f>'II. Inputs, Baseline Energy Mix'!O14</f>
        <v>Coal</v>
      </c>
      <c r="N14" s="48" t="str">
        <f>'II. Inputs, Baseline Energy Mix'!P14</f>
        <v>Hydro</v>
      </c>
      <c r="O14" s="16" t="str">
        <f>'II. Inputs, Baseline Energy Mix'!Q14</f>
        <v>Light Fuel Oil</v>
      </c>
      <c r="P14" s="17" t="str">
        <f>'II. Inputs, Baseline Energy Mix'!R14</f>
        <v>Heavy Fuel Oil</v>
      </c>
      <c r="Q14" s="49" t="str">
        <f>'II. Inputs, Baseline Energy Mix'!S14</f>
        <v>Geothermal</v>
      </c>
      <c r="R14" s="18" t="s">
        <v>169</v>
      </c>
    </row>
    <row r="15" spans="1:23" s="12" customFormat="1" ht="12.75" customHeight="1" x14ac:dyDescent="0.25">
      <c r="A15" s="19"/>
      <c r="B15" s="19" t="s">
        <v>296</v>
      </c>
      <c r="C15" s="19"/>
      <c r="D15" s="19"/>
      <c r="E15" s="19"/>
      <c r="F15" s="19"/>
      <c r="G15" s="19"/>
      <c r="H15" s="19"/>
      <c r="I15" s="19"/>
      <c r="J15" s="20" t="s">
        <v>16</v>
      </c>
      <c r="K15" s="20"/>
      <c r="L15" s="743">
        <f>'II. Inputs, Baseline Energy Mix'!N15</f>
        <v>1</v>
      </c>
      <c r="M15" s="1125">
        <f>'II. Inputs, Baseline Energy Mix'!O15</f>
        <v>0</v>
      </c>
      <c r="N15" s="744">
        <f>'II. Inputs, Baseline Energy Mix'!P15</f>
        <v>0</v>
      </c>
      <c r="O15" s="745">
        <f>'II. Inputs, Baseline Energy Mix'!Q15</f>
        <v>0</v>
      </c>
      <c r="P15" s="746">
        <f>'II. Inputs, Baseline Energy Mix'!R15</f>
        <v>0</v>
      </c>
      <c r="Q15" s="1231">
        <f>'II. Inputs, Baseline Energy Mix'!S15</f>
        <v>0</v>
      </c>
      <c r="R15" s="747">
        <v>1</v>
      </c>
    </row>
    <row r="16" spans="1:23" s="12" customFormat="1" ht="12.75" customHeight="1" x14ac:dyDescent="0.25">
      <c r="A16" s="19"/>
      <c r="B16" s="11" t="s">
        <v>194</v>
      </c>
      <c r="D16" s="11"/>
      <c r="E16" s="11"/>
      <c r="F16" s="11"/>
      <c r="G16" s="11"/>
      <c r="H16" s="11"/>
      <c r="I16" s="11"/>
      <c r="J16" s="28" t="s">
        <v>435</v>
      </c>
      <c r="K16" s="28"/>
      <c r="L16" s="1080">
        <f>SUM('IV. LCOE, Baseline Energy Mix'!G59)/1000</f>
        <v>5.9507503425933327E-2</v>
      </c>
      <c r="M16" s="1141">
        <f>SUM('IV. LCOE, Baseline Energy Mix'!G105)/1000</f>
        <v>0</v>
      </c>
      <c r="N16" s="1143">
        <f>SUM('IV. LCOE, Baseline Energy Mix'!G153)/1000</f>
        <v>0</v>
      </c>
      <c r="O16" s="1144">
        <f>SUM('IV. LCOE, Baseline Energy Mix'!G199)/1000</f>
        <v>0</v>
      </c>
      <c r="P16" s="1142">
        <f>SUM('IV. LCOE, Baseline Energy Mix'!G247)/1000</f>
        <v>0</v>
      </c>
      <c r="Q16" s="1232">
        <f>SUM('IV. LCOE, Baseline Energy Mix'!G293)/1000</f>
        <v>0</v>
      </c>
      <c r="R16" s="1081">
        <f>(L16*L15+M16*M15+N16*N15+O16*O15+P16*P15+Q16*Q15)</f>
        <v>5.9507503425933327E-2</v>
      </c>
    </row>
    <row r="17" spans="1:23" ht="12.75" customHeight="1" x14ac:dyDescent="0.25">
      <c r="J17" s="755"/>
      <c r="K17" s="755"/>
      <c r="L17" s="758"/>
      <c r="M17" s="758"/>
      <c r="N17" s="759"/>
      <c r="O17" s="759"/>
      <c r="P17" s="759"/>
      <c r="Q17" s="759"/>
      <c r="R17" s="760"/>
      <c r="U17" s="23"/>
      <c r="V17" s="23"/>
      <c r="W17" s="23"/>
    </row>
    <row r="18" spans="1:23" ht="12.75" customHeight="1" x14ac:dyDescent="0.25">
      <c r="U18" s="23"/>
      <c r="V18" s="23"/>
      <c r="W18" s="23"/>
    </row>
    <row r="19" spans="1:23" ht="12.75" customHeight="1" x14ac:dyDescent="0.25">
      <c r="A19" s="44" t="s">
        <v>480</v>
      </c>
      <c r="B19" s="44"/>
      <c r="C19" s="45"/>
      <c r="D19" s="46"/>
      <c r="E19" s="46"/>
      <c r="F19" s="46"/>
      <c r="G19" s="46"/>
      <c r="H19" s="46"/>
      <c r="I19" s="46"/>
      <c r="J19" s="46"/>
      <c r="K19" s="46"/>
      <c r="L19" s="46"/>
      <c r="M19" s="46"/>
      <c r="N19" s="46"/>
      <c r="O19" s="46"/>
      <c r="P19" s="46"/>
      <c r="Q19" s="46"/>
      <c r="R19" s="46"/>
      <c r="S19" s="46"/>
      <c r="U19" s="23"/>
      <c r="V19" s="23"/>
      <c r="W19" s="23"/>
    </row>
    <row r="20" spans="1:23" ht="12.75" customHeight="1" x14ac:dyDescent="0.25">
      <c r="U20" s="23"/>
      <c r="V20" s="23"/>
      <c r="W20" s="23"/>
    </row>
    <row r="21" spans="1:23" ht="12.75" customHeight="1" x14ac:dyDescent="0.25">
      <c r="U21" s="23"/>
      <c r="V21" s="23"/>
      <c r="W21" s="23"/>
    </row>
    <row r="22" spans="1:23" ht="12.75" customHeight="1" x14ac:dyDescent="0.25">
      <c r="B22" s="27" t="s">
        <v>151</v>
      </c>
      <c r="C22" s="21"/>
      <c r="D22" s="21"/>
      <c r="E22" s="21"/>
      <c r="F22" s="21"/>
      <c r="G22" s="21"/>
      <c r="H22" s="21"/>
      <c r="I22" s="21"/>
      <c r="J22" s="22"/>
      <c r="K22" s="22"/>
      <c r="L22" s="22"/>
      <c r="M22" s="21"/>
      <c r="N22" s="21"/>
      <c r="O22" s="21"/>
      <c r="P22" s="21"/>
      <c r="Q22" s="21"/>
      <c r="R22" s="21"/>
      <c r="S22" s="21"/>
    </row>
    <row r="23" spans="1:23" ht="12.75" customHeight="1" x14ac:dyDescent="0.25">
      <c r="B23" s="11"/>
    </row>
    <row r="24" spans="1:23" ht="12.75" customHeight="1" x14ac:dyDescent="0.3">
      <c r="L24" s="1621" t="s">
        <v>483</v>
      </c>
      <c r="M24" s="1671"/>
      <c r="N24" s="1671"/>
      <c r="O24" s="1672"/>
      <c r="U24" s="1653"/>
      <c r="V24" s="1653"/>
      <c r="W24" s="1654"/>
    </row>
    <row r="25" spans="1:23" ht="12.75" customHeight="1" x14ac:dyDescent="0.25">
      <c r="C25" s="8" t="s">
        <v>46</v>
      </c>
      <c r="J25" s="9" t="s">
        <v>15</v>
      </c>
      <c r="L25" s="1673">
        <f>'III. Inputs, Renewable Energy'!$U$14</f>
        <v>736</v>
      </c>
      <c r="M25" s="1674"/>
      <c r="N25" s="1674"/>
      <c r="O25" s="1675"/>
      <c r="U25" s="1655"/>
      <c r="V25" s="1655"/>
      <c r="W25" s="1654"/>
    </row>
    <row r="26" spans="1:23" ht="12.75" customHeight="1" x14ac:dyDescent="0.25">
      <c r="C26" s="8" t="s">
        <v>193</v>
      </c>
      <c r="L26" s="1676"/>
      <c r="M26" s="1653"/>
      <c r="N26" s="1653"/>
      <c r="O26" s="1677"/>
      <c r="U26" s="42"/>
      <c r="V26" s="42"/>
      <c r="W26" s="10"/>
    </row>
    <row r="27" spans="1:23" ht="12.75" customHeight="1" x14ac:dyDescent="0.25">
      <c r="D27" s="8" t="s">
        <v>481</v>
      </c>
      <c r="J27" s="9" t="s">
        <v>16</v>
      </c>
      <c r="L27" s="1665">
        <f>IF(L25&gt;0, 'III. Inputs, Renewable Energy'!$U$215,0)</f>
        <v>0.21780821917808219</v>
      </c>
      <c r="M27" s="1666"/>
      <c r="N27" s="1666"/>
      <c r="O27" s="1667"/>
      <c r="U27" s="1653"/>
      <c r="V27" s="1653"/>
      <c r="W27" s="1654"/>
    </row>
    <row r="28" spans="1:23" ht="12.75" customHeight="1" x14ac:dyDescent="0.25">
      <c r="D28" s="8" t="s">
        <v>175</v>
      </c>
      <c r="J28" s="9" t="s">
        <v>452</v>
      </c>
      <c r="L28" s="1678">
        <f>IF(L25&gt;0, 24*365*$L$27*$L$25,0)</f>
        <v>1404288</v>
      </c>
      <c r="M28" s="1679"/>
      <c r="N28" s="1679"/>
      <c r="O28" s="1680"/>
    </row>
    <row r="29" spans="1:23" ht="12.75" customHeight="1" x14ac:dyDescent="0.25">
      <c r="C29" s="8" t="s">
        <v>198</v>
      </c>
      <c r="L29" s="1678"/>
      <c r="M29" s="1679"/>
      <c r="N29" s="1679"/>
      <c r="O29" s="1680"/>
    </row>
    <row r="30" spans="1:23" ht="12.75" customHeight="1" x14ac:dyDescent="0.25">
      <c r="D30" s="8" t="s">
        <v>199</v>
      </c>
      <c r="J30" s="9" t="s">
        <v>20</v>
      </c>
      <c r="L30" s="1676">
        <f>IF(L25&gt;0, 'III. Inputs, Renewable Energy'!$U$16,0)</f>
        <v>20</v>
      </c>
      <c r="M30" s="1653"/>
      <c r="N30" s="1653"/>
      <c r="O30" s="1677"/>
      <c r="U30" s="24"/>
      <c r="V30" s="24"/>
      <c r="W30" s="10"/>
    </row>
    <row r="31" spans="1:23" ht="12.75" customHeight="1" x14ac:dyDescent="0.25">
      <c r="D31" s="34" t="s">
        <v>482</v>
      </c>
      <c r="J31" s="9" t="s">
        <v>433</v>
      </c>
      <c r="L31" s="1681">
        <f>'III. Inputs, Renewable Energy'!$U$15</f>
        <v>1189781.02189781</v>
      </c>
      <c r="M31" s="1682"/>
      <c r="N31" s="1682"/>
      <c r="O31" s="1683"/>
      <c r="Q31" s="1201"/>
      <c r="U31" s="24"/>
      <c r="V31" s="24"/>
      <c r="W31" s="10"/>
    </row>
    <row r="32" spans="1:23" x14ac:dyDescent="0.25">
      <c r="C32" s="8" t="s">
        <v>200</v>
      </c>
      <c r="L32" s="1684"/>
      <c r="M32" s="1570"/>
      <c r="N32" s="1570"/>
      <c r="O32" s="1685"/>
    </row>
    <row r="33" spans="2:23" ht="12.75" customHeight="1" x14ac:dyDescent="0.25">
      <c r="D33" s="8" t="s">
        <v>172</v>
      </c>
      <c r="J33" s="9" t="s">
        <v>16</v>
      </c>
      <c r="L33" s="1665">
        <f>IF(L25&gt;0, 'III. Inputs, Renewable Energy'!$U$17,0)</f>
        <v>0.3</v>
      </c>
      <c r="M33" s="1666"/>
      <c r="N33" s="1666"/>
      <c r="O33" s="1667"/>
      <c r="U33" s="23"/>
      <c r="V33" s="23"/>
      <c r="W33" s="23"/>
    </row>
    <row r="34" spans="2:23" ht="12.75" customHeight="1" x14ac:dyDescent="0.25">
      <c r="D34" s="8" t="s">
        <v>173</v>
      </c>
      <c r="J34" s="9" t="s">
        <v>16</v>
      </c>
      <c r="L34" s="1668">
        <f>IF(L25&gt;0, 'III. Inputs, Renewable Energy'!$U$18,0)</f>
        <v>0.06</v>
      </c>
      <c r="M34" s="1669"/>
      <c r="N34" s="1669"/>
      <c r="O34" s="1670"/>
      <c r="U34" s="23"/>
      <c r="V34" s="23"/>
      <c r="W34" s="23"/>
    </row>
    <row r="35" spans="2:23" ht="12.75" customHeight="1" x14ac:dyDescent="0.25">
      <c r="U35" s="23"/>
      <c r="V35" s="23"/>
      <c r="W35" s="23"/>
    </row>
    <row r="36" spans="2:23" ht="12.75" customHeight="1" x14ac:dyDescent="0.25">
      <c r="U36" s="23"/>
      <c r="V36" s="23"/>
      <c r="W36" s="23"/>
    </row>
    <row r="37" spans="2:23" ht="12.75" customHeight="1" x14ac:dyDescent="0.25">
      <c r="B37" s="52" t="s">
        <v>140</v>
      </c>
      <c r="C37" s="21"/>
      <c r="D37" s="21"/>
      <c r="E37" s="21"/>
      <c r="F37" s="21"/>
      <c r="G37" s="21"/>
      <c r="H37" s="21"/>
      <c r="I37" s="21"/>
      <c r="J37" s="22"/>
      <c r="K37" s="22"/>
      <c r="L37" s="22"/>
      <c r="M37" s="21"/>
      <c r="N37" s="21"/>
      <c r="O37" s="21"/>
      <c r="P37" s="21"/>
      <c r="Q37" s="21"/>
      <c r="R37" s="21"/>
      <c r="S37" s="21"/>
      <c r="U37" s="23"/>
      <c r="V37" s="23"/>
      <c r="W37" s="23"/>
    </row>
    <row r="38" spans="2:23" ht="12.75" customHeight="1" x14ac:dyDescent="0.25">
      <c r="U38" s="23"/>
      <c r="V38" s="23"/>
      <c r="W38" s="23"/>
    </row>
    <row r="39" spans="2:23" ht="12.75" customHeight="1" x14ac:dyDescent="0.25">
      <c r="B39" s="11"/>
      <c r="L39" s="1660" t="s">
        <v>483</v>
      </c>
      <c r="M39" s="1661"/>
      <c r="N39" s="1661"/>
      <c r="O39" s="1662"/>
      <c r="U39" s="23"/>
      <c r="V39" s="23"/>
      <c r="W39" s="23"/>
    </row>
    <row r="40" spans="2:23" ht="12.75" customHeight="1" x14ac:dyDescent="0.25">
      <c r="L40" s="1577" t="s">
        <v>201</v>
      </c>
      <c r="M40" s="1578"/>
      <c r="N40" s="1579" t="s">
        <v>202</v>
      </c>
      <c r="O40" s="1580"/>
    </row>
    <row r="41" spans="2:23" ht="12.75" customHeight="1" x14ac:dyDescent="0.25">
      <c r="C41" s="8" t="s">
        <v>26</v>
      </c>
      <c r="L41" s="1589"/>
      <c r="M41" s="1590"/>
      <c r="N41" s="1591"/>
      <c r="O41" s="1592"/>
      <c r="U41" s="1655"/>
      <c r="V41" s="1655"/>
      <c r="W41" s="1654"/>
    </row>
    <row r="42" spans="2:23" ht="12.75" customHeight="1" x14ac:dyDescent="0.25">
      <c r="D42" s="8" t="s">
        <v>150</v>
      </c>
      <c r="J42" s="9" t="s">
        <v>16</v>
      </c>
      <c r="L42" s="1658" t="str">
        <f>CONCATENATE('III. Inputs, Renewable Energy'!$S$28*100,"%/",'III. Inputs, Renewable Energy'!$S$27*100,"%")</f>
        <v>70%/30%</v>
      </c>
      <c r="M42" s="1659"/>
      <c r="N42" s="1663" t="str">
        <f>CONCATENATE('III. Inputs, Renewable Energy'!$V$28*100,"%/",'III. Inputs, Renewable Energy'!$V$27*100,"%")</f>
        <v>72.5%/27.5%</v>
      </c>
      <c r="O42" s="1664"/>
      <c r="U42" s="1656"/>
      <c r="V42" s="1656"/>
      <c r="W42" s="1657"/>
    </row>
    <row r="43" spans="2:23" ht="12.75" customHeight="1" x14ac:dyDescent="0.25">
      <c r="L43" s="1589"/>
      <c r="M43" s="1590"/>
      <c r="N43" s="1591"/>
      <c r="O43" s="1592"/>
    </row>
    <row r="44" spans="2:23" ht="12.75" customHeight="1" x14ac:dyDescent="0.25">
      <c r="C44" s="8" t="s">
        <v>79</v>
      </c>
      <c r="J44" s="9" t="s">
        <v>16</v>
      </c>
      <c r="L44" s="1593">
        <f>'III. Inputs, Renewable Energy'!S35</f>
        <v>0.15</v>
      </c>
      <c r="M44" s="1594"/>
      <c r="N44" s="1530">
        <f>'III. Inputs, Renewable Energy'!V35</f>
        <v>0.12748463872437021</v>
      </c>
      <c r="O44" s="1531"/>
    </row>
    <row r="45" spans="2:23" ht="12.75" customHeight="1" x14ac:dyDescent="0.25">
      <c r="C45" s="11"/>
      <c r="J45" s="686"/>
      <c r="K45" s="686"/>
      <c r="L45" s="704"/>
      <c r="M45" s="705"/>
      <c r="N45" s="687"/>
      <c r="O45" s="688"/>
    </row>
    <row r="46" spans="2:23" ht="12.75" customHeight="1" x14ac:dyDescent="0.25">
      <c r="C46" s="8" t="s">
        <v>54</v>
      </c>
      <c r="L46" s="1589"/>
      <c r="M46" s="1590"/>
      <c r="N46" s="1555"/>
      <c r="O46" s="1556"/>
    </row>
    <row r="47" spans="2:23" ht="12.75" customHeight="1" x14ac:dyDescent="0.25">
      <c r="D47" s="761" t="s">
        <v>218</v>
      </c>
      <c r="E47" s="26"/>
      <c r="F47" s="26"/>
      <c r="G47" s="26"/>
      <c r="H47" s="26"/>
      <c r="J47" s="9" t="s">
        <v>16</v>
      </c>
      <c r="L47" s="1593" t="str">
        <f>'III. Inputs, Renewable Energy'!S37</f>
        <v>NA</v>
      </c>
      <c r="M47" s="1594"/>
      <c r="N47" s="1530">
        <f>'III. Inputs, Renewable Energy'!V37</f>
        <v>0.04</v>
      </c>
      <c r="O47" s="1531"/>
    </row>
    <row r="48" spans="2:23" ht="12.75" customHeight="1" x14ac:dyDescent="0.25">
      <c r="D48" s="8" t="s">
        <v>299</v>
      </c>
      <c r="J48" s="9" t="s">
        <v>16</v>
      </c>
      <c r="L48" s="1593" t="str">
        <f>'III. Inputs, Renewable Energy'!S38</f>
        <v>NA</v>
      </c>
      <c r="M48" s="1594"/>
      <c r="N48" s="1530" t="str">
        <f>'III. Inputs, Renewable Energy'!V38</f>
        <v>NA</v>
      </c>
      <c r="O48" s="1531"/>
    </row>
    <row r="49" spans="2:19" ht="12.75" customHeight="1" x14ac:dyDescent="0.25">
      <c r="D49" s="8" t="s">
        <v>300</v>
      </c>
      <c r="J49" s="9" t="s">
        <v>16</v>
      </c>
      <c r="L49" s="1593">
        <f>IF(('III. Inputs, Renewable Energy'!S32=0), "NA", 'III. Inputs, Renewable Energy'!S39)</f>
        <v>6.5000000000000002E-2</v>
      </c>
      <c r="M49" s="1594"/>
      <c r="N49" s="1530">
        <f>IF('III. Inputs, Renewable Energy'!V39=0, "NA", 'III. Inputs, Renewable Energy'!V39)</f>
        <v>5.6242205302102208E-2</v>
      </c>
      <c r="O49" s="1531"/>
    </row>
    <row r="50" spans="2:19" ht="12.75" customHeight="1" x14ac:dyDescent="0.25">
      <c r="L50" s="1589"/>
      <c r="M50" s="1590"/>
      <c r="N50" s="1555"/>
      <c r="O50" s="1556"/>
    </row>
    <row r="51" spans="2:19" ht="12.75" customHeight="1" x14ac:dyDescent="0.25">
      <c r="C51" s="8" t="s">
        <v>451</v>
      </c>
      <c r="J51" s="1093" t="s">
        <v>16</v>
      </c>
      <c r="K51" s="1093"/>
      <c r="L51" s="1528">
        <f>('III. Inputs, Renewable Energy'!S28*(1-L33)*((SUM(L47)*(L91/L94))+(SUM(L48)*(L92/L94))+(SUM(L49)*(L93/L94))))+('III. Inputs, Renewable Energy'!S27*L44)</f>
        <v>7.6850000000000002E-2</v>
      </c>
      <c r="M51" s="1529"/>
      <c r="N51" s="1530">
        <f>('III. Inputs, Renewable Energy'!V28*(1-L33)*((SUM(N47)*(N91/N94))+(SUM(N48)*(N92/N94))+(SUM(N49)*(N93/N94)))+('III. Inputs, Renewable Energy'!V27*N44))</f>
        <v>5.9479735244610241E-2</v>
      </c>
      <c r="O51" s="1531"/>
    </row>
    <row r="52" spans="2:19" ht="12.75" customHeight="1" x14ac:dyDescent="0.25">
      <c r="J52" s="1093"/>
      <c r="K52" s="1093"/>
      <c r="L52" s="1098"/>
      <c r="M52" s="1099"/>
      <c r="N52" s="1096"/>
      <c r="O52" s="1097"/>
    </row>
    <row r="53" spans="2:19" ht="12.75" customHeight="1" x14ac:dyDescent="0.25">
      <c r="C53" s="8" t="s">
        <v>141</v>
      </c>
      <c r="L53" s="1589"/>
      <c r="M53" s="1590"/>
      <c r="N53" s="1555"/>
      <c r="O53" s="1556"/>
    </row>
    <row r="54" spans="2:19" ht="12.75" customHeight="1" x14ac:dyDescent="0.25">
      <c r="D54" s="761" t="s">
        <v>218</v>
      </c>
      <c r="E54" s="26"/>
      <c r="F54" s="26"/>
      <c r="G54" s="26"/>
      <c r="H54" s="26"/>
      <c r="J54" s="9" t="s">
        <v>20</v>
      </c>
      <c r="L54" s="1646" t="str">
        <f>IF('III. Inputs, Renewable Energy'!S42=0,"NA",'III. Inputs, Renewable Energy'!S42)</f>
        <v>NA</v>
      </c>
      <c r="M54" s="1647"/>
      <c r="N54" s="1566">
        <f>IF('III. Inputs, Renewable Energy'!V42=0,"NA",'III. Inputs, Renewable Energy'!V42)</f>
        <v>20</v>
      </c>
      <c r="O54" s="1567"/>
    </row>
    <row r="55" spans="2:19" ht="12.75" customHeight="1" x14ac:dyDescent="0.25">
      <c r="D55" s="8" t="s">
        <v>299</v>
      </c>
      <c r="J55" s="9" t="s">
        <v>20</v>
      </c>
      <c r="L55" s="1646" t="str">
        <f>IF('III. Inputs, Renewable Energy'!S43=0,"NA",'III. Inputs, Renewable Energy'!S43)</f>
        <v>NA</v>
      </c>
      <c r="M55" s="1647"/>
      <c r="N55" s="1566" t="str">
        <f>IF('III. Inputs, Renewable Energy'!V43=0,"NA",'III. Inputs, Renewable Energy'!V43)</f>
        <v>NA</v>
      </c>
      <c r="O55" s="1567"/>
    </row>
    <row r="56" spans="2:19" ht="12.75" customHeight="1" x14ac:dyDescent="0.25">
      <c r="D56" s="8" t="s">
        <v>300</v>
      </c>
      <c r="J56" s="9" t="s">
        <v>20</v>
      </c>
      <c r="L56" s="1648">
        <f>IF('III. Inputs, Renewable Energy'!S32=0,"NA", 'III. Inputs, Renewable Energy'!S44)</f>
        <v>10</v>
      </c>
      <c r="M56" s="1649"/>
      <c r="N56" s="1568">
        <f>IF('III. Inputs, Renewable Energy'!V44=0, "NA", 'III. Inputs, Renewable Energy'!V44)</f>
        <v>11</v>
      </c>
      <c r="O56" s="1569"/>
    </row>
    <row r="57" spans="2:19" ht="12.75" customHeight="1" x14ac:dyDescent="0.25">
      <c r="L57" s="1570"/>
      <c r="M57" s="1570"/>
      <c r="N57" s="1571"/>
      <c r="O57" s="1571"/>
    </row>
    <row r="58" spans="2:19" ht="12.75" customHeight="1" x14ac:dyDescent="0.25">
      <c r="M58" s="9"/>
      <c r="N58" s="53"/>
      <c r="O58" s="53"/>
    </row>
    <row r="59" spans="2:19" ht="12.75" customHeight="1" x14ac:dyDescent="0.25">
      <c r="B59" s="52" t="s">
        <v>298</v>
      </c>
      <c r="C59" s="21"/>
      <c r="D59" s="21"/>
      <c r="E59" s="21"/>
      <c r="F59" s="21"/>
      <c r="G59" s="21"/>
      <c r="H59" s="21"/>
      <c r="I59" s="21"/>
      <c r="J59" s="22"/>
      <c r="K59" s="22"/>
      <c r="L59" s="22"/>
      <c r="M59" s="21"/>
      <c r="N59" s="21"/>
      <c r="O59" s="21"/>
      <c r="P59" s="21"/>
      <c r="Q59" s="21"/>
      <c r="R59" s="21"/>
      <c r="S59" s="21"/>
    </row>
    <row r="60" spans="2:19" ht="12.75" customHeight="1" x14ac:dyDescent="0.25">
      <c r="M60" s="9"/>
      <c r="N60" s="53"/>
      <c r="O60" s="53"/>
    </row>
    <row r="61" spans="2:19" ht="12.75" customHeight="1" x14ac:dyDescent="0.25">
      <c r="L61" s="1621" t="s">
        <v>483</v>
      </c>
      <c r="M61" s="1622"/>
      <c r="N61" s="1622"/>
      <c r="O61" s="1623"/>
    </row>
    <row r="62" spans="2:19" ht="12.75" customHeight="1" x14ac:dyDescent="0.25">
      <c r="L62" s="1577" t="s">
        <v>201</v>
      </c>
      <c r="M62" s="1578"/>
      <c r="N62" s="1579" t="s">
        <v>202</v>
      </c>
      <c r="O62" s="1580"/>
    </row>
    <row r="63" spans="2:19" s="11" customFormat="1" ht="12.75" customHeight="1" x14ac:dyDescent="0.25">
      <c r="B63" s="11" t="s">
        <v>484</v>
      </c>
      <c r="J63" s="28" t="s">
        <v>435</v>
      </c>
      <c r="K63" s="28"/>
      <c r="L63" s="1638">
        <f>SUM(L64:M66)</f>
        <v>9.8897241760966093E-2</v>
      </c>
      <c r="M63" s="1639"/>
      <c r="N63" s="1640">
        <f>SUM(N64:O66)</f>
        <v>7.6615333038968239E-2</v>
      </c>
      <c r="O63" s="1641"/>
    </row>
    <row r="64" spans="2:19" s="11" customFormat="1" ht="12.75" customHeight="1" x14ac:dyDescent="0.3">
      <c r="C64" s="8" t="s">
        <v>485</v>
      </c>
      <c r="J64" s="1093" t="s">
        <v>435</v>
      </c>
      <c r="K64" s="1100"/>
      <c r="L64" s="1536">
        <f>'V. LCOE, Ren. En. Generation'!G50/1000</f>
        <v>9.2667334686651212E-2</v>
      </c>
      <c r="M64" s="1537"/>
      <c r="N64" s="1541">
        <f>'V. LCOE, Ren. En. Generation'!G140/1000</f>
        <v>7.1789261987296057E-2</v>
      </c>
      <c r="O64" s="1538"/>
    </row>
    <row r="65" spans="2:19" s="11" customFormat="1" ht="12.75" customHeight="1" x14ac:dyDescent="0.3">
      <c r="C65" s="8" t="s">
        <v>521</v>
      </c>
      <c r="J65" s="1093" t="s">
        <v>435</v>
      </c>
      <c r="K65" s="1100"/>
      <c r="L65" s="1536">
        <f>'VI. LCOE, Ren. En. Grid Intconx'!G50/1000</f>
        <v>6.2299070743148839E-3</v>
      </c>
      <c r="M65" s="1538"/>
      <c r="N65" s="1541">
        <f>'VI. LCOE, Ren. En. Grid Intconx'!G140/1000</f>
        <v>4.8260710516721782E-3</v>
      </c>
      <c r="O65" s="1538"/>
    </row>
    <row r="66" spans="2:19" s="11" customFormat="1" ht="12.75" hidden="1" customHeight="1" outlineLevel="1" x14ac:dyDescent="0.2">
      <c r="C66" s="8" t="s">
        <v>486</v>
      </c>
      <c r="J66" s="1093" t="s">
        <v>435</v>
      </c>
      <c r="K66" s="1100"/>
      <c r="L66" s="1539">
        <v>0</v>
      </c>
      <c r="M66" s="1540"/>
      <c r="N66" s="1542">
        <v>0</v>
      </c>
      <c r="O66" s="1543"/>
    </row>
    <row r="67" spans="2:19" s="11" customFormat="1" ht="12.75" customHeight="1" collapsed="1" x14ac:dyDescent="0.3">
      <c r="C67" s="8"/>
      <c r="J67" s="1093"/>
      <c r="K67" s="1100"/>
      <c r="L67" s="1544"/>
      <c r="M67" s="1545"/>
      <c r="N67" s="1546"/>
      <c r="O67" s="1545"/>
    </row>
    <row r="68" spans="2:19" ht="12.75" customHeight="1" x14ac:dyDescent="0.25">
      <c r="B68" s="8" t="s">
        <v>293</v>
      </c>
      <c r="C68" s="11"/>
      <c r="D68" s="11"/>
      <c r="E68" s="11"/>
      <c r="F68" s="11"/>
      <c r="G68" s="11"/>
      <c r="H68" s="11"/>
      <c r="J68" s="9" t="s">
        <v>435</v>
      </c>
      <c r="L68" s="1642">
        <f>'I. Summary Outputs'!$R$16</f>
        <v>5.9507503425933327E-2</v>
      </c>
      <c r="M68" s="1643"/>
      <c r="N68" s="1644">
        <f>'I. Summary Outputs'!$R$16</f>
        <v>5.9507503425933327E-2</v>
      </c>
      <c r="O68" s="1645"/>
    </row>
    <row r="69" spans="2:19" ht="12.75" customHeight="1" x14ac:dyDescent="0.25">
      <c r="C69" s="11"/>
      <c r="D69" s="11"/>
      <c r="E69" s="11"/>
      <c r="F69" s="11"/>
      <c r="G69" s="11"/>
      <c r="H69" s="11"/>
      <c r="J69" s="686"/>
      <c r="K69" s="686"/>
      <c r="L69" s="739"/>
      <c r="M69" s="740"/>
      <c r="N69" s="741"/>
      <c r="O69" s="742"/>
    </row>
    <row r="70" spans="2:19" ht="12.75" customHeight="1" x14ac:dyDescent="0.25">
      <c r="B70" s="11"/>
      <c r="C70" s="8" t="s">
        <v>487</v>
      </c>
      <c r="J70" s="686" t="s">
        <v>435</v>
      </c>
      <c r="K70" s="686"/>
      <c r="L70" s="1636">
        <f>L63-L68</f>
        <v>3.9389738335032766E-2</v>
      </c>
      <c r="M70" s="1637"/>
      <c r="N70" s="1624">
        <f>N63-N68</f>
        <v>1.7107829613034913E-2</v>
      </c>
      <c r="O70" s="1625"/>
    </row>
    <row r="71" spans="2:19" ht="12.75" customHeight="1" x14ac:dyDescent="0.25">
      <c r="D71" s="8" t="s">
        <v>295</v>
      </c>
      <c r="J71" s="686" t="s">
        <v>436</v>
      </c>
      <c r="L71" s="1532">
        <f>L28*L70*1000</f>
        <v>55314536.867026493</v>
      </c>
      <c r="M71" s="1533"/>
      <c r="N71" s="1534">
        <f>L28*N70*1000</f>
        <v>24024319.831629571</v>
      </c>
      <c r="O71" s="1535"/>
    </row>
    <row r="72" spans="2:19" ht="12.75" customHeight="1" x14ac:dyDescent="0.25">
      <c r="D72" s="1557" t="str">
        <f>CONCATENATE("Present Value of Total Incremental Cost", " Over ", $L$30, " Years")</f>
        <v>Present Value of Total Incremental Cost Over 20 Years</v>
      </c>
      <c r="E72" s="1557"/>
      <c r="F72" s="1557"/>
      <c r="G72" s="1557"/>
      <c r="H72" s="1557"/>
      <c r="I72" s="1557"/>
      <c r="J72" s="9" t="s">
        <v>437</v>
      </c>
      <c r="L72" s="1532">
        <f>PV(L34,L30,-L71)</f>
        <v>634453380.10621774</v>
      </c>
      <c r="M72" s="1533"/>
      <c r="N72" s="1534">
        <f>PV(L34,L30,-N71)</f>
        <v>275557055.79840624</v>
      </c>
      <c r="O72" s="1535"/>
      <c r="P72" s="29"/>
    </row>
    <row r="73" spans="2:19" ht="12.75" customHeight="1" x14ac:dyDescent="0.25">
      <c r="J73" s="686"/>
      <c r="K73" s="686"/>
      <c r="L73" s="702"/>
      <c r="M73" s="703"/>
      <c r="N73" s="700"/>
      <c r="O73" s="701"/>
      <c r="P73" s="29"/>
    </row>
    <row r="74" spans="2:19" ht="12.75" customHeight="1" x14ac:dyDescent="0.25">
      <c r="B74" s="11"/>
      <c r="C74" s="8" t="s">
        <v>488</v>
      </c>
      <c r="J74" s="686" t="s">
        <v>435</v>
      </c>
      <c r="K74" s="686"/>
      <c r="L74" s="1630"/>
      <c r="M74" s="1631"/>
      <c r="N74" s="1624">
        <f>N70-L70</f>
        <v>-2.2281908721997853E-2</v>
      </c>
      <c r="O74" s="1625"/>
    </row>
    <row r="75" spans="2:19" ht="12.75" customHeight="1" x14ac:dyDescent="0.25">
      <c r="D75" s="8" t="s">
        <v>294</v>
      </c>
      <c r="J75" s="686" t="s">
        <v>436</v>
      </c>
      <c r="K75" s="28"/>
      <c r="L75" s="1630"/>
      <c r="M75" s="1631"/>
      <c r="N75" s="1626">
        <f>N74*L28*1000</f>
        <v>-31290217.035396922</v>
      </c>
      <c r="O75" s="1627"/>
    </row>
    <row r="76" spans="2:19" ht="12.75" customHeight="1" x14ac:dyDescent="0.25">
      <c r="D76" s="1557" t="str">
        <f>CONCATENATE("Present Value of Total Savings Due to Derisking", " Over ", $L$30, " Years")</f>
        <v>Present Value of Total Savings Due to Derisking Over 20 Years</v>
      </c>
      <c r="E76" s="1557"/>
      <c r="F76" s="1557"/>
      <c r="G76" s="1557"/>
      <c r="H76" s="1557"/>
      <c r="I76" s="1557"/>
      <c r="J76" s="1071" t="s">
        <v>437</v>
      </c>
      <c r="K76" s="28"/>
      <c r="L76" s="1632"/>
      <c r="M76" s="1633"/>
      <c r="N76" s="1628">
        <f>PV(L34,L30,-N75)</f>
        <v>-358896324.30781144</v>
      </c>
      <c r="O76" s="1629"/>
    </row>
    <row r="77" spans="2:19" ht="12.75" customHeight="1" x14ac:dyDescent="0.25"/>
    <row r="78" spans="2:19" ht="12.75" customHeight="1" x14ac:dyDescent="0.25">
      <c r="J78" s="686"/>
      <c r="K78" s="686"/>
      <c r="L78" s="686"/>
    </row>
    <row r="79" spans="2:19" ht="12.75" customHeight="1" x14ac:dyDescent="0.25">
      <c r="B79" s="52" t="s">
        <v>142</v>
      </c>
      <c r="C79" s="21"/>
      <c r="D79" s="21"/>
      <c r="E79" s="21"/>
      <c r="F79" s="21"/>
      <c r="G79" s="21"/>
      <c r="H79" s="21"/>
      <c r="I79" s="21"/>
      <c r="J79" s="22"/>
      <c r="K79" s="22"/>
      <c r="L79" s="22"/>
      <c r="M79" s="21"/>
      <c r="N79" s="21"/>
      <c r="O79" s="21"/>
      <c r="P79" s="21"/>
      <c r="Q79" s="21"/>
      <c r="R79" s="21"/>
      <c r="S79" s="21"/>
    </row>
    <row r="80" spans="2:19" ht="12.75" customHeight="1" x14ac:dyDescent="0.25">
      <c r="I80" s="11"/>
      <c r="J80" s="28"/>
      <c r="K80" s="28"/>
      <c r="L80" s="28"/>
    </row>
    <row r="81" spans="2:17" ht="12.75" customHeight="1" x14ac:dyDescent="0.25">
      <c r="L81" s="1621" t="s">
        <v>483</v>
      </c>
      <c r="M81" s="1622"/>
      <c r="N81" s="1622"/>
      <c r="O81" s="1623"/>
    </row>
    <row r="82" spans="2:17" ht="12.75" customHeight="1" x14ac:dyDescent="0.25">
      <c r="B82" s="11"/>
      <c r="J82" s="686"/>
      <c r="K82" s="686"/>
      <c r="L82" s="1577" t="s">
        <v>201</v>
      </c>
      <c r="M82" s="1578"/>
      <c r="N82" s="1579" t="s">
        <v>202</v>
      </c>
      <c r="O82" s="1580"/>
    </row>
    <row r="83" spans="2:17" ht="12.75" customHeight="1" x14ac:dyDescent="0.25">
      <c r="B83" s="8" t="s">
        <v>489</v>
      </c>
      <c r="I83" s="686"/>
      <c r="J83" s="1071" t="s">
        <v>437</v>
      </c>
      <c r="K83" s="8"/>
      <c r="L83" s="1619">
        <f>L84+L85</f>
        <v>934558832.11678815</v>
      </c>
      <c r="M83" s="1620"/>
      <c r="N83" s="1634">
        <f>N84+N85</f>
        <v>934558832.11678815</v>
      </c>
      <c r="O83" s="1635"/>
    </row>
    <row r="84" spans="2:17" ht="12.75" customHeight="1" outlineLevel="1" x14ac:dyDescent="0.3">
      <c r="C84" s="8" t="s">
        <v>682</v>
      </c>
      <c r="I84" s="1409"/>
      <c r="J84" s="1409" t="s">
        <v>437</v>
      </c>
      <c r="K84" s="8"/>
      <c r="L84" s="1532">
        <f>$L$25*$L$31</f>
        <v>875678832.11678815</v>
      </c>
      <c r="M84" s="1545"/>
      <c r="N84" s="1534">
        <f>$L$25*$L$31</f>
        <v>875678832.11678815</v>
      </c>
      <c r="O84" s="1545"/>
    </row>
    <row r="85" spans="2:17" ht="12.75" customHeight="1" outlineLevel="1" x14ac:dyDescent="0.3">
      <c r="C85" s="8" t="s">
        <v>683</v>
      </c>
      <c r="I85" s="1409"/>
      <c r="J85" s="1409" t="s">
        <v>437</v>
      </c>
      <c r="K85" s="8"/>
      <c r="L85" s="1532">
        <f>'III. Inputs, Renewable Energy'!U260</f>
        <v>58879999.999999993</v>
      </c>
      <c r="M85" s="1545"/>
      <c r="N85" s="1534">
        <f>'III. Inputs, Renewable Energy'!U260</f>
        <v>58879999.999999993</v>
      </c>
      <c r="O85" s="1545"/>
    </row>
    <row r="86" spans="2:17" ht="12.75" customHeight="1" x14ac:dyDescent="0.25">
      <c r="I86" s="1409"/>
      <c r="J86" s="8"/>
      <c r="K86" s="8"/>
      <c r="L86" s="1547"/>
      <c r="M86" s="1548"/>
      <c r="N86" s="1572"/>
      <c r="O86" s="1573"/>
    </row>
    <row r="87" spans="2:17" ht="12.75" customHeight="1" x14ac:dyDescent="0.25">
      <c r="B87" s="8" t="s">
        <v>143</v>
      </c>
      <c r="I87" s="686"/>
      <c r="J87" s="1071" t="s">
        <v>437</v>
      </c>
      <c r="K87" s="8"/>
      <c r="L87" s="1547">
        <f>L83*'III. Inputs, Renewable Energy'!S27</f>
        <v>280367649.63503641</v>
      </c>
      <c r="M87" s="1548"/>
      <c r="N87" s="1572">
        <f>N83*'III. Inputs, Renewable Energy'!V27</f>
        <v>257003678.83211675</v>
      </c>
      <c r="O87" s="1573"/>
      <c r="Q87" s="30"/>
    </row>
    <row r="88" spans="2:17" ht="12.75" customHeight="1" x14ac:dyDescent="0.25">
      <c r="I88" s="689"/>
      <c r="J88" s="8"/>
      <c r="K88" s="8"/>
      <c r="L88" s="1551"/>
      <c r="M88" s="1552"/>
      <c r="N88" s="1553"/>
      <c r="O88" s="1554">
        <f>SUM(O87)</f>
        <v>0</v>
      </c>
      <c r="Q88" s="31"/>
    </row>
    <row r="89" spans="2:17" s="11" customFormat="1" ht="12.75" customHeight="1" x14ac:dyDescent="0.25">
      <c r="B89" s="8" t="s">
        <v>297</v>
      </c>
      <c r="I89" s="689"/>
      <c r="L89" s="1615"/>
      <c r="M89" s="1616"/>
      <c r="N89" s="1617"/>
      <c r="O89" s="1618"/>
    </row>
    <row r="90" spans="2:17" s="11" customFormat="1" ht="12.75" customHeight="1" x14ac:dyDescent="0.25">
      <c r="C90" s="8" t="s">
        <v>182</v>
      </c>
      <c r="D90" s="8"/>
      <c r="E90" s="8"/>
      <c r="F90" s="8"/>
      <c r="G90" s="8"/>
      <c r="H90" s="8"/>
      <c r="I90" s="689"/>
      <c r="L90" s="1076"/>
      <c r="M90" s="1077"/>
      <c r="N90" s="1078"/>
      <c r="O90" s="1079"/>
    </row>
    <row r="91" spans="2:17" ht="12.75" customHeight="1" x14ac:dyDescent="0.25">
      <c r="D91" s="8" t="s">
        <v>218</v>
      </c>
      <c r="I91" s="686"/>
      <c r="J91" s="1071" t="s">
        <v>437</v>
      </c>
      <c r="K91" s="706"/>
      <c r="L91" s="1547">
        <f>L$83*'III. Inputs, Renewable Energy'!S$28*SUM('III. Inputs, Renewable Energy'!S30)</f>
        <v>0</v>
      </c>
      <c r="M91" s="1548"/>
      <c r="N91" s="1572">
        <f>N$83*'III. Inputs, Renewable Energy'!V$28*SUM('III. Inputs, Renewable Energy'!V30)</f>
        <v>338777576.64233571</v>
      </c>
      <c r="O91" s="1573"/>
    </row>
    <row r="92" spans="2:17" ht="12.75" customHeight="1" x14ac:dyDescent="0.25">
      <c r="D92" s="8" t="s">
        <v>299</v>
      </c>
      <c r="I92" s="686"/>
      <c r="J92" s="1071" t="s">
        <v>437</v>
      </c>
      <c r="K92" s="706"/>
      <c r="L92" s="1547">
        <f>L$83*'III. Inputs, Renewable Energy'!S$28*SUM('III. Inputs, Renewable Energy'!S31)</f>
        <v>0</v>
      </c>
      <c r="M92" s="1548"/>
      <c r="N92" s="1572">
        <f>N$83*'III. Inputs, Renewable Energy'!V$28*SUM('III. Inputs, Renewable Energy'!V31)</f>
        <v>0</v>
      </c>
      <c r="O92" s="1573"/>
    </row>
    <row r="93" spans="2:17" ht="12.75" customHeight="1" x14ac:dyDescent="0.25">
      <c r="D93" s="8" t="s">
        <v>300</v>
      </c>
      <c r="I93" s="686"/>
      <c r="J93" s="1071" t="s">
        <v>437</v>
      </c>
      <c r="K93" s="706"/>
      <c r="L93" s="1547">
        <f>L$83*'III. Inputs, Renewable Energy'!S$28*'III. Inputs, Renewable Energy'!S32</f>
        <v>654191182.48175168</v>
      </c>
      <c r="M93" s="1548"/>
      <c r="N93" s="1572">
        <f>N$83*'III. Inputs, Renewable Energy'!V$28*'III. Inputs, Renewable Energy'!V32</f>
        <v>338777576.64233571</v>
      </c>
      <c r="O93" s="1573"/>
    </row>
    <row r="94" spans="2:17" ht="12.75" customHeight="1" x14ac:dyDescent="0.25">
      <c r="B94" s="8" t="s">
        <v>144</v>
      </c>
      <c r="I94" s="689"/>
      <c r="J94" s="1071" t="s">
        <v>437</v>
      </c>
      <c r="K94" s="8"/>
      <c r="L94" s="1558">
        <f>SUM(L91:M93)</f>
        <v>654191182.48175168</v>
      </c>
      <c r="M94" s="1559"/>
      <c r="N94" s="1562">
        <f>SUM(N91:O93)</f>
        <v>677555153.28467143</v>
      </c>
      <c r="O94" s="1563"/>
    </row>
    <row r="95" spans="2:17" ht="12.75" customHeight="1" x14ac:dyDescent="0.25">
      <c r="B95" s="11"/>
      <c r="I95" s="28"/>
      <c r="J95" s="8"/>
      <c r="K95" s="8"/>
      <c r="L95" s="32"/>
      <c r="M95" s="32"/>
      <c r="N95" s="32"/>
      <c r="O95" s="32"/>
    </row>
    <row r="96" spans="2:17" ht="12.75" customHeight="1" x14ac:dyDescent="0.25">
      <c r="B96" s="11"/>
      <c r="I96" s="689"/>
      <c r="J96" s="8"/>
      <c r="K96" s="8"/>
      <c r="L96" s="32"/>
      <c r="M96" s="32"/>
      <c r="N96" s="32"/>
      <c r="O96" s="32"/>
    </row>
    <row r="97" spans="2:19" ht="12.75" customHeight="1" x14ac:dyDescent="0.25">
      <c r="B97" s="52" t="s">
        <v>145</v>
      </c>
      <c r="C97" s="21"/>
      <c r="D97" s="21"/>
      <c r="E97" s="21"/>
      <c r="F97" s="21"/>
      <c r="G97" s="21"/>
      <c r="H97" s="21"/>
      <c r="I97" s="21"/>
      <c r="J97" s="22"/>
      <c r="K97" s="22"/>
      <c r="L97" s="22"/>
      <c r="M97" s="21"/>
      <c r="N97" s="21"/>
      <c r="O97" s="21"/>
      <c r="P97" s="21"/>
      <c r="Q97" s="21"/>
      <c r="R97" s="21"/>
      <c r="S97" s="21"/>
    </row>
    <row r="98" spans="2:19" ht="12.75" customHeight="1" x14ac:dyDescent="0.25">
      <c r="B98" s="36"/>
      <c r="C98" s="37"/>
      <c r="D98" s="37"/>
      <c r="E98" s="37"/>
      <c r="F98" s="37"/>
      <c r="G98" s="37"/>
      <c r="H98" s="37"/>
      <c r="I98" s="28"/>
      <c r="J98" s="8"/>
      <c r="K98" s="8"/>
      <c r="L98" s="32"/>
      <c r="M98" s="32"/>
      <c r="N98" s="32"/>
      <c r="O98" s="32"/>
    </row>
    <row r="99" spans="2:19" ht="12.75" customHeight="1" x14ac:dyDescent="0.25">
      <c r="I99" s="9"/>
      <c r="J99" s="8"/>
      <c r="K99" s="8"/>
      <c r="L99" s="1574" t="s">
        <v>483</v>
      </c>
      <c r="M99" s="1575"/>
      <c r="N99" s="1575"/>
      <c r="O99" s="1576"/>
    </row>
    <row r="100" spans="2:19" ht="12.75" customHeight="1" x14ac:dyDescent="0.25">
      <c r="I100" s="689"/>
      <c r="J100" s="8"/>
      <c r="K100" s="8"/>
      <c r="L100" s="1577" t="s">
        <v>201</v>
      </c>
      <c r="M100" s="1578"/>
      <c r="N100" s="1579" t="s">
        <v>202</v>
      </c>
      <c r="O100" s="1580"/>
    </row>
    <row r="101" spans="2:19" ht="12.75" customHeight="1" x14ac:dyDescent="0.25">
      <c r="B101" s="11" t="s">
        <v>304</v>
      </c>
      <c r="I101" s="689"/>
      <c r="J101" s="8"/>
      <c r="K101" s="8"/>
      <c r="L101" s="696"/>
      <c r="M101" s="697"/>
      <c r="N101" s="684"/>
      <c r="O101" s="685"/>
    </row>
    <row r="102" spans="2:19" ht="12.75" customHeight="1" x14ac:dyDescent="0.25">
      <c r="B102" s="11"/>
      <c r="C102" s="8" t="s">
        <v>305</v>
      </c>
      <c r="I102" s="689"/>
      <c r="J102" s="8"/>
      <c r="K102" s="8"/>
      <c r="L102" s="749"/>
      <c r="M102" s="750"/>
      <c r="N102" s="751"/>
      <c r="O102" s="752"/>
    </row>
    <row r="103" spans="2:19" ht="12.75" customHeight="1" x14ac:dyDescent="0.25">
      <c r="D103" s="8" t="str">
        <f>CONCATENATE('III. Inputs, Renewable Energy'!D82," Instruments")</f>
        <v>Power Market Risk Instruments</v>
      </c>
      <c r="I103" s="686"/>
      <c r="J103" s="1071" t="s">
        <v>437</v>
      </c>
      <c r="K103" s="706"/>
      <c r="L103" s="1532">
        <f>IF('III. Inputs, Renewable Energy'!S101="N",0,IF('III. Inputs, Renewable Energy'!Q154="Lump Sum", 'III. Inputs, Renewable Energy'!R154, 'III. Inputs, Renewable Energy'!U154))</f>
        <v>776064.38062053395</v>
      </c>
      <c r="M103" s="1533"/>
      <c r="N103" s="1534">
        <f>IF('III. Inputs, Renewable Energy'!V101="N",0,IF('III. Inputs, Renewable Energy'!Q154="Lump Sum", 'III. Inputs, Renewable Energy'!V154, 'III. Inputs, Renewable Energy'!Y154))</f>
        <v>2210882.3818184948</v>
      </c>
      <c r="O103" s="1535"/>
      <c r="Q103" s="1200"/>
    </row>
    <row r="104" spans="2:19" ht="12.75" customHeight="1" x14ac:dyDescent="0.25">
      <c r="D104" s="8" t="str">
        <f>CONCATENATE('III. Inputs, Renewable Energy'!D83," Instruments")</f>
        <v>Permits Risk Instruments</v>
      </c>
      <c r="I104" s="686"/>
      <c r="J104" s="1071" t="s">
        <v>437</v>
      </c>
      <c r="K104" s="706"/>
      <c r="L104" s="1532">
        <f>IF('III. Inputs, Renewable Energy'!S102="N",0,IF('III. Inputs, Renewable Energy'!Q155="Lump Sum", 'III. Inputs, Renewable Energy'!R155, 'III. Inputs, Renewable Energy'!U155))</f>
        <v>0</v>
      </c>
      <c r="M104" s="1533"/>
      <c r="N104" s="1534">
        <f>IF('III. Inputs, Renewable Energy'!V102="N",0,IF('III. Inputs, Renewable Energy'!Q155="Lump Sum", 'III. Inputs, Renewable Energy'!V155, 'III. Inputs, Renewable Energy'!Y155))</f>
        <v>415920.26083712385</v>
      </c>
      <c r="O104" s="1535"/>
    </row>
    <row r="105" spans="2:19" ht="12.75" customHeight="1" x14ac:dyDescent="0.25">
      <c r="D105" s="8" t="str">
        <f>CONCATENATE('III. Inputs, Renewable Energy'!D84," Instruments")</f>
        <v>Social Acceptance Risk Instruments</v>
      </c>
      <c r="I105" s="686"/>
      <c r="J105" s="1071" t="s">
        <v>437</v>
      </c>
      <c r="K105" s="706"/>
      <c r="L105" s="1532">
        <f>IF('III. Inputs, Renewable Energy'!S103="N",0,IF('III. Inputs, Renewable Energy'!Q156="Lump Sum", 'III. Inputs, Renewable Energy'!R156, 'III. Inputs, Renewable Energy'!U156))</f>
        <v>0</v>
      </c>
      <c r="M105" s="1533"/>
      <c r="N105" s="1534">
        <f>IF('III. Inputs, Renewable Energy'!V103="N",0,IF('III. Inputs, Renewable Energy'!Q156="Lump Sum", 'III. Inputs, Renewable Energy'!V156, 'III. Inputs, Renewable Energy'!Y156))</f>
        <v>512814.19237781159</v>
      </c>
      <c r="O105" s="1535"/>
    </row>
    <row r="106" spans="2:19" ht="12.75" customHeight="1" x14ac:dyDescent="0.25">
      <c r="D106" s="8" t="str">
        <f>CONCATENATE('III. Inputs, Renewable Energy'!D85," Instruments")</f>
        <v>Resource &amp; Technology Risk Instruments</v>
      </c>
      <c r="I106" s="686"/>
      <c r="J106" s="1071" t="s">
        <v>437</v>
      </c>
      <c r="K106" s="706"/>
      <c r="L106" s="1532">
        <f>IF('III. Inputs, Renewable Energy'!S104="N",0,IF('III. Inputs, Renewable Energy'!Q157="Lump Sum", 'III. Inputs, Renewable Energy'!R157, 'III. Inputs, Renewable Energy'!U157))</f>
        <v>0</v>
      </c>
      <c r="M106" s="1533"/>
      <c r="N106" s="1534">
        <f>IF('III. Inputs, Renewable Energy'!V104="N",0,IF('III. Inputs, Renewable Energy'!Q157="Lump Sum", 'III. Inputs, Renewable Energy'!V157, 'III. Inputs, Renewable Energy'!Y157))</f>
        <v>412157.92203996191</v>
      </c>
      <c r="O106" s="1535"/>
    </row>
    <row r="107" spans="2:19" ht="12.75" customHeight="1" x14ac:dyDescent="0.25">
      <c r="D107" s="8" t="str">
        <f>CONCATENATE('III. Inputs, Renewable Energy'!D86," Instruments")</f>
        <v>Grid/Transmission Risk Instruments</v>
      </c>
      <c r="I107" s="686"/>
      <c r="J107" s="1071" t="s">
        <v>437</v>
      </c>
      <c r="K107" s="706"/>
      <c r="L107" s="1532">
        <f>IF('III. Inputs, Renewable Energy'!S105="N",0,IF('III. Inputs, Renewable Energy'!Q158="Lump Sum", 'III. Inputs, Renewable Energy'!R158, 'III. Inputs, Renewable Energy'!U158))</f>
        <v>0</v>
      </c>
      <c r="M107" s="1533"/>
      <c r="N107" s="1534">
        <f>IF('III. Inputs, Renewable Energy'!V105="N",0,IF('III. Inputs, Renewable Energy'!Q158="Lump Sum", 'III. Inputs, Renewable Energy'!V158, 'III. Inputs, Renewable Energy'!Y158))</f>
        <v>419270.04894888593</v>
      </c>
      <c r="O107" s="1535"/>
    </row>
    <row r="108" spans="2:19" ht="12.75" customHeight="1" x14ac:dyDescent="0.25">
      <c r="D108" s="8" t="str">
        <f>CONCATENATE('III. Inputs, Renewable Energy'!D87," Instruments")</f>
        <v>Counterparty Risk Instruments</v>
      </c>
      <c r="I108" s="686"/>
      <c r="J108" s="1071" t="s">
        <v>437</v>
      </c>
      <c r="K108" s="706"/>
      <c r="L108" s="1532">
        <f>IF('III. Inputs, Renewable Energy'!S106="N",0,IF('III. Inputs, Renewable Energy'!Q159="Lump Sum", 'III. Inputs, Renewable Energy'!R159, 'III. Inputs, Renewable Energy'!U159))</f>
        <v>0</v>
      </c>
      <c r="M108" s="1533"/>
      <c r="N108" s="1534">
        <f>IF('III. Inputs, Renewable Energy'!V106="N",0,IF('III. Inputs, Renewable Energy'!Q159="Lump Sum", 'III. Inputs, Renewable Energy'!V159, 'III. Inputs, Renewable Energy'!Y159))</f>
        <v>186150.84223674578</v>
      </c>
      <c r="O108" s="1535"/>
    </row>
    <row r="109" spans="2:19" ht="12.75" customHeight="1" x14ac:dyDescent="0.25">
      <c r="D109" s="8" t="str">
        <f>CONCATENATE('III. Inputs, Renewable Energy'!D88," Instruments")</f>
        <v>Financial Sector Risk Instruments</v>
      </c>
      <c r="I109" s="686"/>
      <c r="J109" s="1071" t="s">
        <v>437</v>
      </c>
      <c r="K109" s="706"/>
      <c r="L109" s="1532">
        <f>IF('III. Inputs, Renewable Energy'!S107="N",0,IF('III. Inputs, Renewable Energy'!Q160="Lump Sum", 'III. Inputs, Renewable Energy'!R160, 'III. Inputs, Renewable Energy'!U160))</f>
        <v>0</v>
      </c>
      <c r="M109" s="1533"/>
      <c r="N109" s="1534">
        <f>IF('III. Inputs, Renewable Energy'!V107="N",0,IF('III. Inputs, Renewable Energy'!Q160="Lump Sum", 'III. Inputs, Renewable Energy'!V160, 'III. Inputs, Renewable Energy'!Y160))</f>
        <v>231584.42452103179</v>
      </c>
      <c r="O109" s="1535"/>
    </row>
    <row r="110" spans="2:19" ht="12.75" customHeight="1" x14ac:dyDescent="0.25">
      <c r="C110" s="11" t="s">
        <v>366</v>
      </c>
      <c r="I110" s="689"/>
      <c r="J110" s="1072" t="s">
        <v>437</v>
      </c>
      <c r="K110" s="706"/>
      <c r="L110" s="1551">
        <f>SUM(L103:M109)</f>
        <v>776064.38062053395</v>
      </c>
      <c r="M110" s="1552"/>
      <c r="N110" s="1553">
        <f>SUM(N103:O109)</f>
        <v>4388780.0727800559</v>
      </c>
      <c r="O110" s="1554"/>
    </row>
    <row r="111" spans="2:19" ht="12.75" customHeight="1" x14ac:dyDescent="0.25">
      <c r="I111" s="686"/>
      <c r="J111" s="686"/>
      <c r="K111" s="686"/>
      <c r="L111" s="1547"/>
      <c r="M111" s="1548"/>
      <c r="N111" s="1555"/>
      <c r="O111" s="1556"/>
    </row>
    <row r="112" spans="2:19" ht="12.75" customHeight="1" x14ac:dyDescent="0.25">
      <c r="B112" s="11" t="s">
        <v>55</v>
      </c>
      <c r="I112" s="689"/>
      <c r="J112" s="8"/>
      <c r="K112" s="8"/>
      <c r="L112" s="1549"/>
      <c r="M112" s="1550"/>
      <c r="N112" s="1564"/>
      <c r="O112" s="1565"/>
    </row>
    <row r="113" spans="2:19" ht="12.75" customHeight="1" x14ac:dyDescent="0.25">
      <c r="B113" s="11"/>
      <c r="C113" s="8" t="s">
        <v>463</v>
      </c>
      <c r="I113" s="1100"/>
      <c r="J113" s="8"/>
      <c r="K113" s="8"/>
      <c r="L113" s="1101"/>
      <c r="M113" s="1102"/>
      <c r="N113" s="1094"/>
      <c r="O113" s="1095"/>
    </row>
    <row r="114" spans="2:19" ht="12.75" customHeight="1" x14ac:dyDescent="0.25">
      <c r="B114" s="11"/>
      <c r="D114" s="8" t="str">
        <f>CONCATENATE('III. Inputs, Renewable Energy'!D86," Instruments")</f>
        <v>Grid/Transmission Risk Instruments</v>
      </c>
      <c r="I114" s="1100"/>
      <c r="J114" s="1093" t="s">
        <v>437</v>
      </c>
      <c r="K114" s="8"/>
      <c r="L114" s="1532">
        <f>IF('III. Inputs, Renewable Energy'!S113="N",0,IF('III. Inputs, Renewable Energy'!Q167="Lump Sum", 'III. Inputs, Renewable Energy'!R167, 'III. Inputs, Renewable Energy'!U167))</f>
        <v>0</v>
      </c>
      <c r="M114" s="1533"/>
      <c r="N114" s="1534">
        <f>IF('III. Inputs, Renewable Energy'!V113="N",0,IF('III. Inputs, Renewable Energy'!Q167="Lump Sum", 'III. Inputs, Renewable Energy'!V167, 'III. Inputs, Renewable Energy'!Y167))</f>
        <v>11641969.258038964</v>
      </c>
      <c r="O114" s="1535"/>
    </row>
    <row r="115" spans="2:19" ht="12.75" customHeight="1" x14ac:dyDescent="0.25">
      <c r="B115" s="11"/>
      <c r="D115" s="8" t="str">
        <f>CONCATENATE('III. Inputs, Renewable Energy'!D87," Instruments")</f>
        <v>Counterparty Risk Instruments</v>
      </c>
      <c r="I115" s="1100"/>
      <c r="J115" s="1093" t="s">
        <v>437</v>
      </c>
      <c r="K115" s="8"/>
      <c r="L115" s="1532">
        <f>IF('III. Inputs, Renewable Energy'!S114="N",0,IF('III. Inputs, Renewable Energy'!Q168="Lump Sum", 'III. Inputs, Renewable Energy'!R168, 'III. Inputs, Renewable Energy'!U168))</f>
        <v>0</v>
      </c>
      <c r="M115" s="1533"/>
      <c r="N115" s="1534">
        <f>IF('III. Inputs, Renewable Energy'!V114="N",0,IF('III. Inputs, Renewable Energy'!Q168="Lump Sum", 'III. Inputs, Renewable Energy'!V168, 'III. Inputs, Renewable Energy'!Y168))</f>
        <v>0</v>
      </c>
      <c r="O115" s="1535"/>
    </row>
    <row r="116" spans="2:19" ht="12.75" customHeight="1" x14ac:dyDescent="0.25">
      <c r="B116" s="11"/>
      <c r="D116" s="8" t="str">
        <f>CONCATENATE('III. Inputs, Renewable Energy'!D88," Instruments")</f>
        <v>Financial Sector Risk Instruments</v>
      </c>
      <c r="I116" s="1100"/>
      <c r="J116" s="1093"/>
      <c r="K116" s="8"/>
      <c r="L116" s="1101"/>
      <c r="M116" s="1102"/>
      <c r="N116" s="1094"/>
      <c r="O116" s="1095"/>
    </row>
    <row r="117" spans="2:19" ht="12.75" customHeight="1" x14ac:dyDescent="0.25">
      <c r="E117" s="8" t="s">
        <v>218</v>
      </c>
      <c r="I117" s="686"/>
      <c r="J117" s="1071" t="s">
        <v>437</v>
      </c>
      <c r="K117" s="706"/>
      <c r="L117" s="1532">
        <f>L91*'III. Inputs, Renewable Energy'!U198/'III. Inputs, Renewable Energy'!$U$206</f>
        <v>0</v>
      </c>
      <c r="M117" s="1533"/>
      <c r="N117" s="1560">
        <f>N91*'III. Inputs, Renewable Energy'!$U$198/'III. Inputs, Renewable Energy'!$U$206</f>
        <v>96793593.326381639</v>
      </c>
      <c r="O117" s="1561"/>
    </row>
    <row r="118" spans="2:19" ht="12.75" customHeight="1" x14ac:dyDescent="0.25">
      <c r="E118" s="8" t="s">
        <v>301</v>
      </c>
      <c r="I118" s="686"/>
      <c r="J118" s="1071" t="s">
        <v>437</v>
      </c>
      <c r="K118" s="706"/>
      <c r="L118" s="1532">
        <f>(L92*'III. Inputs, Renewable Energy'!S183*'III. Inputs, Renewable Energy'!U200/'III. Inputs, Renewable Energy'!U206)</f>
        <v>0</v>
      </c>
      <c r="M118" s="1533"/>
      <c r="N118" s="1534">
        <f>(N92*'III. Inputs, Renewable Energy'!V183*'III. Inputs, Renewable Energy'!$U$200/'III. Inputs, Renewable Energy'!$U$206)</f>
        <v>0</v>
      </c>
      <c r="O118" s="1535"/>
    </row>
    <row r="119" spans="2:19" ht="12.75" customHeight="1" x14ac:dyDescent="0.25">
      <c r="D119" s="8" t="str">
        <f>CONCATENATE('III. Inputs, Renewable Energy'!D89," Instruments")</f>
        <v>Political Risk Instruments</v>
      </c>
      <c r="I119" s="686"/>
      <c r="J119" s="1071" t="s">
        <v>437</v>
      </c>
      <c r="K119" s="706"/>
      <c r="L119" s="1532">
        <f>IF('III. Inputs, Renewable Energy'!S188&gt;0, 'III. Inputs, Renewable Energy'!$S$188*'III. Inputs, Renewable Energy'!$U$202*'I. Summary Outputs'!L87/'III. Inputs, Renewable Energy'!U206, 0)</f>
        <v>0</v>
      </c>
      <c r="M119" s="1533"/>
      <c r="N119" s="1534">
        <f>IF('III. Inputs, Renewable Energy'!V188&gt;0, 'III. Inputs, Renewable Energy'!$V$188*'III. Inputs, Renewable Energy'!$U$202*'I. Summary Outputs'!N87/'III. Inputs, Renewable Energy'!$U$206,0)</f>
        <v>0</v>
      </c>
      <c r="O119" s="1535"/>
      <c r="Q119" s="31"/>
      <c r="R119" s="31"/>
    </row>
    <row r="120" spans="2:19" ht="12.75" customHeight="1" x14ac:dyDescent="0.25">
      <c r="D120" s="8" t="str">
        <f>CONCATENATE('III. Inputs, Renewable Energy'!D90," Instruments")</f>
        <v>Currency/Macro Risk Instruments</v>
      </c>
      <c r="I120" s="1071"/>
      <c r="J120" s="1071" t="s">
        <v>437</v>
      </c>
      <c r="K120" s="1073"/>
      <c r="L120" s="1532">
        <f>IF('III. Inputs, Renewable Energy'!S120="N",0,IF('III. Inputs, Renewable Energy'!Q169="Lump Sum", 'III. Inputs, Renewable Energy'!R169, 'III. Inputs, Renewable Energy'!U169))</f>
        <v>0</v>
      </c>
      <c r="M120" s="1533"/>
      <c r="N120" s="1534">
        <f>IF('III. Inputs, Renewable Energy'!V120="N",0,IF('III. Inputs, Renewable Energy'!Q169="Lump Sum", 'III. Inputs, Renewable Energy'!V169, 'III. Inputs, Renewable Energy'!Y169))</f>
        <v>32154938.700440891</v>
      </c>
      <c r="O120" s="1535"/>
      <c r="Q120" s="31"/>
      <c r="R120" s="31"/>
    </row>
    <row r="121" spans="2:19" ht="12.75" customHeight="1" x14ac:dyDescent="0.25">
      <c r="C121" s="11" t="s">
        <v>367</v>
      </c>
      <c r="I121" s="689"/>
      <c r="J121" s="1072" t="s">
        <v>437</v>
      </c>
      <c r="K121" s="706"/>
      <c r="L121" s="1551">
        <f>SUM(L114:M120)</f>
        <v>0</v>
      </c>
      <c r="M121" s="1552"/>
      <c r="N121" s="1553">
        <f>SUM(N114:O120)</f>
        <v>140590501.28486151</v>
      </c>
      <c r="O121" s="1554"/>
    </row>
    <row r="122" spans="2:19" ht="12.75" customHeight="1" x14ac:dyDescent="0.25">
      <c r="I122" s="686"/>
      <c r="J122" s="706"/>
      <c r="K122" s="706"/>
      <c r="L122" s="1589"/>
      <c r="M122" s="1590"/>
      <c r="N122" s="1564"/>
      <c r="O122" s="1565"/>
    </row>
    <row r="123" spans="2:19" ht="12.75" customHeight="1" x14ac:dyDescent="0.25">
      <c r="B123" s="11" t="s">
        <v>302</v>
      </c>
      <c r="I123" s="689"/>
      <c r="J123" s="706"/>
      <c r="K123" s="706"/>
      <c r="L123" s="1549"/>
      <c r="M123" s="1550"/>
      <c r="N123" s="1555"/>
      <c r="O123" s="1556"/>
    </row>
    <row r="124" spans="2:19" ht="12.75" customHeight="1" x14ac:dyDescent="0.25">
      <c r="C124" s="26" t="str">
        <f>CONCATENATE("Present Value of FIT/PPA Price Premium", " Over ", $L$30, " years")</f>
        <v>Present Value of FIT/PPA Price Premium Over 20 years</v>
      </c>
      <c r="D124" s="26"/>
      <c r="E124" s="26"/>
      <c r="F124" s="26"/>
      <c r="G124" s="26"/>
      <c r="H124" s="26"/>
      <c r="I124" s="756"/>
      <c r="J124" s="1071" t="s">
        <v>437</v>
      </c>
      <c r="K124" s="706"/>
      <c r="L124" s="1558">
        <f>IF(L70&lt;0,0,PV($L$34,$L$30,(-L70*$L$28*1000)))</f>
        <v>634453380.10621774</v>
      </c>
      <c r="M124" s="1559"/>
      <c r="N124" s="1562">
        <f>IF(N70&lt;0,0,PV($L$34,$L$30,(-N70*$L$28*1000)))</f>
        <v>275557055.79840624</v>
      </c>
      <c r="O124" s="1563"/>
    </row>
    <row r="125" spans="2:19" ht="12.75" customHeight="1" x14ac:dyDescent="0.25">
      <c r="J125" s="28"/>
      <c r="K125" s="28"/>
      <c r="L125" s="1595"/>
      <c r="M125" s="1595"/>
      <c r="N125" s="40"/>
    </row>
    <row r="126" spans="2:19" ht="12.75" customHeight="1" x14ac:dyDescent="0.25">
      <c r="I126" s="11"/>
      <c r="J126" s="689"/>
      <c r="K126" s="689"/>
      <c r="L126" s="689"/>
      <c r="M126" s="689"/>
      <c r="N126" s="40"/>
    </row>
    <row r="127" spans="2:19" ht="12.75" customHeight="1" x14ac:dyDescent="0.25">
      <c r="B127" s="52" t="s">
        <v>303</v>
      </c>
      <c r="C127" s="21"/>
      <c r="D127" s="21"/>
      <c r="E127" s="21"/>
      <c r="F127" s="21"/>
      <c r="G127" s="21"/>
      <c r="H127" s="21"/>
      <c r="I127" s="21"/>
      <c r="J127" s="22"/>
      <c r="K127" s="22"/>
      <c r="L127" s="22"/>
      <c r="M127" s="21"/>
      <c r="N127" s="21"/>
      <c r="O127" s="21"/>
      <c r="P127" s="21"/>
      <c r="Q127" s="21"/>
      <c r="R127" s="21"/>
      <c r="S127" s="21"/>
    </row>
    <row r="128" spans="2:19" ht="12.75" customHeight="1" x14ac:dyDescent="0.25">
      <c r="I128" s="11"/>
      <c r="J128" s="689"/>
      <c r="K128" s="689"/>
      <c r="L128" s="689"/>
      <c r="M128" s="689"/>
      <c r="N128" s="40"/>
    </row>
    <row r="129" spans="1:16" ht="12.75" customHeight="1" x14ac:dyDescent="0.25">
      <c r="J129" s="28"/>
      <c r="K129" s="28"/>
      <c r="L129" s="1574" t="s">
        <v>483</v>
      </c>
      <c r="M129" s="1575"/>
      <c r="N129" s="1575"/>
      <c r="O129" s="1576"/>
    </row>
    <row r="130" spans="1:16" ht="12.75" customHeight="1" x14ac:dyDescent="0.25">
      <c r="C130" s="11"/>
      <c r="D130" s="11"/>
      <c r="E130" s="11"/>
      <c r="F130" s="11"/>
      <c r="G130" s="11"/>
      <c r="H130" s="11"/>
      <c r="J130" s="689"/>
      <c r="K130" s="689"/>
      <c r="L130" s="1577" t="s">
        <v>201</v>
      </c>
      <c r="M130" s="1578"/>
      <c r="N130" s="1579" t="s">
        <v>202</v>
      </c>
      <c r="O130" s="1580"/>
    </row>
    <row r="131" spans="1:16" ht="12.75" customHeight="1" x14ac:dyDescent="0.25">
      <c r="C131" s="11" t="s">
        <v>146</v>
      </c>
      <c r="D131" s="11"/>
      <c r="E131" s="11"/>
      <c r="F131" s="11"/>
      <c r="G131" s="11"/>
      <c r="H131" s="11"/>
      <c r="J131" s="689"/>
      <c r="K131" s="689"/>
      <c r="L131" s="1587"/>
      <c r="M131" s="1588"/>
      <c r="N131" s="1583"/>
      <c r="O131" s="1584"/>
    </row>
    <row r="132" spans="1:16" ht="12.75" customHeight="1" x14ac:dyDescent="0.25">
      <c r="C132" s="11"/>
      <c r="D132" s="11" t="s">
        <v>246</v>
      </c>
      <c r="E132" s="11"/>
      <c r="F132" s="11"/>
      <c r="G132" s="11"/>
      <c r="H132" s="11"/>
      <c r="J132" s="689"/>
      <c r="K132" s="689"/>
      <c r="L132" s="1585">
        <f>IF(SUM(L134:M136)=0, "NA", L133/SUM(L134:M136))</f>
        <v>1.4712145984853697</v>
      </c>
      <c r="M132" s="1586"/>
      <c r="N132" s="1581">
        <f>IF(SUM(N134:O136)=0, "NA", N133/SUM(N134:O136))</f>
        <v>2.2223022115922477</v>
      </c>
      <c r="O132" s="1582"/>
    </row>
    <row r="133" spans="1:16" ht="12.75" customHeight="1" x14ac:dyDescent="0.25">
      <c r="D133" s="8" t="s">
        <v>490</v>
      </c>
      <c r="J133" s="1071" t="s">
        <v>437</v>
      </c>
      <c r="K133" s="686"/>
      <c r="L133" s="1547">
        <f>L83</f>
        <v>934558832.11678815</v>
      </c>
      <c r="M133" s="1548"/>
      <c r="N133" s="1572">
        <f>N83</f>
        <v>934558832.11678815</v>
      </c>
      <c r="O133" s="1573"/>
    </row>
    <row r="134" spans="1:16" ht="12.75" customHeight="1" x14ac:dyDescent="0.25">
      <c r="D134" s="26" t="str">
        <f>CONCATENATE("Present Value of FIT/PPA Price Premium", " Over ", $L$30, " years")</f>
        <v>Present Value of FIT/PPA Price Premium Over 20 years</v>
      </c>
      <c r="J134" s="1071" t="s">
        <v>437</v>
      </c>
      <c r="K134" s="686"/>
      <c r="L134" s="1547">
        <f>L124</f>
        <v>634453380.10621774</v>
      </c>
      <c r="M134" s="1548"/>
      <c r="N134" s="1572">
        <f>N124</f>
        <v>275557055.79840624</v>
      </c>
      <c r="O134" s="1573"/>
    </row>
    <row r="135" spans="1:16" ht="12.75" customHeight="1" x14ac:dyDescent="0.25">
      <c r="D135" s="8" t="s">
        <v>307</v>
      </c>
      <c r="J135" s="1071" t="s">
        <v>437</v>
      </c>
      <c r="K135" s="686"/>
      <c r="L135" s="1547">
        <f>L121</f>
        <v>0</v>
      </c>
      <c r="M135" s="1548"/>
      <c r="N135" s="1572">
        <f>N121</f>
        <v>140590501.28486151</v>
      </c>
      <c r="O135" s="1573"/>
    </row>
    <row r="136" spans="1:16" ht="12.75" customHeight="1" x14ac:dyDescent="0.25">
      <c r="D136" s="8" t="s">
        <v>306</v>
      </c>
      <c r="J136" s="1071" t="s">
        <v>437</v>
      </c>
      <c r="K136" s="686"/>
      <c r="L136" s="1547">
        <f>L110</f>
        <v>776064.38062053395</v>
      </c>
      <c r="M136" s="1548"/>
      <c r="N136" s="1572">
        <f>N110</f>
        <v>4388780.0727800559</v>
      </c>
      <c r="O136" s="1573"/>
    </row>
    <row r="137" spans="1:16" ht="12.75" customHeight="1" x14ac:dyDescent="0.25">
      <c r="J137" s="686"/>
      <c r="K137" s="686"/>
      <c r="L137" s="691"/>
      <c r="M137" s="690"/>
      <c r="N137" s="692"/>
      <c r="O137" s="693"/>
    </row>
    <row r="138" spans="1:16" ht="12.75" customHeight="1" x14ac:dyDescent="0.25">
      <c r="C138" s="11" t="s">
        <v>147</v>
      </c>
      <c r="J138" s="686"/>
      <c r="K138" s="686"/>
      <c r="L138" s="691"/>
      <c r="M138" s="690"/>
      <c r="N138" s="692"/>
      <c r="O138" s="693"/>
    </row>
    <row r="139" spans="1:16" ht="12.75" customHeight="1" x14ac:dyDescent="0.25">
      <c r="D139" s="11" t="s">
        <v>246</v>
      </c>
      <c r="E139" s="11"/>
      <c r="F139" s="11"/>
      <c r="G139" s="11"/>
      <c r="H139" s="11"/>
      <c r="J139" s="689"/>
      <c r="K139" s="689"/>
      <c r="L139" s="1598"/>
      <c r="M139" s="1590"/>
      <c r="N139" s="1581">
        <f>IF(N140+N141=0, "NA", N143/(N140+N141))</f>
        <v>2.4755007815390502</v>
      </c>
      <c r="O139" s="1582"/>
    </row>
    <row r="140" spans="1:16" ht="12.75" customHeight="1" x14ac:dyDescent="0.25">
      <c r="D140" s="8" t="s">
        <v>307</v>
      </c>
      <c r="J140" s="1071" t="s">
        <v>437</v>
      </c>
      <c r="K140" s="686"/>
      <c r="L140" s="1547">
        <f>L121</f>
        <v>0</v>
      </c>
      <c r="M140" s="1548"/>
      <c r="N140" s="1572">
        <f>N121</f>
        <v>140590501.28486151</v>
      </c>
      <c r="O140" s="1573"/>
    </row>
    <row r="141" spans="1:16" ht="12.75" customHeight="1" x14ac:dyDescent="0.25">
      <c r="D141" s="8" t="s">
        <v>306</v>
      </c>
      <c r="J141" s="1071" t="s">
        <v>437</v>
      </c>
      <c r="K141" s="686"/>
      <c r="L141" s="1547">
        <f>L110</f>
        <v>776064.38062053395</v>
      </c>
      <c r="M141" s="1548"/>
      <c r="N141" s="1572">
        <f>N110</f>
        <v>4388780.0727800559</v>
      </c>
      <c r="O141" s="1573"/>
    </row>
    <row r="142" spans="1:16" ht="12.75" customHeight="1" x14ac:dyDescent="0.25">
      <c r="D142" s="1557" t="str">
        <f>CONCATENATE("Present Value of Total Incremental Cost", " Over ", $L$30, " Years")</f>
        <v>Present Value of Total Incremental Cost Over 20 Years</v>
      </c>
      <c r="E142" s="1557"/>
      <c r="F142" s="1557"/>
      <c r="G142" s="1557"/>
      <c r="H142" s="1557"/>
      <c r="I142" s="1557"/>
      <c r="J142" s="1071" t="s">
        <v>437</v>
      </c>
      <c r="K142" s="686"/>
      <c r="L142" s="1547">
        <f>L72</f>
        <v>634453380.10621774</v>
      </c>
      <c r="M142" s="1548"/>
      <c r="N142" s="1572">
        <f>N72</f>
        <v>275557055.79840624</v>
      </c>
      <c r="O142" s="1573"/>
      <c r="P142" s="29"/>
    </row>
    <row r="143" spans="1:16" ht="12.75" customHeight="1" x14ac:dyDescent="0.25">
      <c r="A143" s="757"/>
      <c r="D143" s="1557" t="str">
        <f>CONCATENATE("Present Value of Total Savings Due to Derisking", " Over ", $L$30, " Years")</f>
        <v>Present Value of Total Savings Due to Derisking Over 20 Years</v>
      </c>
      <c r="E143" s="1557"/>
      <c r="F143" s="1557"/>
      <c r="G143" s="1557"/>
      <c r="H143" s="1557"/>
      <c r="I143" s="1557"/>
      <c r="J143" s="1071" t="s">
        <v>437</v>
      </c>
      <c r="K143" s="686"/>
      <c r="L143" s="1598"/>
      <c r="M143" s="1590"/>
      <c r="N143" s="1572">
        <f>-(N142-L142)</f>
        <v>358896324.3078115</v>
      </c>
      <c r="O143" s="1573"/>
    </row>
    <row r="144" spans="1:16" ht="12.75" customHeight="1" x14ac:dyDescent="0.25">
      <c r="J144" s="686"/>
      <c r="K144" s="686"/>
      <c r="L144" s="691"/>
      <c r="M144" s="690"/>
      <c r="N144" s="692"/>
      <c r="O144" s="693"/>
    </row>
    <row r="145" spans="3:15" ht="12.75" customHeight="1" x14ac:dyDescent="0.25">
      <c r="C145" s="11" t="s">
        <v>187</v>
      </c>
      <c r="D145" s="11"/>
      <c r="E145" s="11"/>
      <c r="F145" s="11"/>
      <c r="G145" s="11"/>
      <c r="H145" s="11"/>
      <c r="J145" s="748"/>
      <c r="K145" s="748"/>
      <c r="L145" s="1611"/>
      <c r="M145" s="1612"/>
      <c r="N145" s="1603"/>
      <c r="O145" s="1604"/>
    </row>
    <row r="146" spans="3:15" ht="12.75" customHeight="1" x14ac:dyDescent="0.25">
      <c r="D146" s="8" t="s">
        <v>491</v>
      </c>
      <c r="J146" s="686" t="s">
        <v>435</v>
      </c>
      <c r="K146" s="686"/>
      <c r="L146" s="1609">
        <f>L63</f>
        <v>9.8897241760966093E-2</v>
      </c>
      <c r="M146" s="1610"/>
      <c r="N146" s="1605">
        <f>N63</f>
        <v>7.6615333038968239E-2</v>
      </c>
      <c r="O146" s="1606"/>
    </row>
    <row r="147" spans="3:15" ht="12.75" customHeight="1" x14ac:dyDescent="0.25">
      <c r="D147" s="8" t="s">
        <v>492</v>
      </c>
      <c r="J147" s="686" t="s">
        <v>16</v>
      </c>
      <c r="K147" s="686"/>
      <c r="L147" s="698"/>
      <c r="M147" s="690"/>
      <c r="N147" s="1599">
        <f>IF(L146=0,"NA",IF(OR(N146&lt;0,L146&lt;0),-((N146/L146)-1),(N146/L146)-1))</f>
        <v>-0.2253036416915758</v>
      </c>
      <c r="O147" s="1600"/>
    </row>
    <row r="148" spans="3:15" ht="12.75" customHeight="1" x14ac:dyDescent="0.25">
      <c r="D148" s="8" t="s">
        <v>277</v>
      </c>
      <c r="J148" s="1071" t="s">
        <v>435</v>
      </c>
      <c r="K148" s="686"/>
      <c r="L148" s="1609">
        <f>L68</f>
        <v>5.9507503425933327E-2</v>
      </c>
      <c r="M148" s="1610"/>
      <c r="N148" s="1607">
        <f>N68</f>
        <v>5.9507503425933327E-2</v>
      </c>
      <c r="O148" s="1608"/>
    </row>
    <row r="149" spans="3:15" ht="12.75" customHeight="1" x14ac:dyDescent="0.25">
      <c r="D149" s="8" t="s">
        <v>308</v>
      </c>
      <c r="J149" s="1071" t="s">
        <v>435</v>
      </c>
      <c r="K149" s="686"/>
      <c r="L149" s="1609">
        <f>L70</f>
        <v>3.9389738335032766E-2</v>
      </c>
      <c r="M149" s="1610"/>
      <c r="N149" s="1607">
        <f>N70</f>
        <v>1.7107829613034913E-2</v>
      </c>
      <c r="O149" s="1608"/>
    </row>
    <row r="150" spans="3:15" ht="12.75" customHeight="1" x14ac:dyDescent="0.25">
      <c r="J150" s="686"/>
      <c r="K150" s="686"/>
      <c r="L150" s="698"/>
      <c r="M150" s="753"/>
      <c r="N150" s="694"/>
      <c r="O150" s="695"/>
    </row>
    <row r="151" spans="3:15" ht="12.75" customHeight="1" x14ac:dyDescent="0.25">
      <c r="C151" s="11" t="s">
        <v>148</v>
      </c>
      <c r="D151" s="11"/>
      <c r="E151" s="11"/>
      <c r="F151" s="11"/>
      <c r="G151" s="11"/>
      <c r="H151" s="11"/>
      <c r="J151" s="748"/>
      <c r="K151" s="748"/>
      <c r="L151" s="1611"/>
      <c r="M151" s="1612"/>
      <c r="N151" s="1603"/>
      <c r="O151" s="1604"/>
    </row>
    <row r="152" spans="3:15" ht="12.75" customHeight="1" x14ac:dyDescent="0.25">
      <c r="E152" s="1414" t="s">
        <v>689</v>
      </c>
      <c r="J152" s="1412" t="s">
        <v>438</v>
      </c>
      <c r="K152" s="686"/>
      <c r="L152" s="1522">
        <f>IF($N$157=0,0,L142/($N$157*1000000))</f>
        <v>50.423794143161373</v>
      </c>
      <c r="M152" s="1523"/>
      <c r="N152" s="1520">
        <f>IF($N$157=0,0,N142/($N$157*1000000))</f>
        <v>21.900162710061192</v>
      </c>
      <c r="O152" s="1521"/>
    </row>
    <row r="153" spans="3:15" ht="12.75" customHeight="1" x14ac:dyDescent="0.25">
      <c r="E153" s="1414" t="s">
        <v>690</v>
      </c>
      <c r="J153" s="1412" t="s">
        <v>438</v>
      </c>
      <c r="K153" s="1412"/>
      <c r="L153" s="1522">
        <f>IF($N$157=0,0,L140/($N$157*1000000))</f>
        <v>0</v>
      </c>
      <c r="M153" s="1523"/>
      <c r="N153" s="1520">
        <f>IF($N$157=0,0,N140/($N$157*1000000))</f>
        <v>11.173565651245944</v>
      </c>
      <c r="O153" s="1521"/>
    </row>
    <row r="154" spans="3:15" ht="12.75" customHeight="1" x14ac:dyDescent="0.25">
      <c r="E154" s="1414" t="s">
        <v>691</v>
      </c>
      <c r="J154" s="1412" t="s">
        <v>438</v>
      </c>
      <c r="K154" s="1412"/>
      <c r="L154" s="1522">
        <f>IF($N$157=0,0,L141/($N$157*1000000))</f>
        <v>6.1678464954664586E-2</v>
      </c>
      <c r="M154" s="1523"/>
      <c r="N154" s="1520">
        <f>IF($N$157=0,0,N141/($N$157*1000000))</f>
        <v>0.34880252807924406</v>
      </c>
      <c r="O154" s="1521"/>
    </row>
    <row r="155" spans="3:15" ht="12.75" customHeight="1" x14ac:dyDescent="0.25">
      <c r="D155" s="11" t="s">
        <v>692</v>
      </c>
      <c r="E155" s="11"/>
      <c r="F155" s="11"/>
      <c r="G155" s="11"/>
      <c r="H155" s="11"/>
      <c r="I155" s="11"/>
      <c r="J155" s="1413" t="s">
        <v>438</v>
      </c>
      <c r="K155" s="1412"/>
      <c r="L155" s="1524">
        <f>SUM(L152:M154)</f>
        <v>50.485472608116041</v>
      </c>
      <c r="M155" s="1525"/>
      <c r="N155" s="1526">
        <f>SUM(N152:O154)</f>
        <v>33.42253088938638</v>
      </c>
      <c r="O155" s="1527"/>
    </row>
    <row r="156" spans="3:15" ht="12.75" customHeight="1" x14ac:dyDescent="0.25">
      <c r="D156" s="8" t="s">
        <v>309</v>
      </c>
      <c r="J156" s="686" t="s">
        <v>16</v>
      </c>
      <c r="K156" s="686"/>
      <c r="L156" s="754"/>
      <c r="M156" s="699"/>
      <c r="N156" s="1601">
        <f>IF(OR(L155=0,L155="NA"),"NA",IF(OR(L155&lt;0,AND(N155&gt;0,L155&lt;0)),-((N155/L155)-1),(N155/L155)-1))</f>
        <v>-0.33797726033343345</v>
      </c>
      <c r="O156" s="1602"/>
    </row>
    <row r="157" spans="3:15" ht="12.75" customHeight="1" x14ac:dyDescent="0.25">
      <c r="D157" s="1557" t="str">
        <f>CONCATENATE("Emission Reductions", " Over ", $L$30, " Years")</f>
        <v>Emission Reductions Over 20 Years</v>
      </c>
      <c r="E157" s="1557"/>
      <c r="F157" s="1557"/>
      <c r="G157" s="1557"/>
      <c r="H157" s="1557"/>
      <c r="I157" s="1557"/>
      <c r="J157" s="762" t="s">
        <v>368</v>
      </c>
      <c r="K157" s="686"/>
      <c r="L157" s="1613">
        <f>$L$28*'II. Inputs, Baseline Energy Mix'!T20*$L$30/1000000</f>
        <v>12.58242048</v>
      </c>
      <c r="M157" s="1614"/>
      <c r="N157" s="1596">
        <f>$L$28*'II. Inputs, Baseline Energy Mix'!T20*$L$30/1000000</f>
        <v>12.58242048</v>
      </c>
      <c r="O157" s="1597"/>
    </row>
    <row r="158" spans="3:15" x14ac:dyDescent="0.25">
      <c r="J158" s="28"/>
      <c r="K158" s="28"/>
      <c r="L158" s="1595"/>
      <c r="M158" s="1595"/>
    </row>
    <row r="159" spans="3:15" x14ac:dyDescent="0.25"/>
    <row r="160" spans="3:15" x14ac:dyDescent="0.25"/>
    <row r="161" spans="14:14" hidden="1" x14ac:dyDescent="0.25">
      <c r="N161" s="41"/>
    </row>
    <row r="162" spans="14:14" x14ac:dyDescent="0.25"/>
    <row r="163" spans="14:14" x14ac:dyDescent="0.25"/>
    <row r="164" spans="14:14" x14ac:dyDescent="0.25"/>
    <row r="165" spans="14:14" x14ac:dyDescent="0.25"/>
    <row r="166" spans="14:14" x14ac:dyDescent="0.25"/>
    <row r="167" spans="14:14" x14ac:dyDescent="0.25"/>
    <row r="168" spans="14:14" x14ac:dyDescent="0.25"/>
    <row r="169" spans="14:14" x14ac:dyDescent="0.25"/>
  </sheetData>
  <sheetProtection formatCells="0" formatColumns="0" formatRows="0" insertColumns="0" insertRows="0"/>
  <mergeCells count="199">
    <mergeCell ref="L13:R13"/>
    <mergeCell ref="U24:W24"/>
    <mergeCell ref="U25:W25"/>
    <mergeCell ref="U27:W27"/>
    <mergeCell ref="U42:W42"/>
    <mergeCell ref="U41:W41"/>
    <mergeCell ref="L41:M41"/>
    <mergeCell ref="L42:M42"/>
    <mergeCell ref="L40:M40"/>
    <mergeCell ref="N40:O40"/>
    <mergeCell ref="L39:O39"/>
    <mergeCell ref="N41:O41"/>
    <mergeCell ref="N42:O42"/>
    <mergeCell ref="L33:O33"/>
    <mergeCell ref="L34:O34"/>
    <mergeCell ref="L24:O24"/>
    <mergeCell ref="L25:O25"/>
    <mergeCell ref="L27:O27"/>
    <mergeCell ref="L30:O30"/>
    <mergeCell ref="L28:O28"/>
    <mergeCell ref="L31:O31"/>
    <mergeCell ref="L26:O26"/>
    <mergeCell ref="L29:O29"/>
    <mergeCell ref="L32:O32"/>
    <mergeCell ref="L70:M70"/>
    <mergeCell ref="N70:O70"/>
    <mergeCell ref="L63:M63"/>
    <mergeCell ref="N63:O63"/>
    <mergeCell ref="L68:M68"/>
    <mergeCell ref="N68:O68"/>
    <mergeCell ref="N46:O46"/>
    <mergeCell ref="N47:O47"/>
    <mergeCell ref="N48:O48"/>
    <mergeCell ref="N49:O49"/>
    <mergeCell ref="N50:O50"/>
    <mergeCell ref="N53:O53"/>
    <mergeCell ref="L46:M46"/>
    <mergeCell ref="L47:M47"/>
    <mergeCell ref="L49:M49"/>
    <mergeCell ref="L48:M48"/>
    <mergeCell ref="L50:M50"/>
    <mergeCell ref="L53:M53"/>
    <mergeCell ref="L61:O61"/>
    <mergeCell ref="L62:M62"/>
    <mergeCell ref="N62:O62"/>
    <mergeCell ref="L54:M54"/>
    <mergeCell ref="L55:M55"/>
    <mergeCell ref="L56:M56"/>
    <mergeCell ref="L83:M83"/>
    <mergeCell ref="L86:M86"/>
    <mergeCell ref="L87:M87"/>
    <mergeCell ref="L88:M88"/>
    <mergeCell ref="L82:M82"/>
    <mergeCell ref="N82:O82"/>
    <mergeCell ref="L81:O81"/>
    <mergeCell ref="L71:M71"/>
    <mergeCell ref="N71:O71"/>
    <mergeCell ref="L72:M72"/>
    <mergeCell ref="N72:O72"/>
    <mergeCell ref="N74:O74"/>
    <mergeCell ref="N75:O75"/>
    <mergeCell ref="N76:O76"/>
    <mergeCell ref="L74:M74"/>
    <mergeCell ref="L75:M75"/>
    <mergeCell ref="L76:M76"/>
    <mergeCell ref="N87:O87"/>
    <mergeCell ref="N83:O83"/>
    <mergeCell ref="N86:O86"/>
    <mergeCell ref="N88:O88"/>
    <mergeCell ref="L84:M84"/>
    <mergeCell ref="L85:M85"/>
    <mergeCell ref="N85:O85"/>
    <mergeCell ref="N104:O104"/>
    <mergeCell ref="L94:M94"/>
    <mergeCell ref="L100:M100"/>
    <mergeCell ref="L103:M103"/>
    <mergeCell ref="L99:O99"/>
    <mergeCell ref="L107:M107"/>
    <mergeCell ref="L89:M89"/>
    <mergeCell ref="L91:M91"/>
    <mergeCell ref="L92:M92"/>
    <mergeCell ref="L93:M93"/>
    <mergeCell ref="N100:O100"/>
    <mergeCell ref="N103:O103"/>
    <mergeCell ref="N89:O89"/>
    <mergeCell ref="N91:O91"/>
    <mergeCell ref="N92:O92"/>
    <mergeCell ref="N93:O93"/>
    <mergeCell ref="N94:O94"/>
    <mergeCell ref="L158:M158"/>
    <mergeCell ref="L135:M135"/>
    <mergeCell ref="L136:M136"/>
    <mergeCell ref="L149:M149"/>
    <mergeCell ref="L151:M151"/>
    <mergeCell ref="L145:M145"/>
    <mergeCell ref="L146:M146"/>
    <mergeCell ref="L148:M148"/>
    <mergeCell ref="L140:M140"/>
    <mergeCell ref="L141:M141"/>
    <mergeCell ref="L142:M142"/>
    <mergeCell ref="L157:M157"/>
    <mergeCell ref="L152:M152"/>
    <mergeCell ref="L153:M153"/>
    <mergeCell ref="N44:O44"/>
    <mergeCell ref="L43:M43"/>
    <mergeCell ref="N43:O43"/>
    <mergeCell ref="L44:M44"/>
    <mergeCell ref="L125:M125"/>
    <mergeCell ref="L123:M123"/>
    <mergeCell ref="L122:M122"/>
    <mergeCell ref="N157:O157"/>
    <mergeCell ref="N139:O139"/>
    <mergeCell ref="L139:M139"/>
    <mergeCell ref="L143:M143"/>
    <mergeCell ref="N143:O143"/>
    <mergeCell ref="N147:O147"/>
    <mergeCell ref="N156:O156"/>
    <mergeCell ref="N151:O151"/>
    <mergeCell ref="N152:O152"/>
    <mergeCell ref="N145:O145"/>
    <mergeCell ref="N146:O146"/>
    <mergeCell ref="N148:O148"/>
    <mergeCell ref="N149:O149"/>
    <mergeCell ref="N141:O141"/>
    <mergeCell ref="N142:O142"/>
    <mergeCell ref="N135:O135"/>
    <mergeCell ref="N136:O136"/>
    <mergeCell ref="D157:I157"/>
    <mergeCell ref="N54:O54"/>
    <mergeCell ref="N55:O55"/>
    <mergeCell ref="N56:O56"/>
    <mergeCell ref="L57:M57"/>
    <mergeCell ref="N57:O57"/>
    <mergeCell ref="N140:O140"/>
    <mergeCell ref="L133:M133"/>
    <mergeCell ref="L134:M134"/>
    <mergeCell ref="L129:O129"/>
    <mergeCell ref="L130:M130"/>
    <mergeCell ref="N130:O130"/>
    <mergeCell ref="N132:O132"/>
    <mergeCell ref="N133:O133"/>
    <mergeCell ref="N134:O134"/>
    <mergeCell ref="N131:O131"/>
    <mergeCell ref="L132:M132"/>
    <mergeCell ref="L131:M131"/>
    <mergeCell ref="N112:O112"/>
    <mergeCell ref="N84:O84"/>
    <mergeCell ref="N118:O118"/>
    <mergeCell ref="N119:O119"/>
    <mergeCell ref="N121:O121"/>
    <mergeCell ref="L118:M118"/>
    <mergeCell ref="N108:O108"/>
    <mergeCell ref="N107:O107"/>
    <mergeCell ref="L104:M104"/>
    <mergeCell ref="L105:M105"/>
    <mergeCell ref="N111:O111"/>
    <mergeCell ref="D72:I72"/>
    <mergeCell ref="D76:I76"/>
    <mergeCell ref="D142:I142"/>
    <mergeCell ref="D143:I143"/>
    <mergeCell ref="L119:M119"/>
    <mergeCell ref="L121:M121"/>
    <mergeCell ref="L124:M124"/>
    <mergeCell ref="N117:O117"/>
    <mergeCell ref="N124:O124"/>
    <mergeCell ref="N123:O123"/>
    <mergeCell ref="N122:O122"/>
    <mergeCell ref="L117:M117"/>
    <mergeCell ref="L120:M120"/>
    <mergeCell ref="N120:O120"/>
    <mergeCell ref="L108:M108"/>
    <mergeCell ref="L109:M109"/>
    <mergeCell ref="L106:M106"/>
    <mergeCell ref="N106:O106"/>
    <mergeCell ref="N105:O105"/>
    <mergeCell ref="N153:O153"/>
    <mergeCell ref="L154:M154"/>
    <mergeCell ref="N154:O154"/>
    <mergeCell ref="L155:M155"/>
    <mergeCell ref="N155:O155"/>
    <mergeCell ref="L51:M51"/>
    <mergeCell ref="N51:O51"/>
    <mergeCell ref="L114:M114"/>
    <mergeCell ref="L115:M115"/>
    <mergeCell ref="N115:O115"/>
    <mergeCell ref="N114:O114"/>
    <mergeCell ref="L64:M64"/>
    <mergeCell ref="L65:M65"/>
    <mergeCell ref="L66:M66"/>
    <mergeCell ref="N64:O64"/>
    <mergeCell ref="N65:O65"/>
    <mergeCell ref="N66:O66"/>
    <mergeCell ref="L67:M67"/>
    <mergeCell ref="N67:O67"/>
    <mergeCell ref="L111:M111"/>
    <mergeCell ref="L112:M112"/>
    <mergeCell ref="L110:M110"/>
    <mergeCell ref="N110:O110"/>
    <mergeCell ref="N109:O109"/>
  </mergeCells>
  <pageMargins left="0.7" right="0.7" top="0.75" bottom="0.75" header="0.3" footer="0.3"/>
  <pageSetup scale="54" fitToHeight="0" orientation="landscape" horizontalDpi="4294967293" verticalDpi="4294967293"/>
  <headerFooter>
    <oddFooter>&amp;L&amp;A&amp;R&amp;P of &amp;N</oddFooter>
  </headerFooter>
  <rowBreaks count="1" manualBreakCount="1">
    <brk id="77"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113"/>
  <sheetViews>
    <sheetView showGridLines="0" zoomScale="85" zoomScaleNormal="85" zoomScalePageLayoutView="85" workbookViewId="0"/>
  </sheetViews>
  <sheetFormatPr defaultColWidth="0" defaultRowHeight="13.2" zeroHeight="1" outlineLevelCol="1" x14ac:dyDescent="0.25"/>
  <cols>
    <col min="1" max="10" width="2.6640625" style="57" customWidth="1"/>
    <col min="11" max="11" width="45.6640625" style="57" customWidth="1"/>
    <col min="12" max="12" width="12" style="57" customWidth="1"/>
    <col min="13" max="13" width="4.6640625" style="57" customWidth="1"/>
    <col min="14" max="20" width="13.6640625" style="57" customWidth="1"/>
    <col min="21" max="21" width="12.44140625" style="57" customWidth="1"/>
    <col min="22" max="22" width="9.6640625" style="57" customWidth="1"/>
    <col min="23" max="28" width="10.6640625" style="57" customWidth="1" outlineLevel="1"/>
    <col min="29" max="29" width="3.33203125" style="57" customWidth="1"/>
    <col min="30" max="16384" width="9.109375" style="57" hidden="1"/>
  </cols>
  <sheetData>
    <row r="1" spans="1:25" x14ac:dyDescent="0.25">
      <c r="A1" s="707" t="s">
        <v>630</v>
      </c>
    </row>
    <row r="2" spans="1:25" x14ac:dyDescent="0.25"/>
    <row r="3" spans="1:25" x14ac:dyDescent="0.25">
      <c r="A3" s="789" t="s">
        <v>310</v>
      </c>
      <c r="B3" s="789"/>
      <c r="C3" s="789"/>
      <c r="D3" s="789"/>
      <c r="E3" s="789"/>
      <c r="F3" s="789"/>
      <c r="G3" s="789"/>
      <c r="H3" s="789"/>
      <c r="I3" s="789"/>
      <c r="J3" s="789"/>
      <c r="K3" s="790"/>
      <c r="L3" s="790"/>
      <c r="M3" s="790"/>
      <c r="N3" s="800"/>
      <c r="O3" s="800"/>
      <c r="P3" s="800"/>
      <c r="Q3" s="800"/>
      <c r="R3" s="800"/>
      <c r="S3" s="800"/>
      <c r="T3" s="800"/>
      <c r="U3" s="800"/>
      <c r="V3" s="800"/>
    </row>
    <row r="4" spans="1:25" s="146" customFormat="1" ht="12.75" customHeight="1" x14ac:dyDescent="0.25">
      <c r="P4" s="793"/>
      <c r="Q4" s="793"/>
      <c r="R4" s="793"/>
      <c r="W4" s="765"/>
      <c r="X4" s="765"/>
      <c r="Y4" s="765"/>
    </row>
    <row r="5" spans="1:25" s="146" customFormat="1" ht="12.75" customHeight="1" x14ac:dyDescent="0.25">
      <c r="B5" s="146" t="s">
        <v>214</v>
      </c>
      <c r="V5" s="801" t="s">
        <v>196</v>
      </c>
      <c r="W5" s="765"/>
      <c r="X5" s="765"/>
      <c r="Y5" s="765"/>
    </row>
    <row r="6" spans="1:25" s="146" customFormat="1" ht="12.75" customHeight="1" x14ac:dyDescent="0.25">
      <c r="C6" s="146" t="s">
        <v>315</v>
      </c>
      <c r="V6" s="802" t="s">
        <v>197</v>
      </c>
      <c r="W6" s="765"/>
      <c r="X6" s="765"/>
      <c r="Y6" s="765"/>
    </row>
    <row r="7" spans="1:25" s="146" customFormat="1" ht="12.75" customHeight="1" x14ac:dyDescent="0.25">
      <c r="C7" s="146" t="s">
        <v>203</v>
      </c>
      <c r="V7" s="801" t="str">
        <f>"----&gt;"</f>
        <v>----&gt;</v>
      </c>
      <c r="W7" s="765"/>
      <c r="X7" s="765"/>
      <c r="Y7" s="765"/>
    </row>
    <row r="8" spans="1:25" s="146" customFormat="1" x14ac:dyDescent="0.25">
      <c r="C8" s="146" t="s">
        <v>204</v>
      </c>
      <c r="P8" s="793"/>
      <c r="Q8" s="793"/>
      <c r="R8" s="793"/>
    </row>
    <row r="9" spans="1:25" s="146" customFormat="1" ht="12.75" customHeight="1" x14ac:dyDescent="0.25">
      <c r="C9" s="146" t="s">
        <v>205</v>
      </c>
      <c r="P9" s="793"/>
      <c r="Q9" s="793"/>
      <c r="R9" s="793"/>
    </row>
    <row r="10" spans="1:25" s="146" customFormat="1" ht="12.75" customHeight="1" x14ac:dyDescent="0.25">
      <c r="P10" s="793"/>
      <c r="Q10" s="793"/>
      <c r="R10" s="793"/>
    </row>
    <row r="11" spans="1:25" s="146" customFormat="1" ht="12.75" customHeight="1" x14ac:dyDescent="0.25">
      <c r="A11" s="791" t="s">
        <v>311</v>
      </c>
      <c r="B11" s="791"/>
      <c r="C11" s="791"/>
      <c r="D11" s="791"/>
      <c r="E11" s="791"/>
      <c r="F11" s="791"/>
      <c r="G11" s="791"/>
      <c r="H11" s="791"/>
      <c r="I11" s="791"/>
      <c r="J11" s="791"/>
      <c r="K11" s="792"/>
      <c r="L11" s="792"/>
      <c r="M11" s="792"/>
      <c r="N11" s="792"/>
      <c r="O11" s="792"/>
      <c r="P11" s="792"/>
      <c r="Q11" s="792"/>
      <c r="R11" s="792"/>
      <c r="S11" s="792"/>
      <c r="T11" s="792"/>
      <c r="U11" s="792"/>
      <c r="V11" s="792"/>
    </row>
    <row r="12" spans="1:25" x14ac:dyDescent="0.25"/>
    <row r="13" spans="1:25" x14ac:dyDescent="0.25">
      <c r="N13" s="1686" t="s">
        <v>56</v>
      </c>
      <c r="O13" s="1687"/>
      <c r="P13" s="1687"/>
      <c r="Q13" s="1687"/>
      <c r="R13" s="1687"/>
      <c r="S13" s="1687"/>
      <c r="T13" s="1688"/>
      <c r="U13" s="803"/>
    </row>
    <row r="14" spans="1:25" s="59" customFormat="1" ht="13.5" customHeight="1" x14ac:dyDescent="0.25">
      <c r="C14" s="83"/>
      <c r="D14" s="83"/>
      <c r="E14" s="83"/>
      <c r="F14" s="181"/>
      <c r="G14" s="181"/>
      <c r="H14" s="181"/>
      <c r="I14" s="181"/>
      <c r="J14" s="181"/>
      <c r="K14" s="181"/>
      <c r="L14" s="84"/>
      <c r="M14" s="84"/>
      <c r="N14" s="61" t="s">
        <v>39</v>
      </c>
      <c r="O14" s="62" t="s">
        <v>95</v>
      </c>
      <c r="P14" s="63" t="s">
        <v>31</v>
      </c>
      <c r="Q14" s="64" t="s">
        <v>149</v>
      </c>
      <c r="R14" s="65" t="s">
        <v>40</v>
      </c>
      <c r="S14" s="66" t="s">
        <v>32</v>
      </c>
      <c r="T14" s="804" t="s">
        <v>169</v>
      </c>
      <c r="U14" s="805" t="s">
        <v>168</v>
      </c>
      <c r="V14" s="806"/>
      <c r="W14" s="212"/>
    </row>
    <row r="15" spans="1:25" s="59" customFormat="1" x14ac:dyDescent="0.25">
      <c r="C15" s="59" t="s">
        <v>33</v>
      </c>
      <c r="L15" s="67" t="s">
        <v>16</v>
      </c>
      <c r="N15" s="773">
        <v>1</v>
      </c>
      <c r="O15" s="774">
        <v>0</v>
      </c>
      <c r="P15" s="775">
        <v>0</v>
      </c>
      <c r="Q15" s="776">
        <v>0</v>
      </c>
      <c r="R15" s="777">
        <v>0</v>
      </c>
      <c r="S15" s="778">
        <v>0</v>
      </c>
      <c r="T15" s="835">
        <f>SUM(N15:S15)</f>
        <v>1</v>
      </c>
      <c r="U15" s="833" t="str">
        <f>IF(OR(SUM(N15:S15)=0, SUM(N15:S15)=1), "", "Must = 100%")</f>
        <v/>
      </c>
      <c r="V15" s="806" t="s">
        <v>256</v>
      </c>
      <c r="W15" s="212" t="s">
        <v>248</v>
      </c>
    </row>
    <row r="16" spans="1:25" x14ac:dyDescent="0.25">
      <c r="C16" s="57" t="s">
        <v>37</v>
      </c>
      <c r="L16" s="68" t="s">
        <v>15</v>
      </c>
      <c r="N16" s="767">
        <v>1</v>
      </c>
      <c r="O16" s="768">
        <v>1</v>
      </c>
      <c r="P16" s="769">
        <v>1</v>
      </c>
      <c r="Q16" s="770">
        <v>1</v>
      </c>
      <c r="R16" s="771">
        <v>1</v>
      </c>
      <c r="S16" s="772">
        <v>1</v>
      </c>
      <c r="T16" s="807"/>
      <c r="U16" s="803"/>
      <c r="V16" s="808" t="s">
        <v>256</v>
      </c>
      <c r="W16" s="57" t="s">
        <v>269</v>
      </c>
    </row>
    <row r="17" spans="1:32" x14ac:dyDescent="0.25">
      <c r="C17" s="57" t="s">
        <v>14</v>
      </c>
      <c r="L17" s="68" t="s">
        <v>433</v>
      </c>
      <c r="N17" s="1075">
        <f>910000/'III. Inputs, Renewable Energy'!U19</f>
        <v>664233.57664233574</v>
      </c>
      <c r="O17" s="1216">
        <v>0</v>
      </c>
      <c r="P17" s="1217">
        <v>0</v>
      </c>
      <c r="Q17" s="1218">
        <v>0</v>
      </c>
      <c r="R17" s="1219">
        <v>0</v>
      </c>
      <c r="S17" s="1220">
        <v>0</v>
      </c>
      <c r="T17" s="807"/>
      <c r="U17" s="803"/>
      <c r="W17" s="57" t="s">
        <v>387</v>
      </c>
    </row>
    <row r="18" spans="1:32" x14ac:dyDescent="0.25">
      <c r="C18" s="146" t="s">
        <v>199</v>
      </c>
      <c r="L18" s="68" t="s">
        <v>20</v>
      </c>
      <c r="N18" s="665">
        <v>25</v>
      </c>
      <c r="O18" s="666">
        <v>0</v>
      </c>
      <c r="P18" s="667">
        <v>0</v>
      </c>
      <c r="Q18" s="668">
        <v>0</v>
      </c>
      <c r="R18" s="669">
        <v>0</v>
      </c>
      <c r="S18" s="670">
        <v>0</v>
      </c>
      <c r="T18" s="807"/>
      <c r="U18" s="803"/>
    </row>
    <row r="19" spans="1:32" x14ac:dyDescent="0.25">
      <c r="C19" s="57" t="s">
        <v>17</v>
      </c>
      <c r="L19" s="68" t="s">
        <v>16</v>
      </c>
      <c r="N19" s="671">
        <v>0.3</v>
      </c>
      <c r="O19" s="672">
        <v>0</v>
      </c>
      <c r="P19" s="673">
        <v>0</v>
      </c>
      <c r="Q19" s="674">
        <v>0</v>
      </c>
      <c r="R19" s="675">
        <v>0</v>
      </c>
      <c r="S19" s="676">
        <v>0</v>
      </c>
      <c r="T19" s="807"/>
      <c r="U19" s="803"/>
    </row>
    <row r="20" spans="1:32" s="146" customFormat="1" ht="12.75" customHeight="1" x14ac:dyDescent="0.25">
      <c r="A20" s="91"/>
      <c r="C20" s="146" t="s">
        <v>171</v>
      </c>
      <c r="L20" s="793" t="s">
        <v>170</v>
      </c>
      <c r="N20" s="781"/>
      <c r="O20" s="782"/>
      <c r="P20" s="783"/>
      <c r="Q20" s="784"/>
      <c r="R20" s="785"/>
      <c r="S20" s="786"/>
      <c r="T20" s="787">
        <v>0.44800000000000001</v>
      </c>
      <c r="U20" s="803"/>
      <c r="V20" s="803"/>
      <c r="AD20" s="834"/>
      <c r="AE20" s="834"/>
      <c r="AF20" s="834"/>
    </row>
    <row r="21" spans="1:32" x14ac:dyDescent="0.25"/>
    <row r="22" spans="1:32" s="146" customFormat="1" ht="12.75" customHeight="1" x14ac:dyDescent="0.25">
      <c r="A22" s="791" t="s">
        <v>206</v>
      </c>
      <c r="B22" s="791"/>
      <c r="C22" s="791"/>
      <c r="D22" s="791"/>
      <c r="E22" s="791"/>
      <c r="F22" s="791"/>
      <c r="G22" s="791"/>
      <c r="H22" s="791"/>
      <c r="I22" s="791"/>
      <c r="J22" s="794"/>
      <c r="K22" s="792"/>
      <c r="L22" s="792"/>
      <c r="M22" s="792"/>
      <c r="N22" s="792"/>
      <c r="O22" s="792"/>
      <c r="P22" s="792"/>
      <c r="Q22" s="792"/>
      <c r="R22" s="792"/>
      <c r="S22" s="792"/>
      <c r="T22" s="792"/>
      <c r="U22" s="792"/>
      <c r="V22" s="792"/>
    </row>
    <row r="23" spans="1:32" s="146" customFormat="1" ht="12.75" customHeight="1" x14ac:dyDescent="0.25">
      <c r="A23" s="795"/>
      <c r="B23" s="795"/>
      <c r="C23" s="795"/>
      <c r="D23" s="795"/>
      <c r="E23" s="795"/>
      <c r="F23" s="795"/>
      <c r="G23" s="795"/>
      <c r="H23" s="795"/>
      <c r="I23" s="795"/>
      <c r="J23" s="795"/>
      <c r="K23" s="796"/>
      <c r="L23" s="796"/>
      <c r="M23" s="796"/>
      <c r="N23" s="796"/>
      <c r="O23" s="796"/>
      <c r="P23" s="796"/>
      <c r="Q23" s="796"/>
      <c r="R23" s="796"/>
      <c r="S23" s="796"/>
      <c r="T23" s="796"/>
      <c r="U23" s="796"/>
    </row>
    <row r="24" spans="1:32" s="146" customFormat="1" ht="12.75" customHeight="1" x14ac:dyDescent="0.25">
      <c r="A24" s="795"/>
      <c r="B24" s="55" t="s">
        <v>207</v>
      </c>
      <c r="C24" s="81"/>
      <c r="D24" s="81"/>
      <c r="E24" s="81"/>
      <c r="F24" s="81"/>
      <c r="G24" s="81"/>
      <c r="H24" s="81"/>
      <c r="I24" s="81"/>
      <c r="J24" s="81"/>
      <c r="K24" s="55"/>
      <c r="L24" s="797"/>
      <c r="M24" s="797"/>
      <c r="N24" s="797"/>
      <c r="O24" s="797"/>
      <c r="P24" s="797"/>
      <c r="Q24" s="797"/>
      <c r="R24" s="797"/>
      <c r="S24" s="797"/>
      <c r="T24" s="797"/>
      <c r="U24" s="797"/>
      <c r="V24" s="797"/>
    </row>
    <row r="25" spans="1:32" s="146" customFormat="1" ht="12.75" customHeight="1" x14ac:dyDescent="0.25">
      <c r="A25" s="795"/>
      <c r="B25" s="83"/>
      <c r="C25" s="182"/>
      <c r="D25" s="182"/>
      <c r="E25" s="182"/>
      <c r="F25" s="182"/>
      <c r="G25" s="182"/>
      <c r="H25" s="182"/>
      <c r="I25" s="182"/>
      <c r="J25" s="182"/>
      <c r="K25" s="83"/>
      <c r="L25" s="796"/>
      <c r="M25" s="796"/>
      <c r="N25" s="796"/>
      <c r="O25" s="796"/>
      <c r="P25" s="796"/>
      <c r="Q25" s="796"/>
      <c r="R25" s="796"/>
      <c r="S25" s="796"/>
      <c r="T25" s="796"/>
      <c r="U25" s="796"/>
    </row>
    <row r="26" spans="1:32" x14ac:dyDescent="0.25">
      <c r="J26" s="57" t="s">
        <v>52</v>
      </c>
      <c r="N26" s="1686" t="s">
        <v>56</v>
      </c>
      <c r="O26" s="1687"/>
      <c r="P26" s="1687"/>
      <c r="Q26" s="1687"/>
      <c r="R26" s="1687"/>
      <c r="S26" s="1688"/>
      <c r="T26" s="146"/>
      <c r="U26" s="146"/>
    </row>
    <row r="27" spans="1:32" x14ac:dyDescent="0.25">
      <c r="L27" s="84"/>
      <c r="M27" s="180"/>
      <c r="N27" s="61" t="str">
        <f>$N$14</f>
        <v>Natural Gas</v>
      </c>
      <c r="O27" s="62" t="str">
        <f>$O$14</f>
        <v>Coal</v>
      </c>
      <c r="P27" s="63" t="str">
        <f>$P$14</f>
        <v>Hydro</v>
      </c>
      <c r="Q27" s="64" t="str">
        <f>$Q$14</f>
        <v>Light Fuel Oil</v>
      </c>
      <c r="R27" s="82" t="str">
        <f>$R$14</f>
        <v>Heavy Fuel Oil</v>
      </c>
      <c r="S27" s="66" t="str">
        <f>$S$14</f>
        <v>Geothermal</v>
      </c>
      <c r="T27" s="146"/>
      <c r="U27" s="146"/>
    </row>
    <row r="28" spans="1:32" x14ac:dyDescent="0.25">
      <c r="C28" s="56" t="s">
        <v>26</v>
      </c>
      <c r="K28" s="56"/>
      <c r="N28" s="809"/>
      <c r="O28" s="810"/>
      <c r="P28" s="811"/>
      <c r="Q28" s="812"/>
      <c r="R28" s="813"/>
      <c r="S28" s="814"/>
      <c r="T28" s="146"/>
      <c r="U28" s="146"/>
    </row>
    <row r="29" spans="1:32" x14ac:dyDescent="0.25">
      <c r="D29" s="57" t="s">
        <v>28</v>
      </c>
      <c r="L29" s="68" t="s">
        <v>16</v>
      </c>
      <c r="N29" s="95">
        <v>0.25</v>
      </c>
      <c r="O29" s="96">
        <v>0</v>
      </c>
      <c r="P29" s="97">
        <v>0</v>
      </c>
      <c r="Q29" s="98">
        <v>0</v>
      </c>
      <c r="R29" s="99">
        <v>0</v>
      </c>
      <c r="S29" s="100">
        <v>0</v>
      </c>
      <c r="T29" s="146"/>
      <c r="U29" s="146"/>
    </row>
    <row r="30" spans="1:32" x14ac:dyDescent="0.25">
      <c r="D30" s="57" t="s">
        <v>27</v>
      </c>
      <c r="L30" s="68" t="s">
        <v>16</v>
      </c>
      <c r="N30" s="95">
        <v>0.75</v>
      </c>
      <c r="O30" s="96">
        <v>0</v>
      </c>
      <c r="P30" s="97">
        <v>0</v>
      </c>
      <c r="Q30" s="98">
        <v>0</v>
      </c>
      <c r="R30" s="99">
        <v>0</v>
      </c>
      <c r="S30" s="100">
        <v>0</v>
      </c>
      <c r="T30" s="146"/>
      <c r="U30" s="146"/>
    </row>
    <row r="31" spans="1:32" x14ac:dyDescent="0.25">
      <c r="E31" s="57" t="s">
        <v>398</v>
      </c>
      <c r="L31" s="68"/>
      <c r="N31" s="815"/>
      <c r="O31" s="816"/>
      <c r="P31" s="817"/>
      <c r="Q31" s="818"/>
      <c r="R31" s="819"/>
      <c r="S31" s="820"/>
      <c r="T31" s="146"/>
      <c r="U31" s="146"/>
    </row>
    <row r="32" spans="1:32" x14ac:dyDescent="0.25">
      <c r="F32" s="798" t="s">
        <v>313</v>
      </c>
      <c r="L32" s="68"/>
      <c r="N32" s="821">
        <f t="shared" ref="N32:S32" si="0">N61</f>
        <v>0</v>
      </c>
      <c r="O32" s="822">
        <f t="shared" si="0"/>
        <v>0</v>
      </c>
      <c r="P32" s="823">
        <f t="shared" si="0"/>
        <v>0</v>
      </c>
      <c r="Q32" s="824">
        <f t="shared" si="0"/>
        <v>0</v>
      </c>
      <c r="R32" s="825">
        <f t="shared" si="0"/>
        <v>0</v>
      </c>
      <c r="S32" s="826">
        <f t="shared" si="0"/>
        <v>0</v>
      </c>
      <c r="T32" s="146"/>
      <c r="U32" s="146"/>
    </row>
    <row r="33" spans="3:23" x14ac:dyDescent="0.25">
      <c r="F33" s="798" t="s">
        <v>299</v>
      </c>
      <c r="L33" s="68"/>
      <c r="N33" s="821">
        <f t="shared" ref="N33:S33" si="1">N63</f>
        <v>0</v>
      </c>
      <c r="O33" s="822">
        <f t="shared" si="1"/>
        <v>0</v>
      </c>
      <c r="P33" s="823">
        <f t="shared" si="1"/>
        <v>0</v>
      </c>
      <c r="Q33" s="824">
        <f t="shared" si="1"/>
        <v>0</v>
      </c>
      <c r="R33" s="825">
        <f t="shared" si="1"/>
        <v>0</v>
      </c>
      <c r="S33" s="826">
        <f t="shared" si="1"/>
        <v>0</v>
      </c>
      <c r="T33" s="146"/>
      <c r="U33" s="146"/>
    </row>
    <row r="34" spans="3:23" x14ac:dyDescent="0.25">
      <c r="F34" s="181" t="s">
        <v>300</v>
      </c>
      <c r="L34" s="68"/>
      <c r="N34" s="821">
        <f t="shared" ref="N34:S34" si="2">IF(N30=0, 0, (1-SUM(N32:N33)))</f>
        <v>1</v>
      </c>
      <c r="O34" s="822">
        <f t="shared" si="2"/>
        <v>0</v>
      </c>
      <c r="P34" s="823">
        <f t="shared" si="2"/>
        <v>0</v>
      </c>
      <c r="Q34" s="824">
        <f t="shared" si="2"/>
        <v>0</v>
      </c>
      <c r="R34" s="825">
        <f t="shared" si="2"/>
        <v>0</v>
      </c>
      <c r="S34" s="826">
        <f t="shared" si="2"/>
        <v>0</v>
      </c>
      <c r="T34" s="146"/>
      <c r="U34" s="146"/>
    </row>
    <row r="35" spans="3:23" s="91" customFormat="1" x14ac:dyDescent="0.25">
      <c r="J35" s="92"/>
      <c r="K35" s="93"/>
      <c r="L35" s="93"/>
      <c r="M35" s="93"/>
      <c r="N35" s="827"/>
      <c r="O35" s="828"/>
      <c r="P35" s="829"/>
      <c r="Q35" s="830"/>
      <c r="R35" s="831"/>
      <c r="S35" s="832"/>
      <c r="T35" s="146"/>
      <c r="U35" s="146"/>
    </row>
    <row r="36" spans="3:23" x14ac:dyDescent="0.25">
      <c r="C36" s="56" t="s">
        <v>53</v>
      </c>
      <c r="N36" s="126"/>
      <c r="O36" s="127"/>
      <c r="P36" s="128"/>
      <c r="Q36" s="129"/>
      <c r="R36" s="130"/>
      <c r="S36" s="131"/>
      <c r="T36" s="146"/>
      <c r="U36" s="146"/>
    </row>
    <row r="37" spans="3:23" x14ac:dyDescent="0.25">
      <c r="D37" s="57" t="s">
        <v>4</v>
      </c>
      <c r="L37" s="68" t="s">
        <v>16</v>
      </c>
      <c r="M37" s="94"/>
      <c r="N37" s="95">
        <f>15%*0.85</f>
        <v>0.1275</v>
      </c>
      <c r="O37" s="96">
        <v>0</v>
      </c>
      <c r="P37" s="97">
        <v>0</v>
      </c>
      <c r="Q37" s="98">
        <v>0</v>
      </c>
      <c r="R37" s="99">
        <v>0</v>
      </c>
      <c r="S37" s="100">
        <v>0</v>
      </c>
      <c r="T37" s="146"/>
      <c r="U37" s="146"/>
    </row>
    <row r="38" spans="3:23" x14ac:dyDescent="0.25">
      <c r="D38" s="57" t="s">
        <v>54</v>
      </c>
      <c r="N38" s="154"/>
      <c r="O38" s="155"/>
      <c r="P38" s="156"/>
      <c r="Q38" s="179"/>
      <c r="R38" s="157"/>
      <c r="S38" s="158"/>
      <c r="T38" s="146"/>
      <c r="U38" s="146"/>
    </row>
    <row r="39" spans="3:23" x14ac:dyDescent="0.25">
      <c r="E39" s="798" t="s">
        <v>313</v>
      </c>
      <c r="L39" s="68" t="s">
        <v>16</v>
      </c>
      <c r="N39" s="106">
        <f>IF($N$15&gt;0, N68, "NA")</f>
        <v>0</v>
      </c>
      <c r="O39" s="101" t="str">
        <f>IF($O$15&gt;0, O68, "NA")</f>
        <v>NA</v>
      </c>
      <c r="P39" s="102" t="str">
        <f>IF(P15&gt;0, P68, "NA")</f>
        <v>NA</v>
      </c>
      <c r="Q39" s="103" t="str">
        <f>IF(Q15&gt;0, Q68, "NA")</f>
        <v>NA</v>
      </c>
      <c r="R39" s="104" t="str">
        <f>IF(R15&gt;0, R68, "NA")</f>
        <v>NA</v>
      </c>
      <c r="S39" s="105" t="str">
        <f>IF(S15&gt;0, S68, "NA")</f>
        <v>NA</v>
      </c>
      <c r="T39" s="146"/>
      <c r="U39" s="146"/>
    </row>
    <row r="40" spans="3:23" x14ac:dyDescent="0.25">
      <c r="E40" s="798" t="s">
        <v>299</v>
      </c>
      <c r="L40" s="68" t="s">
        <v>16</v>
      </c>
      <c r="N40" s="106">
        <f t="shared" ref="N40:S40" si="3">IF(N15&gt;0, N72, "NA")</f>
        <v>0</v>
      </c>
      <c r="O40" s="101" t="str">
        <f t="shared" si="3"/>
        <v>NA</v>
      </c>
      <c r="P40" s="102" t="str">
        <f t="shared" si="3"/>
        <v>NA</v>
      </c>
      <c r="Q40" s="103" t="str">
        <f t="shared" si="3"/>
        <v>NA</v>
      </c>
      <c r="R40" s="104" t="str">
        <f t="shared" si="3"/>
        <v>NA</v>
      </c>
      <c r="S40" s="105" t="str">
        <f t="shared" si="3"/>
        <v>NA</v>
      </c>
      <c r="T40" s="146"/>
      <c r="U40" s="146"/>
    </row>
    <row r="41" spans="3:23" x14ac:dyDescent="0.25">
      <c r="E41" s="181" t="s">
        <v>300</v>
      </c>
      <c r="L41" s="68" t="s">
        <v>16</v>
      </c>
      <c r="N41" s="95">
        <f>6.5%*0.85</f>
        <v>5.525E-2</v>
      </c>
      <c r="O41" s="96">
        <v>0</v>
      </c>
      <c r="P41" s="97">
        <v>0</v>
      </c>
      <c r="Q41" s="98">
        <v>0</v>
      </c>
      <c r="R41" s="99">
        <v>0</v>
      </c>
      <c r="S41" s="100">
        <v>0</v>
      </c>
      <c r="T41" s="146"/>
      <c r="U41" s="146"/>
      <c r="W41" s="206"/>
    </row>
    <row r="42" spans="3:23" x14ac:dyDescent="0.25">
      <c r="N42" s="154"/>
      <c r="O42" s="155"/>
      <c r="P42" s="156"/>
      <c r="Q42" s="179"/>
      <c r="R42" s="157"/>
      <c r="S42" s="158"/>
      <c r="T42" s="146"/>
      <c r="U42" s="146"/>
    </row>
    <row r="43" spans="3:23" x14ac:dyDescent="0.25">
      <c r="C43" s="56" t="s">
        <v>29</v>
      </c>
      <c r="D43" s="56"/>
      <c r="E43" s="56"/>
      <c r="N43" s="154"/>
      <c r="O43" s="155"/>
      <c r="P43" s="156"/>
      <c r="Q43" s="179"/>
      <c r="R43" s="157"/>
      <c r="S43" s="158"/>
      <c r="T43" s="146"/>
      <c r="U43" s="146"/>
    </row>
    <row r="44" spans="3:23" x14ac:dyDescent="0.25">
      <c r="C44" s="56"/>
      <c r="D44" s="798" t="s">
        <v>313</v>
      </c>
      <c r="E44" s="56"/>
      <c r="L44" s="68" t="s">
        <v>20</v>
      </c>
      <c r="N44" s="69">
        <f t="shared" ref="N44:S44" si="4">N69</f>
        <v>0</v>
      </c>
      <c r="O44" s="70">
        <f t="shared" si="4"/>
        <v>0</v>
      </c>
      <c r="P44" s="71">
        <f t="shared" si="4"/>
        <v>0</v>
      </c>
      <c r="Q44" s="72">
        <f t="shared" si="4"/>
        <v>0</v>
      </c>
      <c r="R44" s="73">
        <f t="shared" si="4"/>
        <v>0</v>
      </c>
      <c r="S44" s="74">
        <f t="shared" si="4"/>
        <v>0</v>
      </c>
      <c r="T44" s="146"/>
      <c r="U44" s="146"/>
    </row>
    <row r="45" spans="3:23" x14ac:dyDescent="0.25">
      <c r="D45" s="798" t="s">
        <v>299</v>
      </c>
      <c r="L45" s="68" t="s">
        <v>20</v>
      </c>
      <c r="N45" s="69">
        <f t="shared" ref="N45:S45" si="5">N73</f>
        <v>0</v>
      </c>
      <c r="O45" s="70">
        <f t="shared" si="5"/>
        <v>0</v>
      </c>
      <c r="P45" s="71">
        <f t="shared" si="5"/>
        <v>0</v>
      </c>
      <c r="Q45" s="72">
        <f t="shared" si="5"/>
        <v>0</v>
      </c>
      <c r="R45" s="73">
        <f t="shared" si="5"/>
        <v>0</v>
      </c>
      <c r="S45" s="74">
        <f t="shared" si="5"/>
        <v>0</v>
      </c>
      <c r="T45" s="146"/>
      <c r="U45" s="146"/>
    </row>
    <row r="46" spans="3:23" x14ac:dyDescent="0.25">
      <c r="D46" s="181" t="s">
        <v>300</v>
      </c>
      <c r="L46" s="68" t="s">
        <v>20</v>
      </c>
      <c r="N46" s="1074">
        <v>12.5</v>
      </c>
      <c r="O46" s="76">
        <v>0</v>
      </c>
      <c r="P46" s="77">
        <v>0</v>
      </c>
      <c r="Q46" s="78">
        <v>0</v>
      </c>
      <c r="R46" s="79">
        <v>0</v>
      </c>
      <c r="S46" s="80">
        <v>0</v>
      </c>
      <c r="T46" s="146"/>
      <c r="U46" s="146"/>
      <c r="V46" s="808" t="s">
        <v>255</v>
      </c>
      <c r="W46" s="57" t="s">
        <v>432</v>
      </c>
    </row>
    <row r="47" spans="3:23" x14ac:dyDescent="0.25">
      <c r="L47" s="68"/>
      <c r="N47" s="107"/>
      <c r="O47" s="108"/>
      <c r="P47" s="109"/>
      <c r="Q47" s="110"/>
      <c r="R47" s="111"/>
      <c r="S47" s="112"/>
      <c r="T47" s="146"/>
      <c r="U47" s="146"/>
    </row>
    <row r="48" spans="3:23" x14ac:dyDescent="0.25">
      <c r="C48" s="56" t="s">
        <v>350</v>
      </c>
      <c r="L48" s="68"/>
      <c r="N48" s="107"/>
      <c r="O48" s="108"/>
      <c r="P48" s="109"/>
      <c r="Q48" s="110"/>
      <c r="R48" s="111"/>
      <c r="S48" s="112"/>
      <c r="T48" s="146"/>
      <c r="U48" s="146"/>
    </row>
    <row r="49" spans="1:22" x14ac:dyDescent="0.25">
      <c r="D49" s="798" t="s">
        <v>313</v>
      </c>
      <c r="L49" s="68" t="s">
        <v>30</v>
      </c>
      <c r="N49" s="113">
        <f t="shared" ref="N49:S49" si="6">N70</f>
        <v>0</v>
      </c>
      <c r="O49" s="114">
        <f t="shared" si="6"/>
        <v>0</v>
      </c>
      <c r="P49" s="115">
        <f t="shared" si="6"/>
        <v>0</v>
      </c>
      <c r="Q49" s="116">
        <f t="shared" si="6"/>
        <v>0</v>
      </c>
      <c r="R49" s="117">
        <f t="shared" si="6"/>
        <v>0</v>
      </c>
      <c r="S49" s="118">
        <f t="shared" si="6"/>
        <v>0</v>
      </c>
      <c r="T49" s="146"/>
      <c r="U49" s="146"/>
    </row>
    <row r="50" spans="1:22" x14ac:dyDescent="0.25">
      <c r="D50" s="798" t="s">
        <v>299</v>
      </c>
      <c r="L50" s="68" t="s">
        <v>30</v>
      </c>
      <c r="N50" s="69">
        <f t="shared" ref="N50:S50" si="7">N74</f>
        <v>0</v>
      </c>
      <c r="O50" s="70">
        <f t="shared" si="7"/>
        <v>0</v>
      </c>
      <c r="P50" s="71">
        <f t="shared" si="7"/>
        <v>0</v>
      </c>
      <c r="Q50" s="72">
        <f t="shared" si="7"/>
        <v>0</v>
      </c>
      <c r="R50" s="73">
        <f t="shared" si="7"/>
        <v>0</v>
      </c>
      <c r="S50" s="74">
        <f t="shared" si="7"/>
        <v>0</v>
      </c>
      <c r="T50" s="146"/>
      <c r="U50" s="146"/>
    </row>
    <row r="51" spans="1:22" x14ac:dyDescent="0.25">
      <c r="D51" s="181" t="s">
        <v>300</v>
      </c>
      <c r="L51" s="68" t="s">
        <v>30</v>
      </c>
      <c r="N51" s="119">
        <v>0</v>
      </c>
      <c r="O51" s="120">
        <v>0</v>
      </c>
      <c r="P51" s="121">
        <v>0</v>
      </c>
      <c r="Q51" s="122">
        <v>0</v>
      </c>
      <c r="R51" s="123">
        <v>0</v>
      </c>
      <c r="S51" s="124">
        <v>0</v>
      </c>
      <c r="T51" s="146"/>
      <c r="U51" s="146"/>
    </row>
    <row r="52" spans="1:22" x14ac:dyDescent="0.25">
      <c r="N52" s="68"/>
      <c r="O52" s="68"/>
      <c r="P52" s="68"/>
      <c r="Q52" s="68"/>
      <c r="R52" s="68"/>
      <c r="S52" s="68"/>
      <c r="T52" s="68"/>
      <c r="U52" s="68"/>
    </row>
    <row r="53" spans="1:22" s="146" customFormat="1" ht="12.75" customHeight="1" x14ac:dyDescent="0.25">
      <c r="A53" s="791" t="s">
        <v>208</v>
      </c>
      <c r="B53" s="791"/>
      <c r="C53" s="791"/>
      <c r="D53" s="791"/>
      <c r="E53" s="791"/>
      <c r="F53" s="791"/>
      <c r="G53" s="791"/>
      <c r="H53" s="791"/>
      <c r="I53" s="791"/>
      <c r="J53" s="791"/>
      <c r="K53" s="792"/>
      <c r="L53" s="792"/>
      <c r="M53" s="792"/>
      <c r="N53" s="792"/>
      <c r="O53" s="792"/>
      <c r="P53" s="792"/>
      <c r="Q53" s="792"/>
      <c r="R53" s="792"/>
      <c r="S53" s="792"/>
      <c r="T53" s="792"/>
      <c r="U53" s="792"/>
      <c r="V53" s="792"/>
    </row>
    <row r="54" spans="1:22" s="146" customFormat="1" ht="12.75" customHeight="1" x14ac:dyDescent="0.25">
      <c r="A54" s="795"/>
      <c r="B54" s="795"/>
      <c r="C54" s="795"/>
      <c r="D54" s="795"/>
      <c r="E54" s="795"/>
      <c r="F54" s="795"/>
      <c r="G54" s="795"/>
      <c r="H54" s="795"/>
      <c r="I54" s="795"/>
      <c r="J54" s="795"/>
      <c r="K54" s="796"/>
      <c r="L54" s="796"/>
      <c r="M54" s="796"/>
      <c r="N54" s="796"/>
      <c r="O54" s="796"/>
      <c r="P54" s="796"/>
      <c r="Q54" s="796"/>
      <c r="R54" s="796"/>
      <c r="S54" s="796"/>
      <c r="T54" s="796"/>
      <c r="U54" s="796"/>
      <c r="V54" s="796"/>
    </row>
    <row r="55" spans="1:22" s="146" customFormat="1" ht="12.75" customHeight="1" x14ac:dyDescent="0.25">
      <c r="A55" s="795"/>
      <c r="B55" s="55" t="s">
        <v>249</v>
      </c>
      <c r="C55" s="81"/>
      <c r="D55" s="81"/>
      <c r="E55" s="81"/>
      <c r="F55" s="81"/>
      <c r="G55" s="81"/>
      <c r="H55" s="81"/>
      <c r="I55" s="81"/>
      <c r="J55" s="81"/>
      <c r="K55" s="55"/>
      <c r="L55" s="797"/>
      <c r="M55" s="797"/>
      <c r="N55" s="797"/>
      <c r="O55" s="797"/>
      <c r="P55" s="797"/>
      <c r="Q55" s="797"/>
      <c r="R55" s="797"/>
      <c r="S55" s="797"/>
      <c r="T55" s="797"/>
      <c r="U55" s="797"/>
      <c r="V55" s="797"/>
    </row>
    <row r="56" spans="1:22" s="146" customFormat="1" ht="12.75" customHeight="1" x14ac:dyDescent="0.25">
      <c r="A56" s="795"/>
      <c r="B56" s="83"/>
      <c r="C56" s="182"/>
      <c r="D56" s="182"/>
      <c r="E56" s="182"/>
      <c r="F56" s="182"/>
      <c r="G56" s="182"/>
      <c r="H56" s="182"/>
      <c r="I56" s="182"/>
      <c r="J56" s="182"/>
      <c r="K56" s="83"/>
      <c r="L56" s="796"/>
      <c r="M56" s="796"/>
      <c r="N56" s="797"/>
      <c r="O56" s="797"/>
      <c r="P56" s="797"/>
      <c r="Q56" s="797"/>
      <c r="R56" s="797"/>
      <c r="S56" s="797"/>
      <c r="T56" s="796"/>
      <c r="U56" s="796"/>
    </row>
    <row r="57" spans="1:22" x14ac:dyDescent="0.25">
      <c r="N57" s="1686" t="s">
        <v>56</v>
      </c>
      <c r="O57" s="1687"/>
      <c r="P57" s="1687"/>
      <c r="Q57" s="1687"/>
      <c r="R57" s="1687"/>
      <c r="S57" s="1688"/>
      <c r="T57" s="146"/>
      <c r="U57" s="146"/>
    </row>
    <row r="58" spans="1:22" x14ac:dyDescent="0.25">
      <c r="B58" s="83"/>
      <c r="D58" s="182"/>
      <c r="E58" s="182"/>
      <c r="F58" s="182"/>
      <c r="G58" s="182"/>
      <c r="H58" s="182"/>
      <c r="I58" s="182"/>
      <c r="J58" s="182"/>
      <c r="K58" s="83"/>
      <c r="L58" s="84"/>
      <c r="M58" s="186"/>
      <c r="N58" s="61" t="str">
        <f>$N$14</f>
        <v>Natural Gas</v>
      </c>
      <c r="O58" s="62" t="str">
        <f>$O$14</f>
        <v>Coal</v>
      </c>
      <c r="P58" s="63" t="str">
        <f>$P$14</f>
        <v>Hydro</v>
      </c>
      <c r="Q58" s="64" t="str">
        <f>$Q$14</f>
        <v>Light Fuel Oil</v>
      </c>
      <c r="R58" s="82" t="str">
        <f>$R$14</f>
        <v>Heavy Fuel Oil</v>
      </c>
      <c r="S58" s="66" t="str">
        <f>$S$14</f>
        <v>Geothermal</v>
      </c>
      <c r="T58" s="146"/>
      <c r="U58" s="146"/>
    </row>
    <row r="59" spans="1:22" x14ac:dyDescent="0.25">
      <c r="B59" s="83"/>
      <c r="C59" s="56" t="s">
        <v>223</v>
      </c>
      <c r="K59" s="83"/>
      <c r="L59" s="84"/>
      <c r="M59" s="186"/>
      <c r="N59" s="187"/>
      <c r="O59" s="188"/>
      <c r="P59" s="189"/>
      <c r="Q59" s="190"/>
      <c r="R59" s="191"/>
      <c r="S59" s="192"/>
      <c r="T59" s="146"/>
      <c r="U59" s="146"/>
    </row>
    <row r="60" spans="1:22" x14ac:dyDescent="0.25">
      <c r="A60" s="91"/>
      <c r="B60" s="91"/>
      <c r="C60" s="91"/>
      <c r="D60" s="132" t="s">
        <v>218</v>
      </c>
      <c r="E60" s="133"/>
      <c r="F60" s="133"/>
      <c r="N60" s="134" t="s">
        <v>7</v>
      </c>
      <c r="O60" s="135" t="s">
        <v>7</v>
      </c>
      <c r="P60" s="136" t="s">
        <v>7</v>
      </c>
      <c r="Q60" s="137" t="s">
        <v>7</v>
      </c>
      <c r="R60" s="138" t="s">
        <v>7</v>
      </c>
      <c r="S60" s="139" t="s">
        <v>7</v>
      </c>
      <c r="T60" s="146"/>
      <c r="U60" s="146"/>
      <c r="V60" s="808"/>
    </row>
    <row r="61" spans="1:22" x14ac:dyDescent="0.25">
      <c r="A61" s="91"/>
      <c r="B61" s="91"/>
      <c r="C61" s="91"/>
      <c r="D61" s="91"/>
      <c r="E61" s="57" t="s">
        <v>389</v>
      </c>
      <c r="F61" s="91"/>
      <c r="G61" s="91"/>
      <c r="H61" s="91"/>
      <c r="I61" s="91"/>
      <c r="J61" s="132"/>
      <c r="L61" s="68" t="s">
        <v>16</v>
      </c>
      <c r="N61" s="85">
        <v>0</v>
      </c>
      <c r="O61" s="86">
        <v>0</v>
      </c>
      <c r="P61" s="87">
        <v>0</v>
      </c>
      <c r="Q61" s="88">
        <v>0</v>
      </c>
      <c r="R61" s="89">
        <v>0</v>
      </c>
      <c r="S61" s="90">
        <v>0</v>
      </c>
      <c r="T61" s="146"/>
      <c r="U61" s="146"/>
    </row>
    <row r="62" spans="1:22" x14ac:dyDescent="0.25">
      <c r="A62" s="91"/>
      <c r="B62" s="91"/>
      <c r="C62" s="91"/>
      <c r="D62" s="132" t="s">
        <v>188</v>
      </c>
      <c r="E62" s="133"/>
      <c r="F62" s="133"/>
      <c r="N62" s="134" t="s">
        <v>7</v>
      </c>
      <c r="O62" s="135" t="s">
        <v>7</v>
      </c>
      <c r="P62" s="136" t="s">
        <v>7</v>
      </c>
      <c r="Q62" s="137" t="s">
        <v>7</v>
      </c>
      <c r="R62" s="138" t="s">
        <v>7</v>
      </c>
      <c r="S62" s="139" t="s">
        <v>7</v>
      </c>
      <c r="T62" s="146"/>
      <c r="U62" s="146"/>
    </row>
    <row r="63" spans="1:22" x14ac:dyDescent="0.25">
      <c r="E63" s="57" t="s">
        <v>388</v>
      </c>
      <c r="J63" s="132"/>
      <c r="L63" s="68" t="s">
        <v>16</v>
      </c>
      <c r="N63" s="85">
        <v>0</v>
      </c>
      <c r="O63" s="86">
        <v>0</v>
      </c>
      <c r="P63" s="87">
        <v>0</v>
      </c>
      <c r="Q63" s="88">
        <v>0</v>
      </c>
      <c r="R63" s="89">
        <v>0</v>
      </c>
      <c r="S63" s="90">
        <v>0</v>
      </c>
      <c r="T63" s="146"/>
      <c r="U63" s="146"/>
    </row>
    <row r="64" spans="1:22" s="56" customFormat="1" x14ac:dyDescent="0.25">
      <c r="A64" s="193"/>
      <c r="B64" s="193"/>
      <c r="C64" s="193"/>
      <c r="D64" s="132" t="s">
        <v>342</v>
      </c>
      <c r="E64" s="132"/>
      <c r="F64" s="132"/>
      <c r="N64" s="194" t="s">
        <v>7</v>
      </c>
      <c r="O64" s="195" t="s">
        <v>7</v>
      </c>
      <c r="P64" s="196" t="s">
        <v>7</v>
      </c>
      <c r="Q64" s="197" t="s">
        <v>7</v>
      </c>
      <c r="R64" s="198" t="s">
        <v>7</v>
      </c>
      <c r="S64" s="199" t="s">
        <v>7</v>
      </c>
      <c r="T64" s="146"/>
      <c r="U64" s="146"/>
    </row>
    <row r="65" spans="1:23" ht="6.75" customHeight="1" x14ac:dyDescent="0.25">
      <c r="A65" s="91"/>
      <c r="B65" s="91"/>
      <c r="C65" s="91"/>
      <c r="D65" s="133"/>
      <c r="E65" s="133"/>
      <c r="F65" s="133"/>
      <c r="N65" s="161"/>
      <c r="O65" s="162"/>
      <c r="P65" s="163"/>
      <c r="Q65" s="164"/>
      <c r="R65" s="165"/>
      <c r="S65" s="166"/>
      <c r="T65" s="146"/>
      <c r="U65" s="146"/>
    </row>
    <row r="66" spans="1:23" x14ac:dyDescent="0.25">
      <c r="C66" s="56" t="s">
        <v>241</v>
      </c>
      <c r="N66" s="161"/>
      <c r="O66" s="162"/>
      <c r="P66" s="163"/>
      <c r="Q66" s="164"/>
      <c r="R66" s="165"/>
      <c r="S66" s="166"/>
      <c r="T66" s="146"/>
      <c r="U66" s="146"/>
    </row>
    <row r="67" spans="1:23" x14ac:dyDescent="0.25">
      <c r="D67" s="132" t="str">
        <f>D60</f>
        <v>Public Loans</v>
      </c>
      <c r="N67" s="161"/>
      <c r="O67" s="162"/>
      <c r="P67" s="163"/>
      <c r="Q67" s="164"/>
      <c r="R67" s="165"/>
      <c r="S67" s="166"/>
      <c r="T67" s="146"/>
      <c r="U67" s="146"/>
    </row>
    <row r="68" spans="1:23" x14ac:dyDescent="0.25">
      <c r="E68" s="57" t="s">
        <v>371</v>
      </c>
      <c r="J68" s="132"/>
      <c r="L68" s="68" t="s">
        <v>16</v>
      </c>
      <c r="N68" s="95">
        <v>0</v>
      </c>
      <c r="O68" s="96">
        <v>0</v>
      </c>
      <c r="P68" s="97">
        <v>0</v>
      </c>
      <c r="Q68" s="98">
        <v>0</v>
      </c>
      <c r="R68" s="99">
        <v>0</v>
      </c>
      <c r="S68" s="100">
        <v>0</v>
      </c>
      <c r="T68" s="146"/>
      <c r="U68" s="146"/>
    </row>
    <row r="69" spans="1:23" x14ac:dyDescent="0.25">
      <c r="E69" s="57" t="s">
        <v>29</v>
      </c>
      <c r="J69" s="132"/>
      <c r="L69" s="68" t="s">
        <v>20</v>
      </c>
      <c r="N69" s="75">
        <v>0</v>
      </c>
      <c r="O69" s="76">
        <v>0</v>
      </c>
      <c r="P69" s="77">
        <v>0</v>
      </c>
      <c r="Q69" s="78">
        <v>0</v>
      </c>
      <c r="R69" s="79">
        <v>0</v>
      </c>
      <c r="S69" s="80">
        <v>0</v>
      </c>
      <c r="T69" s="146"/>
      <c r="U69" s="146"/>
      <c r="V69" s="808" t="s">
        <v>255</v>
      </c>
      <c r="W69" s="57" t="s">
        <v>432</v>
      </c>
    </row>
    <row r="70" spans="1:23" x14ac:dyDescent="0.25">
      <c r="E70" s="57" t="s">
        <v>370</v>
      </c>
      <c r="L70" s="68" t="s">
        <v>30</v>
      </c>
      <c r="N70" s="75">
        <v>0</v>
      </c>
      <c r="O70" s="76">
        <v>0</v>
      </c>
      <c r="P70" s="77">
        <v>0</v>
      </c>
      <c r="Q70" s="78">
        <v>0</v>
      </c>
      <c r="R70" s="79">
        <v>0</v>
      </c>
      <c r="S70" s="80">
        <v>0</v>
      </c>
      <c r="T70" s="146"/>
      <c r="U70" s="146"/>
    </row>
    <row r="71" spans="1:23" x14ac:dyDescent="0.25">
      <c r="A71" s="91"/>
      <c r="B71" s="91"/>
      <c r="C71" s="91"/>
      <c r="D71" s="132" t="s">
        <v>188</v>
      </c>
      <c r="E71" s="133"/>
      <c r="F71" s="133"/>
      <c r="N71" s="134" t="s">
        <v>7</v>
      </c>
      <c r="O71" s="135" t="s">
        <v>7</v>
      </c>
      <c r="P71" s="136" t="s">
        <v>7</v>
      </c>
      <c r="Q71" s="137" t="s">
        <v>7</v>
      </c>
      <c r="R71" s="138" t="s">
        <v>7</v>
      </c>
      <c r="S71" s="139" t="s">
        <v>7</v>
      </c>
      <c r="T71" s="146"/>
      <c r="U71" s="146"/>
    </row>
    <row r="72" spans="1:23" x14ac:dyDescent="0.25">
      <c r="E72" s="57" t="s">
        <v>372</v>
      </c>
      <c r="J72" s="132"/>
      <c r="L72" s="68" t="s">
        <v>16</v>
      </c>
      <c r="N72" s="95">
        <v>0</v>
      </c>
      <c r="O72" s="96">
        <v>0</v>
      </c>
      <c r="P72" s="97">
        <v>0</v>
      </c>
      <c r="Q72" s="98">
        <v>0</v>
      </c>
      <c r="R72" s="99">
        <v>0</v>
      </c>
      <c r="S72" s="100">
        <v>0</v>
      </c>
      <c r="T72" s="146"/>
      <c r="U72" s="146"/>
    </row>
    <row r="73" spans="1:23" x14ac:dyDescent="0.25">
      <c r="E73" s="57" t="s">
        <v>374</v>
      </c>
      <c r="J73" s="132"/>
      <c r="L73" s="68" t="s">
        <v>20</v>
      </c>
      <c r="N73" s="75">
        <v>0</v>
      </c>
      <c r="O73" s="76">
        <v>0</v>
      </c>
      <c r="P73" s="77">
        <v>0</v>
      </c>
      <c r="Q73" s="78">
        <v>0</v>
      </c>
      <c r="R73" s="79">
        <v>0</v>
      </c>
      <c r="S73" s="80">
        <v>0</v>
      </c>
      <c r="T73" s="146"/>
      <c r="U73" s="146"/>
      <c r="V73" s="808" t="s">
        <v>255</v>
      </c>
      <c r="W73" s="57" t="s">
        <v>432</v>
      </c>
    </row>
    <row r="74" spans="1:23" x14ac:dyDescent="0.25">
      <c r="E74" s="57" t="s">
        <v>373</v>
      </c>
      <c r="J74" s="132"/>
      <c r="L74" s="68" t="s">
        <v>30</v>
      </c>
      <c r="N74" s="75">
        <v>0</v>
      </c>
      <c r="O74" s="76">
        <v>0</v>
      </c>
      <c r="P74" s="77">
        <v>0</v>
      </c>
      <c r="Q74" s="78">
        <v>0</v>
      </c>
      <c r="R74" s="79">
        <v>0</v>
      </c>
      <c r="S74" s="80">
        <v>0</v>
      </c>
      <c r="T74" s="146"/>
      <c r="U74" s="146"/>
    </row>
    <row r="75" spans="1:23" x14ac:dyDescent="0.25">
      <c r="E75" s="57" t="s">
        <v>376</v>
      </c>
      <c r="J75" s="56"/>
      <c r="L75" s="68" t="s">
        <v>16</v>
      </c>
      <c r="N75" s="95">
        <v>0</v>
      </c>
      <c r="O75" s="96">
        <v>0</v>
      </c>
      <c r="P75" s="97">
        <v>0</v>
      </c>
      <c r="Q75" s="98">
        <v>0</v>
      </c>
      <c r="R75" s="99">
        <v>0</v>
      </c>
      <c r="S75" s="100">
        <v>0</v>
      </c>
      <c r="T75" s="146"/>
      <c r="U75" s="146"/>
    </row>
    <row r="76" spans="1:23" x14ac:dyDescent="0.25">
      <c r="E76" s="57" t="s">
        <v>375</v>
      </c>
      <c r="J76" s="56"/>
      <c r="L76" s="68" t="s">
        <v>20</v>
      </c>
      <c r="N76" s="69">
        <f t="shared" ref="N76:S76" si="8">N73</f>
        <v>0</v>
      </c>
      <c r="O76" s="70">
        <f t="shared" si="8"/>
        <v>0</v>
      </c>
      <c r="P76" s="71">
        <f t="shared" si="8"/>
        <v>0</v>
      </c>
      <c r="Q76" s="72">
        <f t="shared" si="8"/>
        <v>0</v>
      </c>
      <c r="R76" s="73">
        <f t="shared" si="8"/>
        <v>0</v>
      </c>
      <c r="S76" s="74">
        <f t="shared" si="8"/>
        <v>0</v>
      </c>
      <c r="T76" s="146"/>
      <c r="U76" s="146"/>
    </row>
    <row r="77" spans="1:23" x14ac:dyDescent="0.25">
      <c r="E77" s="57" t="s">
        <v>377</v>
      </c>
      <c r="L77" s="68" t="s">
        <v>30</v>
      </c>
      <c r="N77" s="75">
        <v>0</v>
      </c>
      <c r="O77" s="76">
        <v>0</v>
      </c>
      <c r="P77" s="77">
        <v>0</v>
      </c>
      <c r="Q77" s="78">
        <v>0</v>
      </c>
      <c r="R77" s="79">
        <v>0</v>
      </c>
      <c r="S77" s="80">
        <v>0</v>
      </c>
      <c r="T77" s="146"/>
      <c r="U77" s="146"/>
    </row>
    <row r="78" spans="1:23" x14ac:dyDescent="0.25">
      <c r="E78" s="57" t="s">
        <v>378</v>
      </c>
      <c r="L78" s="68" t="s">
        <v>30</v>
      </c>
      <c r="N78" s="75">
        <v>0</v>
      </c>
      <c r="O78" s="76">
        <v>0</v>
      </c>
      <c r="P78" s="77">
        <v>0</v>
      </c>
      <c r="Q78" s="78">
        <v>0</v>
      </c>
      <c r="R78" s="79">
        <v>0</v>
      </c>
      <c r="S78" s="80">
        <v>0</v>
      </c>
      <c r="T78" s="146"/>
      <c r="U78" s="146"/>
      <c r="V78" s="808" t="s">
        <v>255</v>
      </c>
      <c r="W78" s="57" t="s">
        <v>268</v>
      </c>
    </row>
    <row r="79" spans="1:23" s="91" customFormat="1" x14ac:dyDescent="0.25">
      <c r="D79" s="132" t="s">
        <v>342</v>
      </c>
      <c r="E79" s="146"/>
      <c r="F79" s="146"/>
      <c r="G79" s="146"/>
      <c r="H79" s="146"/>
      <c r="I79" s="146"/>
      <c r="J79" s="146"/>
      <c r="K79" s="146"/>
      <c r="L79" s="146"/>
      <c r="M79" s="146"/>
      <c r="N79" s="107"/>
      <c r="O79" s="108"/>
      <c r="P79" s="109"/>
      <c r="Q79" s="110"/>
      <c r="R79" s="111"/>
      <c r="S79" s="112"/>
      <c r="T79" s="146"/>
      <c r="U79" s="146"/>
    </row>
    <row r="80" spans="1:23" x14ac:dyDescent="0.25">
      <c r="E80" s="57" t="s">
        <v>379</v>
      </c>
      <c r="J80" s="56"/>
      <c r="L80" s="68" t="s">
        <v>16</v>
      </c>
      <c r="N80" s="95">
        <v>0</v>
      </c>
      <c r="O80" s="96">
        <v>0</v>
      </c>
      <c r="P80" s="97">
        <v>0</v>
      </c>
      <c r="Q80" s="98">
        <v>0</v>
      </c>
      <c r="R80" s="99">
        <v>0</v>
      </c>
      <c r="S80" s="100">
        <v>0</v>
      </c>
      <c r="T80" s="146"/>
      <c r="U80" s="146"/>
    </row>
    <row r="81" spans="1:23" x14ac:dyDescent="0.25">
      <c r="E81" s="57" t="s">
        <v>210</v>
      </c>
      <c r="L81" s="68" t="s">
        <v>20</v>
      </c>
      <c r="N81" s="134">
        <v>0</v>
      </c>
      <c r="O81" s="135">
        <v>0</v>
      </c>
      <c r="P81" s="136">
        <v>0</v>
      </c>
      <c r="Q81" s="137">
        <v>0</v>
      </c>
      <c r="R81" s="138">
        <v>0</v>
      </c>
      <c r="S81" s="139">
        <v>0</v>
      </c>
      <c r="T81" s="146"/>
      <c r="U81" s="146"/>
    </row>
    <row r="82" spans="1:23" x14ac:dyDescent="0.25">
      <c r="E82" s="57" t="s">
        <v>211</v>
      </c>
      <c r="L82" s="68" t="s">
        <v>30</v>
      </c>
      <c r="N82" s="134">
        <v>0</v>
      </c>
      <c r="O82" s="135">
        <v>0</v>
      </c>
      <c r="P82" s="136">
        <v>0</v>
      </c>
      <c r="Q82" s="137">
        <v>0</v>
      </c>
      <c r="R82" s="138">
        <v>0</v>
      </c>
      <c r="S82" s="139">
        <v>0</v>
      </c>
      <c r="T82" s="146"/>
      <c r="U82" s="146"/>
    </row>
    <row r="83" spans="1:23" x14ac:dyDescent="0.25">
      <c r="E83" s="57" t="s">
        <v>212</v>
      </c>
      <c r="L83" s="68" t="s">
        <v>30</v>
      </c>
      <c r="N83" s="140">
        <v>0</v>
      </c>
      <c r="O83" s="141">
        <v>0</v>
      </c>
      <c r="P83" s="142">
        <v>0</v>
      </c>
      <c r="Q83" s="143">
        <v>0</v>
      </c>
      <c r="R83" s="144">
        <v>0</v>
      </c>
      <c r="S83" s="145">
        <v>0</v>
      </c>
      <c r="T83" s="146"/>
      <c r="U83" s="146"/>
    </row>
    <row r="84" spans="1:23" s="91" customFormat="1" x14ac:dyDescent="0.25">
      <c r="D84" s="146"/>
      <c r="E84" s="146"/>
      <c r="F84" s="146"/>
      <c r="G84" s="146"/>
      <c r="H84" s="146"/>
      <c r="I84" s="146"/>
      <c r="J84" s="146"/>
      <c r="K84" s="146"/>
      <c r="L84" s="146"/>
      <c r="M84" s="146"/>
      <c r="N84" s="146"/>
      <c r="O84" s="146"/>
      <c r="P84" s="146"/>
      <c r="Q84" s="146"/>
      <c r="R84" s="146"/>
      <c r="S84" s="146"/>
      <c r="T84" s="146"/>
      <c r="U84" s="146"/>
    </row>
    <row r="85" spans="1:23" s="146" customFormat="1" ht="12.75" customHeight="1" x14ac:dyDescent="0.25">
      <c r="A85" s="791" t="s">
        <v>213</v>
      </c>
      <c r="B85" s="791"/>
      <c r="C85" s="791"/>
      <c r="D85" s="791"/>
      <c r="E85" s="791"/>
      <c r="F85" s="791"/>
      <c r="G85" s="791"/>
      <c r="H85" s="791"/>
      <c r="I85" s="791"/>
      <c r="J85" s="791"/>
      <c r="K85" s="792"/>
      <c r="L85" s="792"/>
      <c r="M85" s="792"/>
      <c r="N85" s="792"/>
      <c r="O85" s="792"/>
      <c r="P85" s="792"/>
      <c r="Q85" s="792"/>
      <c r="R85" s="792"/>
      <c r="S85" s="792"/>
      <c r="T85" s="792"/>
      <c r="U85" s="792"/>
      <c r="V85" s="792"/>
    </row>
    <row r="86" spans="1:23" s="146" customFormat="1" ht="12.75" customHeight="1" x14ac:dyDescent="0.25">
      <c r="A86" s="795"/>
      <c r="B86" s="795"/>
      <c r="C86" s="795"/>
      <c r="D86" s="795"/>
      <c r="E86" s="795"/>
      <c r="F86" s="795"/>
      <c r="G86" s="795"/>
      <c r="H86" s="795"/>
      <c r="I86" s="795"/>
      <c r="J86" s="795"/>
      <c r="K86" s="796"/>
      <c r="L86" s="796"/>
      <c r="M86" s="796"/>
      <c r="N86" s="796"/>
      <c r="O86" s="796"/>
      <c r="P86" s="796"/>
      <c r="Q86" s="796"/>
      <c r="R86" s="796"/>
      <c r="S86" s="796"/>
      <c r="T86" s="796"/>
      <c r="U86" s="796"/>
      <c r="V86" s="796"/>
    </row>
    <row r="87" spans="1:23" s="146" customFormat="1" ht="12.75" customHeight="1" x14ac:dyDescent="0.25">
      <c r="A87" s="795"/>
      <c r="B87" s="55" t="s">
        <v>216</v>
      </c>
      <c r="C87" s="55"/>
      <c r="D87" s="55"/>
      <c r="E87" s="55"/>
      <c r="F87" s="81"/>
      <c r="G87" s="81"/>
      <c r="H87" s="81"/>
      <c r="I87" s="81"/>
      <c r="J87" s="81"/>
      <c r="K87" s="81"/>
      <c r="L87" s="60"/>
      <c r="M87" s="60"/>
      <c r="N87" s="797"/>
      <c r="O87" s="797"/>
      <c r="P87" s="797"/>
      <c r="Q87" s="797"/>
      <c r="R87" s="797"/>
      <c r="S87" s="797"/>
      <c r="T87" s="797"/>
      <c r="U87" s="797"/>
      <c r="V87" s="797"/>
    </row>
    <row r="88" spans="1:23" s="146" customFormat="1" ht="12.75" customHeight="1" x14ac:dyDescent="0.25">
      <c r="A88" s="795"/>
      <c r="B88" s="795"/>
      <c r="C88" s="795"/>
      <c r="D88" s="795"/>
      <c r="E88" s="795"/>
      <c r="F88" s="795"/>
      <c r="G88" s="795"/>
      <c r="H88" s="795"/>
      <c r="I88" s="795"/>
      <c r="J88" s="795"/>
      <c r="K88" s="796"/>
      <c r="L88" s="796"/>
      <c r="M88" s="796"/>
      <c r="N88" s="796"/>
      <c r="O88" s="796"/>
      <c r="P88" s="796"/>
      <c r="Q88" s="796"/>
      <c r="R88" s="796"/>
      <c r="S88" s="796"/>
      <c r="T88" s="796"/>
      <c r="U88" s="796"/>
    </row>
    <row r="89" spans="1:23" x14ac:dyDescent="0.25">
      <c r="J89" s="56"/>
      <c r="K89" s="56"/>
      <c r="N89" s="1686" t="s">
        <v>56</v>
      </c>
      <c r="O89" s="1687"/>
      <c r="P89" s="1687"/>
      <c r="Q89" s="1687"/>
      <c r="R89" s="1687"/>
      <c r="S89" s="1688"/>
      <c r="T89" s="146"/>
      <c r="U89" s="146"/>
    </row>
    <row r="90" spans="1:23" x14ac:dyDescent="0.25">
      <c r="C90" s="56" t="s">
        <v>217</v>
      </c>
      <c r="N90" s="61" t="str">
        <f>$N$14</f>
        <v>Natural Gas</v>
      </c>
      <c r="O90" s="62" t="str">
        <f>$O$14</f>
        <v>Coal</v>
      </c>
      <c r="P90" s="63" t="str">
        <f>$P$14</f>
        <v>Hydro</v>
      </c>
      <c r="Q90" s="64" t="str">
        <f>$Q$14</f>
        <v>Light Fuel Oil</v>
      </c>
      <c r="R90" s="82" t="str">
        <f>$R$14</f>
        <v>Heavy Fuel Oil</v>
      </c>
      <c r="S90" s="66" t="str">
        <f>$S$14</f>
        <v>Geothermal</v>
      </c>
      <c r="T90" s="146"/>
      <c r="U90" s="146"/>
    </row>
    <row r="91" spans="1:23" x14ac:dyDescent="0.25">
      <c r="D91" s="57" t="s">
        <v>34</v>
      </c>
      <c r="L91" s="68" t="s">
        <v>16</v>
      </c>
      <c r="M91" s="68"/>
      <c r="N91" s="671">
        <v>0.52700000000000002</v>
      </c>
      <c r="O91" s="672">
        <v>0</v>
      </c>
      <c r="P91" s="673">
        <v>0</v>
      </c>
      <c r="Q91" s="674">
        <v>0</v>
      </c>
      <c r="R91" s="675">
        <v>0</v>
      </c>
      <c r="S91" s="676">
        <v>0</v>
      </c>
      <c r="T91" s="146"/>
      <c r="U91" s="146"/>
    </row>
    <row r="92" spans="1:23" x14ac:dyDescent="0.25">
      <c r="D92" s="57" t="s">
        <v>35</v>
      </c>
      <c r="L92" s="68" t="s">
        <v>19</v>
      </c>
      <c r="M92" s="68"/>
      <c r="N92" s="677">
        <v>7000</v>
      </c>
      <c r="O92" s="678">
        <v>0</v>
      </c>
      <c r="P92" s="679">
        <v>0</v>
      </c>
      <c r="Q92" s="680">
        <v>0</v>
      </c>
      <c r="R92" s="681">
        <v>0</v>
      </c>
      <c r="S92" s="682">
        <v>0</v>
      </c>
      <c r="T92" s="146"/>
      <c r="U92" s="146"/>
    </row>
    <row r="93" spans="1:23" x14ac:dyDescent="0.25">
      <c r="D93" s="57" t="s">
        <v>36</v>
      </c>
      <c r="L93" s="68" t="s">
        <v>16</v>
      </c>
      <c r="M93" s="68"/>
      <c r="N93" s="1110">
        <f t="shared" ref="N93:S93" si="9">N92/(24*365)</f>
        <v>0.79908675799086759</v>
      </c>
      <c r="O93" s="1111">
        <f t="shared" si="9"/>
        <v>0</v>
      </c>
      <c r="P93" s="1112">
        <f t="shared" si="9"/>
        <v>0</v>
      </c>
      <c r="Q93" s="1113">
        <f t="shared" si="9"/>
        <v>0</v>
      </c>
      <c r="R93" s="1114">
        <f t="shared" si="9"/>
        <v>0</v>
      </c>
      <c r="S93" s="1115">
        <f t="shared" si="9"/>
        <v>0</v>
      </c>
      <c r="T93" s="146"/>
      <c r="U93" s="146"/>
    </row>
    <row r="94" spans="1:23" x14ac:dyDescent="0.25">
      <c r="N94" s="126"/>
      <c r="O94" s="127"/>
      <c r="P94" s="128"/>
      <c r="Q94" s="129"/>
      <c r="R94" s="130"/>
      <c r="S94" s="131"/>
      <c r="T94" s="146"/>
      <c r="U94" s="146"/>
    </row>
    <row r="95" spans="1:23" x14ac:dyDescent="0.25">
      <c r="C95" s="153" t="s">
        <v>38</v>
      </c>
      <c r="N95" s="126"/>
      <c r="O95" s="127"/>
      <c r="P95" s="128"/>
      <c r="Q95" s="129"/>
      <c r="R95" s="130"/>
      <c r="S95" s="131"/>
      <c r="T95" s="146"/>
      <c r="U95" s="146"/>
    </row>
    <row r="96" spans="1:23" x14ac:dyDescent="0.25">
      <c r="D96" s="59" t="s">
        <v>220</v>
      </c>
      <c r="K96" s="159"/>
      <c r="L96" s="67"/>
      <c r="N96" s="201" t="s">
        <v>156</v>
      </c>
      <c r="O96" s="200" t="s">
        <v>24</v>
      </c>
      <c r="P96" s="202" t="s">
        <v>24</v>
      </c>
      <c r="Q96" s="203" t="s">
        <v>24</v>
      </c>
      <c r="R96" s="204" t="s">
        <v>24</v>
      </c>
      <c r="S96" s="205" t="s">
        <v>24</v>
      </c>
      <c r="T96" s="146"/>
      <c r="U96" s="146"/>
      <c r="V96" s="806" t="s">
        <v>255</v>
      </c>
      <c r="W96" s="59" t="s">
        <v>391</v>
      </c>
    </row>
    <row r="97" spans="3:23" x14ac:dyDescent="0.25">
      <c r="E97" s="125" t="s">
        <v>380</v>
      </c>
      <c r="F97" s="125"/>
      <c r="G97" s="160"/>
      <c r="H97" s="160"/>
      <c r="I97" s="160"/>
      <c r="L97" s="68"/>
      <c r="N97" s="161"/>
      <c r="O97" s="162"/>
      <c r="P97" s="163"/>
      <c r="Q97" s="164"/>
      <c r="R97" s="165"/>
      <c r="S97" s="166"/>
      <c r="T97" s="146"/>
      <c r="U97" s="146"/>
      <c r="W97" s="57" t="s">
        <v>392</v>
      </c>
    </row>
    <row r="98" spans="3:23" x14ac:dyDescent="0.25">
      <c r="F98" s="57" t="s">
        <v>381</v>
      </c>
      <c r="L98" s="68" t="s">
        <v>434</v>
      </c>
      <c r="N98" s="1198">
        <v>0</v>
      </c>
      <c r="O98" s="1221">
        <v>0</v>
      </c>
      <c r="P98" s="1222">
        <v>0</v>
      </c>
      <c r="Q98" s="1223">
        <v>0</v>
      </c>
      <c r="R98" s="1224">
        <v>0</v>
      </c>
      <c r="S98" s="1225">
        <v>0</v>
      </c>
      <c r="T98" s="146"/>
      <c r="U98" s="146"/>
      <c r="W98" s="57" t="s">
        <v>395</v>
      </c>
    </row>
    <row r="99" spans="3:23" x14ac:dyDescent="0.25">
      <c r="F99" s="57" t="s">
        <v>382</v>
      </c>
      <c r="L99" s="68" t="s">
        <v>16</v>
      </c>
      <c r="N99" s="147">
        <v>0</v>
      </c>
      <c r="O99" s="148">
        <v>0</v>
      </c>
      <c r="P99" s="149">
        <v>0</v>
      </c>
      <c r="Q99" s="150">
        <v>0</v>
      </c>
      <c r="R99" s="151">
        <v>0</v>
      </c>
      <c r="S99" s="152">
        <v>0</v>
      </c>
      <c r="T99" s="146"/>
      <c r="U99" s="146"/>
      <c r="W99" s="57" t="s">
        <v>394</v>
      </c>
    </row>
    <row r="100" spans="3:23" x14ac:dyDescent="0.25">
      <c r="E100" s="125" t="s">
        <v>383</v>
      </c>
      <c r="F100" s="125"/>
      <c r="G100" s="160"/>
      <c r="H100" s="160"/>
      <c r="I100" s="160"/>
      <c r="L100" s="68"/>
      <c r="N100" s="167"/>
      <c r="O100" s="168"/>
      <c r="P100" s="169"/>
      <c r="Q100" s="170"/>
      <c r="R100" s="171"/>
      <c r="S100" s="172"/>
      <c r="T100" s="146"/>
      <c r="U100" s="146"/>
      <c r="W100" s="57" t="s">
        <v>393</v>
      </c>
    </row>
    <row r="101" spans="3:23" x14ac:dyDescent="0.25">
      <c r="F101" s="57" t="s">
        <v>153</v>
      </c>
      <c r="L101" s="68" t="s">
        <v>434</v>
      </c>
      <c r="N101" s="1198">
        <v>0</v>
      </c>
      <c r="O101" s="1226">
        <v>0</v>
      </c>
      <c r="P101" s="1227">
        <v>0</v>
      </c>
      <c r="Q101" s="1228">
        <v>0</v>
      </c>
      <c r="R101" s="1229">
        <v>0</v>
      </c>
      <c r="S101" s="1230">
        <v>0</v>
      </c>
      <c r="T101" s="146"/>
      <c r="U101" s="146"/>
    </row>
    <row r="102" spans="3:23" x14ac:dyDescent="0.25">
      <c r="F102" s="57" t="s">
        <v>154</v>
      </c>
      <c r="L102" s="68" t="s">
        <v>437</v>
      </c>
      <c r="N102" s="1198">
        <v>0</v>
      </c>
      <c r="O102" s="1221">
        <v>0</v>
      </c>
      <c r="P102" s="1222">
        <v>0</v>
      </c>
      <c r="Q102" s="1223">
        <v>0</v>
      </c>
      <c r="R102" s="1224">
        <v>0</v>
      </c>
      <c r="S102" s="1225">
        <v>0</v>
      </c>
      <c r="T102" s="146"/>
      <c r="U102" s="146"/>
    </row>
    <row r="103" spans="3:23" x14ac:dyDescent="0.25">
      <c r="L103" s="68"/>
      <c r="N103" s="173"/>
      <c r="O103" s="174"/>
      <c r="P103" s="175"/>
      <c r="Q103" s="176"/>
      <c r="R103" s="177"/>
      <c r="S103" s="178"/>
      <c r="T103" s="146"/>
      <c r="U103" s="146"/>
    </row>
    <row r="104" spans="3:23" x14ac:dyDescent="0.25">
      <c r="C104" s="56" t="s">
        <v>44</v>
      </c>
      <c r="K104" s="56"/>
      <c r="N104" s="154"/>
      <c r="O104" s="155"/>
      <c r="P104" s="156"/>
      <c r="Q104" s="179"/>
      <c r="R104" s="157"/>
      <c r="S104" s="158"/>
      <c r="T104" s="146"/>
      <c r="U104" s="146"/>
    </row>
    <row r="105" spans="3:23" x14ac:dyDescent="0.25">
      <c r="D105" s="57" t="s">
        <v>384</v>
      </c>
      <c r="L105" s="68" t="s">
        <v>433</v>
      </c>
      <c r="N105" s="1075">
        <f>35100/'III. Inputs, Renewable Energy'!U19</f>
        <v>25620.437956204376</v>
      </c>
      <c r="O105" s="1216">
        <v>0</v>
      </c>
      <c r="P105" s="1217">
        <v>0</v>
      </c>
      <c r="Q105" s="1218">
        <v>0</v>
      </c>
      <c r="R105" s="1219">
        <v>0</v>
      </c>
      <c r="S105" s="1220">
        <v>0</v>
      </c>
      <c r="T105" s="146"/>
      <c r="U105" s="146"/>
    </row>
    <row r="106" spans="3:23" x14ac:dyDescent="0.25">
      <c r="D106" s="57" t="s">
        <v>385</v>
      </c>
      <c r="L106" s="68" t="s">
        <v>16</v>
      </c>
      <c r="N106" s="147">
        <v>0</v>
      </c>
      <c r="O106" s="148">
        <v>0</v>
      </c>
      <c r="P106" s="149">
        <v>0</v>
      </c>
      <c r="Q106" s="150">
        <v>0</v>
      </c>
      <c r="R106" s="151">
        <v>0</v>
      </c>
      <c r="S106" s="152">
        <v>0</v>
      </c>
      <c r="T106" s="146"/>
      <c r="U106" s="146"/>
    </row>
    <row r="107" spans="3:23" x14ac:dyDescent="0.25">
      <c r="N107" s="154"/>
      <c r="O107" s="155"/>
      <c r="P107" s="156"/>
      <c r="Q107" s="179"/>
      <c r="R107" s="157"/>
      <c r="S107" s="158"/>
      <c r="T107" s="146"/>
      <c r="U107" s="146"/>
    </row>
    <row r="108" spans="3:23" x14ac:dyDescent="0.25">
      <c r="C108" s="56" t="s">
        <v>21</v>
      </c>
      <c r="N108" s="154"/>
      <c r="O108" s="155"/>
      <c r="P108" s="156"/>
      <c r="Q108" s="179"/>
      <c r="R108" s="157"/>
      <c r="S108" s="158"/>
      <c r="T108" s="146"/>
      <c r="U108" s="146"/>
    </row>
    <row r="109" spans="3:23" x14ac:dyDescent="0.25">
      <c r="D109" s="57" t="s">
        <v>390</v>
      </c>
      <c r="L109" s="68" t="s">
        <v>16</v>
      </c>
      <c r="N109" s="653">
        <v>1</v>
      </c>
      <c r="O109" s="654">
        <v>1</v>
      </c>
      <c r="P109" s="655">
        <v>1</v>
      </c>
      <c r="Q109" s="656">
        <v>1</v>
      </c>
      <c r="R109" s="657">
        <v>1</v>
      </c>
      <c r="S109" s="658">
        <v>1</v>
      </c>
      <c r="T109" s="146"/>
      <c r="U109" s="146"/>
    </row>
    <row r="110" spans="3:23" x14ac:dyDescent="0.25">
      <c r="C110" s="182"/>
      <c r="D110" s="182" t="s">
        <v>18</v>
      </c>
      <c r="E110" s="182"/>
      <c r="F110" s="182"/>
      <c r="G110" s="182"/>
      <c r="H110" s="182"/>
      <c r="I110" s="182"/>
      <c r="J110" s="182"/>
      <c r="K110" s="182"/>
      <c r="L110" s="763" t="s">
        <v>16</v>
      </c>
      <c r="M110" s="182"/>
      <c r="N110" s="659">
        <v>0</v>
      </c>
      <c r="O110" s="660">
        <v>0</v>
      </c>
      <c r="P110" s="661">
        <v>0</v>
      </c>
      <c r="Q110" s="662">
        <v>0</v>
      </c>
      <c r="R110" s="663">
        <v>0</v>
      </c>
      <c r="S110" s="664">
        <v>0</v>
      </c>
      <c r="T110" s="146"/>
      <c r="U110" s="146"/>
    </row>
    <row r="111" spans="3:23" s="91" customFormat="1" ht="25.5" customHeight="1" x14ac:dyDescent="0.25">
      <c r="C111" s="764"/>
      <c r="E111" s="146"/>
      <c r="F111" s="146"/>
      <c r="G111" s="146"/>
      <c r="H111" s="146"/>
      <c r="I111" s="146"/>
      <c r="J111" s="146"/>
      <c r="K111" s="146"/>
      <c r="L111" s="765"/>
      <c r="M111" s="799" t="s">
        <v>386</v>
      </c>
      <c r="N111" s="766" t="str">
        <f t="shared" ref="N111:S111" si="10">IF(SUM(N109:N110)=100%, "", "Sum must equal 100%")</f>
        <v/>
      </c>
      <c r="O111" s="766" t="str">
        <f t="shared" si="10"/>
        <v/>
      </c>
      <c r="P111" s="766" t="str">
        <f t="shared" si="10"/>
        <v/>
      </c>
      <c r="Q111" s="766" t="str">
        <f t="shared" si="10"/>
        <v/>
      </c>
      <c r="R111" s="766" t="str">
        <f t="shared" si="10"/>
        <v/>
      </c>
      <c r="S111" s="766" t="str">
        <f t="shared" si="10"/>
        <v/>
      </c>
      <c r="T111" s="652"/>
      <c r="U111" s="652"/>
    </row>
    <row r="112" spans="3:23" x14ac:dyDescent="0.25"/>
    <row r="113" x14ac:dyDescent="0.25"/>
  </sheetData>
  <sheetProtection formatCells="0" formatColumns="0" formatRows="0" insertColumns="0" insertRows="0"/>
  <mergeCells count="4">
    <mergeCell ref="N26:S26"/>
    <mergeCell ref="N57:S57"/>
    <mergeCell ref="N89:S89"/>
    <mergeCell ref="N13:T13"/>
  </mergeCells>
  <dataValidations count="3">
    <dataValidation type="list" allowBlank="1" showInputMessage="1" showErrorMessage="1" sqref="N96:U96">
      <formula1>fuelcostmb</formula1>
    </dataValidation>
    <dataValidation type="list" allowBlank="1" showInputMessage="1" showErrorMessage="1" sqref="N60:U60 N64:U64 N71:U71 N62:U62">
      <formula1>InstrumentSelectionMB</formula1>
    </dataValidation>
    <dataValidation allowBlank="1" showInputMessage="1" showErrorMessage="1" sqref="O65:U67"/>
  </dataValidations>
  <pageMargins left="0.7" right="0.7" top="0.75" bottom="0.75" header="0.3" footer="0.3"/>
  <pageSetup scale="49" fitToHeight="0" orientation="landscape" horizontalDpi="4294967293"/>
  <rowBreaks count="1" manualBreakCount="1">
    <brk id="52" max="16383" man="1"/>
  </rowBreaks>
  <ignoredErrors>
    <ignoredError sqref="N32:N34 O32:P32 Q33:Q34 Q32:S32 O33:P33 R33:R34 S33:S34 O34:P34 U15" unlocked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3"/>
  <sheetViews>
    <sheetView showGridLines="0" topLeftCell="G22" zoomScale="85" zoomScaleNormal="85" zoomScalePageLayoutView="85" workbookViewId="0">
      <selection activeCell="V27" sqref="V27:X27"/>
    </sheetView>
  </sheetViews>
  <sheetFormatPr defaultColWidth="0" defaultRowHeight="13.2" zeroHeight="1" outlineLevelCol="1" x14ac:dyDescent="0.25"/>
  <cols>
    <col min="1" max="15" width="2.6640625" style="57" customWidth="1"/>
    <col min="16" max="16" width="71.109375" style="57" customWidth="1"/>
    <col min="17" max="17" width="12.44140625" style="57" bestFit="1" customWidth="1"/>
    <col min="18" max="19" width="13.6640625" style="57" customWidth="1"/>
    <col min="20" max="20" width="14.44140625" style="57" customWidth="1"/>
    <col min="21" max="21" width="13.6640625" style="57" customWidth="1"/>
    <col min="22" max="22" width="14.44140625" style="57" customWidth="1"/>
    <col min="23" max="23" width="15.44140625" style="57" customWidth="1"/>
    <col min="24" max="24" width="14.6640625" style="57" customWidth="1"/>
    <col min="25" max="25" width="14.44140625" style="57" customWidth="1"/>
    <col min="26" max="26" width="13.6640625" style="57" customWidth="1"/>
    <col min="27" max="32" width="10.6640625" style="57" customWidth="1" outlineLevel="1"/>
    <col min="33" max="33" width="3.44140625" style="57" customWidth="1"/>
    <col min="34" max="16384" width="9.109375" style="57" hidden="1"/>
  </cols>
  <sheetData>
    <row r="1" spans="1:26" x14ac:dyDescent="0.25">
      <c r="A1" s="707" t="s">
        <v>630</v>
      </c>
    </row>
    <row r="2" spans="1:26" x14ac:dyDescent="0.25"/>
    <row r="3" spans="1:26" x14ac:dyDescent="0.25">
      <c r="A3" s="789" t="s">
        <v>493</v>
      </c>
      <c r="B3" s="789"/>
      <c r="C3" s="789"/>
      <c r="D3" s="789"/>
      <c r="E3" s="789"/>
      <c r="F3" s="789"/>
      <c r="G3" s="789"/>
      <c r="H3" s="789"/>
      <c r="I3" s="789"/>
      <c r="J3" s="789"/>
      <c r="K3" s="789"/>
      <c r="L3" s="789"/>
      <c r="M3" s="789"/>
      <c r="N3" s="800"/>
      <c r="O3" s="800"/>
      <c r="P3" s="790"/>
      <c r="Q3" s="790"/>
      <c r="R3" s="800"/>
      <c r="S3" s="800"/>
      <c r="T3" s="800"/>
      <c r="U3" s="800"/>
      <c r="V3" s="800"/>
      <c r="W3" s="800"/>
      <c r="X3" s="800"/>
      <c r="Y3" s="800"/>
      <c r="Z3" s="800"/>
    </row>
    <row r="4" spans="1:26" s="146" customFormat="1" ht="12.75" customHeight="1" x14ac:dyDescent="0.25">
      <c r="T4" s="793"/>
      <c r="U4" s="793"/>
      <c r="V4" s="793"/>
      <c r="Y4" s="765"/>
      <c r="Z4" s="765"/>
    </row>
    <row r="5" spans="1:26" s="146" customFormat="1" ht="12.75" customHeight="1" x14ac:dyDescent="0.25">
      <c r="B5" s="146" t="s">
        <v>214</v>
      </c>
      <c r="W5" s="801"/>
      <c r="Z5" s="801" t="s">
        <v>196</v>
      </c>
    </row>
    <row r="6" spans="1:26" s="146" customFormat="1" ht="12.75" customHeight="1" x14ac:dyDescent="0.25">
      <c r="C6" s="146" t="s">
        <v>495</v>
      </c>
      <c r="W6" s="802"/>
      <c r="Z6" s="802" t="s">
        <v>197</v>
      </c>
    </row>
    <row r="7" spans="1:26" s="146" customFormat="1" ht="12.75" customHeight="1" x14ac:dyDescent="0.25">
      <c r="C7" s="146" t="s">
        <v>203</v>
      </c>
      <c r="W7" s="801"/>
      <c r="Z7" s="801" t="str">
        <f>"----&gt;"</f>
        <v>----&gt;</v>
      </c>
    </row>
    <row r="8" spans="1:26" s="146" customFormat="1" x14ac:dyDescent="0.25">
      <c r="C8" s="146" t="s">
        <v>204</v>
      </c>
      <c r="T8" s="793"/>
      <c r="U8" s="793"/>
      <c r="V8" s="793"/>
    </row>
    <row r="9" spans="1:26" s="146" customFormat="1" ht="12.75" customHeight="1" x14ac:dyDescent="0.25">
      <c r="C9" s="146" t="s">
        <v>205</v>
      </c>
      <c r="T9" s="793"/>
      <c r="U9" s="793"/>
      <c r="V9" s="793"/>
    </row>
    <row r="10" spans="1:26" ht="12.75" customHeight="1" x14ac:dyDescent="0.25"/>
    <row r="11" spans="1:26" s="146" customFormat="1" ht="12.75" customHeight="1" x14ac:dyDescent="0.25">
      <c r="A11" s="791" t="s">
        <v>494</v>
      </c>
      <c r="B11" s="791"/>
      <c r="C11" s="791"/>
      <c r="D11" s="791"/>
      <c r="E11" s="791"/>
      <c r="F11" s="791"/>
      <c r="G11" s="791"/>
      <c r="H11" s="791"/>
      <c r="I11" s="791"/>
      <c r="J11" s="791"/>
      <c r="K11" s="791"/>
      <c r="L11" s="791"/>
      <c r="M11" s="794"/>
      <c r="N11" s="792"/>
      <c r="O11" s="792"/>
      <c r="P11" s="792"/>
      <c r="Q11" s="792"/>
      <c r="R11" s="792"/>
      <c r="S11" s="792"/>
      <c r="T11" s="792"/>
      <c r="U11" s="792"/>
      <c r="V11" s="792"/>
      <c r="W11" s="792"/>
      <c r="X11" s="792"/>
      <c r="Y11" s="792"/>
      <c r="Z11" s="792"/>
    </row>
    <row r="12" spans="1:26" ht="12.75" customHeight="1" x14ac:dyDescent="0.25"/>
    <row r="13" spans="1:26" ht="12.75" customHeight="1" x14ac:dyDescent="0.25">
      <c r="P13" s="836"/>
      <c r="Q13" s="84"/>
      <c r="R13" s="84"/>
      <c r="T13" s="837"/>
      <c r="U13" s="1693" t="s">
        <v>483</v>
      </c>
      <c r="V13" s="1694"/>
    </row>
    <row r="14" spans="1:26" ht="12.75" customHeight="1" x14ac:dyDescent="0.2">
      <c r="B14" s="57" t="s">
        <v>46</v>
      </c>
      <c r="Q14" s="68" t="s">
        <v>15</v>
      </c>
      <c r="T14" s="838"/>
      <c r="U14" s="1878">
        <v>736</v>
      </c>
      <c r="V14" s="1879"/>
    </row>
    <row r="15" spans="1:26" ht="12.75" customHeight="1" x14ac:dyDescent="0.2">
      <c r="B15" s="57" t="s">
        <v>14</v>
      </c>
      <c r="Q15" s="68" t="s">
        <v>433</v>
      </c>
      <c r="T15" s="839"/>
      <c r="U15" s="1697">
        <v>1189781.02189781</v>
      </c>
      <c r="V15" s="1698"/>
    </row>
    <row r="16" spans="1:26" ht="12.75" customHeight="1" x14ac:dyDescent="0.2">
      <c r="B16" s="146" t="s">
        <v>199</v>
      </c>
      <c r="C16" s="146"/>
      <c r="Q16" s="68" t="s">
        <v>20</v>
      </c>
      <c r="T16" s="838"/>
      <c r="U16" s="1880">
        <v>20</v>
      </c>
      <c r="V16" s="1881"/>
    </row>
    <row r="17" spans="1:27" ht="12.75" customHeight="1" x14ac:dyDescent="0.25">
      <c r="B17" s="57" t="s">
        <v>17</v>
      </c>
      <c r="Q17" s="68" t="s">
        <v>16</v>
      </c>
      <c r="T17" s="840"/>
      <c r="U17" s="1882">
        <v>0.3</v>
      </c>
      <c r="V17" s="1883"/>
    </row>
    <row r="18" spans="1:27" ht="12.75" customHeight="1" x14ac:dyDescent="0.25">
      <c r="B18" s="57" t="s">
        <v>96</v>
      </c>
      <c r="Q18" s="68" t="s">
        <v>16</v>
      </c>
      <c r="T18" s="840"/>
      <c r="U18" s="1882">
        <v>0.06</v>
      </c>
      <c r="V18" s="1883"/>
    </row>
    <row r="19" spans="1:27" ht="12.75" customHeight="1" x14ac:dyDescent="0.25">
      <c r="B19" s="57" t="s">
        <v>613</v>
      </c>
      <c r="Q19" s="68" t="s">
        <v>155</v>
      </c>
      <c r="T19" s="840"/>
      <c r="U19" s="1972">
        <v>1.37</v>
      </c>
      <c r="V19" s="1973"/>
    </row>
    <row r="20" spans="1:27" ht="12.75" customHeight="1" x14ac:dyDescent="0.25"/>
    <row r="21" spans="1:27" s="146" customFormat="1" ht="12.75" customHeight="1" x14ac:dyDescent="0.25">
      <c r="A21" s="791" t="s">
        <v>206</v>
      </c>
      <c r="B21" s="791"/>
      <c r="C21" s="791"/>
      <c r="D21" s="791"/>
      <c r="E21" s="791"/>
      <c r="F21" s="791"/>
      <c r="G21" s="791"/>
      <c r="H21" s="791"/>
      <c r="I21" s="791"/>
      <c r="J21" s="791"/>
      <c r="K21" s="791"/>
      <c r="L21" s="791"/>
      <c r="M21" s="794"/>
      <c r="N21" s="792"/>
      <c r="O21" s="792"/>
      <c r="P21" s="792"/>
      <c r="Q21" s="792"/>
      <c r="R21" s="792"/>
      <c r="S21" s="792"/>
      <c r="T21" s="792"/>
      <c r="U21" s="792"/>
      <c r="V21" s="792"/>
      <c r="W21" s="792"/>
      <c r="X21" s="792"/>
      <c r="Y21" s="792"/>
      <c r="Z21" s="792"/>
    </row>
    <row r="22" spans="1:27" ht="12.75" customHeight="1" x14ac:dyDescent="0.25"/>
    <row r="23" spans="1:27" ht="12.75" customHeight="1" x14ac:dyDescent="0.25">
      <c r="B23" s="841" t="s">
        <v>207</v>
      </c>
      <c r="C23" s="841"/>
      <c r="D23" s="841"/>
      <c r="E23" s="841"/>
      <c r="F23" s="841"/>
      <c r="G23" s="841"/>
      <c r="H23" s="841"/>
      <c r="I23" s="841"/>
      <c r="J23" s="841"/>
      <c r="K23" s="841"/>
      <c r="L23" s="841"/>
      <c r="M23" s="841"/>
      <c r="N23" s="841"/>
      <c r="O23" s="841"/>
      <c r="P23" s="841"/>
      <c r="Q23" s="841"/>
      <c r="R23" s="841"/>
      <c r="S23" s="841"/>
      <c r="T23" s="841"/>
      <c r="U23" s="841"/>
      <c r="V23" s="841"/>
      <c r="W23" s="841"/>
      <c r="X23" s="841"/>
      <c r="Y23" s="841"/>
      <c r="Z23" s="841"/>
      <c r="AA23" s="842"/>
    </row>
    <row r="24" spans="1:27" ht="12.75" customHeight="1" x14ac:dyDescent="0.25"/>
    <row r="25" spans="1:27" ht="12.75" customHeight="1" x14ac:dyDescent="0.25">
      <c r="P25" s="836"/>
      <c r="Q25" s="84"/>
      <c r="S25" s="1730" t="s">
        <v>314</v>
      </c>
      <c r="T25" s="1731"/>
      <c r="U25" s="1732"/>
      <c r="V25" s="1739" t="s">
        <v>202</v>
      </c>
      <c r="W25" s="1740"/>
      <c r="X25" s="1741"/>
    </row>
    <row r="26" spans="1:27" ht="12.75" customHeight="1" x14ac:dyDescent="0.25">
      <c r="C26" s="56" t="s">
        <v>26</v>
      </c>
      <c r="D26" s="56"/>
      <c r="S26" s="1807"/>
      <c r="T26" s="1808"/>
      <c r="U26" s="1809"/>
      <c r="V26" s="1727"/>
      <c r="W26" s="1728"/>
      <c r="X26" s="1729"/>
    </row>
    <row r="27" spans="1:27" ht="12.75" customHeight="1" x14ac:dyDescent="0.25">
      <c r="D27" s="57" t="s">
        <v>28</v>
      </c>
      <c r="Q27" s="68" t="s">
        <v>16</v>
      </c>
      <c r="S27" s="1858">
        <v>0.3</v>
      </c>
      <c r="T27" s="1859"/>
      <c r="U27" s="1860"/>
      <c r="V27" s="1905">
        <v>0.27500000000000002</v>
      </c>
      <c r="W27" s="1906"/>
      <c r="X27" s="1907"/>
      <c r="Y27" s="1411"/>
    </row>
    <row r="28" spans="1:27" ht="12.75" customHeight="1" x14ac:dyDescent="0.25">
      <c r="D28" s="57" t="s">
        <v>90</v>
      </c>
      <c r="Q28" s="68" t="s">
        <v>16</v>
      </c>
      <c r="S28" s="1858">
        <v>0.7</v>
      </c>
      <c r="T28" s="1859"/>
      <c r="U28" s="1860"/>
      <c r="V28" s="1905">
        <v>0.72499999999999998</v>
      </c>
      <c r="W28" s="1906"/>
      <c r="X28" s="1907"/>
      <c r="Y28" s="1411"/>
    </row>
    <row r="29" spans="1:27" ht="12.75" customHeight="1" x14ac:dyDescent="0.25">
      <c r="E29" s="57" t="s">
        <v>369</v>
      </c>
      <c r="Q29" s="68"/>
      <c r="R29" s="843" t="s">
        <v>399</v>
      </c>
      <c r="S29" s="1848" t="str">
        <f>IF(OR(SUM(S27:U28)=1, SUM(S27:U28)=0), "", "Sum must equal 100%")</f>
        <v/>
      </c>
      <c r="T29" s="1849"/>
      <c r="U29" s="1850"/>
      <c r="V29" s="1851" t="str">
        <f>IF(OR(SUM(V27:X28)=1, SUM(V27:X28)=0), "", "Sum must equal 100%")</f>
        <v/>
      </c>
      <c r="W29" s="1852"/>
      <c r="X29" s="1853"/>
    </row>
    <row r="30" spans="1:27" ht="12.75" customHeight="1" x14ac:dyDescent="0.25">
      <c r="A30" s="91"/>
      <c r="B30" s="91"/>
      <c r="F30" s="798" t="s">
        <v>313</v>
      </c>
      <c r="H30" s="91"/>
      <c r="I30" s="91"/>
      <c r="J30" s="91"/>
      <c r="K30" s="91"/>
      <c r="L30" s="91"/>
      <c r="M30" s="91"/>
      <c r="N30" s="91"/>
      <c r="O30" s="91"/>
      <c r="Q30" s="67" t="s">
        <v>16</v>
      </c>
      <c r="S30" s="1933" t="str">
        <f>IF(S115="Y", S116, "NA")</f>
        <v>NA</v>
      </c>
      <c r="T30" s="1934"/>
      <c r="U30" s="1935"/>
      <c r="V30" s="1870">
        <f>IF(V115="Y", V116, "NA")</f>
        <v>0.5</v>
      </c>
      <c r="W30" s="1871"/>
      <c r="X30" s="1872"/>
      <c r="Z30" s="808"/>
    </row>
    <row r="31" spans="1:27" ht="12.75" customHeight="1" x14ac:dyDescent="0.25">
      <c r="A31" s="91"/>
      <c r="B31" s="91"/>
      <c r="F31" s="798" t="s">
        <v>299</v>
      </c>
      <c r="H31" s="91"/>
      <c r="I31" s="91"/>
      <c r="J31" s="91"/>
      <c r="K31" s="91"/>
      <c r="L31" s="91"/>
      <c r="M31" s="91"/>
      <c r="N31" s="91"/>
      <c r="O31" s="91"/>
      <c r="Q31" s="67" t="s">
        <v>16</v>
      </c>
      <c r="S31" s="1933" t="str">
        <f>IF(S117="Y", S118, "NA")</f>
        <v>NA</v>
      </c>
      <c r="T31" s="1934"/>
      <c r="U31" s="1935"/>
      <c r="V31" s="1870" t="str">
        <f>IF(V117="Y",V118, "NA")</f>
        <v>NA</v>
      </c>
      <c r="W31" s="1871"/>
      <c r="X31" s="1872"/>
    </row>
    <row r="32" spans="1:27" ht="12.75" customHeight="1" x14ac:dyDescent="0.25">
      <c r="A32" s="91"/>
      <c r="B32" s="91"/>
      <c r="C32" s="182"/>
      <c r="D32" s="182"/>
      <c r="F32" s="181" t="s">
        <v>300</v>
      </c>
      <c r="H32" s="146"/>
      <c r="I32" s="146"/>
      <c r="J32" s="146"/>
      <c r="K32" s="146"/>
      <c r="L32" s="146"/>
      <c r="M32" s="146"/>
      <c r="N32" s="146"/>
      <c r="O32" s="146"/>
      <c r="P32" s="182"/>
      <c r="Q32" s="844" t="s">
        <v>16</v>
      </c>
      <c r="S32" s="1936">
        <f>IF(S28=0,0,1-(SUM(S30,S31)))</f>
        <v>1</v>
      </c>
      <c r="T32" s="1937"/>
      <c r="U32" s="1938"/>
      <c r="V32" s="1870">
        <f>IF(V28=0,0,1-(SUM(V30,V31)))</f>
        <v>0.5</v>
      </c>
      <c r="W32" s="1871"/>
      <c r="X32" s="1872"/>
    </row>
    <row r="33" spans="3:27" ht="12.75" customHeight="1" x14ac:dyDescent="0.25">
      <c r="C33" s="56"/>
      <c r="F33" s="91"/>
      <c r="Q33" s="68"/>
      <c r="S33" s="1807"/>
      <c r="T33" s="1808"/>
      <c r="U33" s="1809"/>
      <c r="V33" s="1727"/>
      <c r="W33" s="1728"/>
      <c r="X33" s="1729"/>
    </row>
    <row r="34" spans="3:27" ht="12.75" customHeight="1" x14ac:dyDescent="0.25">
      <c r="C34" s="56" t="s">
        <v>53</v>
      </c>
      <c r="F34" s="91"/>
      <c r="S34" s="1807"/>
      <c r="T34" s="1808"/>
      <c r="U34" s="1809"/>
      <c r="V34" s="1727"/>
      <c r="W34" s="1728"/>
      <c r="X34" s="1729"/>
    </row>
    <row r="35" spans="3:27" ht="12.75" customHeight="1" x14ac:dyDescent="0.25">
      <c r="D35" s="57" t="s">
        <v>4</v>
      </c>
      <c r="Q35" s="68" t="s">
        <v>16</v>
      </c>
      <c r="S35" s="1858">
        <v>0.15</v>
      </c>
      <c r="T35" s="1859"/>
      <c r="U35" s="1860"/>
      <c r="V35" s="1939">
        <f>IF(AND(S35&gt;0, V55="Risk Waterfall"), S35+V135+V146,V62)</f>
        <v>0.12748463872437021</v>
      </c>
      <c r="W35" s="1940"/>
      <c r="X35" s="1941"/>
    </row>
    <row r="36" spans="3:27" ht="12.75" customHeight="1" x14ac:dyDescent="0.25">
      <c r="D36" s="57" t="s">
        <v>54</v>
      </c>
      <c r="S36" s="1807"/>
      <c r="T36" s="1808"/>
      <c r="U36" s="1809"/>
      <c r="V36" s="1861"/>
      <c r="W36" s="1862"/>
      <c r="X36" s="1863"/>
      <c r="Z36" s="808"/>
      <c r="AA36" s="845"/>
    </row>
    <row r="37" spans="3:27" ht="12.75" customHeight="1" x14ac:dyDescent="0.25">
      <c r="E37" s="798" t="s">
        <v>313</v>
      </c>
      <c r="Q37" s="68" t="s">
        <v>16</v>
      </c>
      <c r="S37" s="1855" t="str">
        <f>IF(S115="Y", S176,"NA")</f>
        <v>NA</v>
      </c>
      <c r="T37" s="1856"/>
      <c r="U37" s="1857"/>
      <c r="V37" s="1861">
        <f>IF(OR(V30="NA", V30=0),"NA",IF(V56="Risk Waterfall",W73,V64))</f>
        <v>0.04</v>
      </c>
      <c r="W37" s="1862"/>
      <c r="X37" s="1863"/>
      <c r="Y37" s="91"/>
    </row>
    <row r="38" spans="3:27" ht="12.75" customHeight="1" x14ac:dyDescent="0.25">
      <c r="E38" s="798" t="s">
        <v>299</v>
      </c>
      <c r="Q38" s="68" t="s">
        <v>16</v>
      </c>
      <c r="S38" s="1855" t="str">
        <f>IF(S117="Y", S180,"NA")</f>
        <v>NA</v>
      </c>
      <c r="T38" s="1856"/>
      <c r="U38" s="1857"/>
      <c r="V38" s="1861" t="str">
        <f>IF(OR(V31="NA", V31=0),"NA",IF(V57="Risk Waterfall",X73,V65))</f>
        <v>NA</v>
      </c>
      <c r="W38" s="1862"/>
      <c r="X38" s="1863"/>
      <c r="Y38" s="91"/>
    </row>
    <row r="39" spans="3:27" ht="12.75" customHeight="1" x14ac:dyDescent="0.2">
      <c r="E39" s="181" t="s">
        <v>300</v>
      </c>
      <c r="Q39" s="68" t="s">
        <v>16</v>
      </c>
      <c r="S39" s="1858">
        <v>6.5000000000000002E-2</v>
      </c>
      <c r="T39" s="1859"/>
      <c r="U39" s="1860"/>
      <c r="V39" s="1861">
        <f>IF(OR(V32="NA",V32=0),"NA",IF(V58="Risk Waterfall",Y73,V66))</f>
        <v>5.6242205302102208E-2</v>
      </c>
      <c r="W39" s="1862"/>
      <c r="X39" s="1863"/>
      <c r="Y39" s="91"/>
      <c r="Z39" s="808"/>
    </row>
    <row r="40" spans="3:27" ht="12.75" customHeight="1" x14ac:dyDescent="0.2">
      <c r="R40" s="843" t="s">
        <v>399</v>
      </c>
      <c r="S40" s="1864" t="str">
        <f>IF(S32=0,"","Input commercial rate above")</f>
        <v>Input commercial rate above</v>
      </c>
      <c r="T40" s="1865"/>
      <c r="U40" s="1866"/>
      <c r="V40" s="1959" t="str">
        <f>IF(V32=0,"",IF(V58="Manual Entry","","Input commercial loan rate in pre-derisking"))</f>
        <v>Input commercial loan rate in pre-derisking</v>
      </c>
      <c r="W40" s="1960"/>
      <c r="X40" s="1961"/>
      <c r="Y40" s="91"/>
      <c r="Z40" s="91"/>
      <c r="AA40" s="91"/>
    </row>
    <row r="41" spans="3:27" ht="12.75" customHeight="1" x14ac:dyDescent="0.2">
      <c r="C41" s="56" t="s">
        <v>29</v>
      </c>
      <c r="S41" s="1807"/>
      <c r="T41" s="1808"/>
      <c r="U41" s="1809"/>
      <c r="V41" s="1727"/>
      <c r="W41" s="1728"/>
      <c r="X41" s="1729"/>
      <c r="Y41" s="91"/>
    </row>
    <row r="42" spans="3:27" ht="12.75" customHeight="1" x14ac:dyDescent="0.2">
      <c r="D42" s="798" t="s">
        <v>313</v>
      </c>
      <c r="Q42" s="68" t="s">
        <v>20</v>
      </c>
      <c r="S42" s="1867" t="str">
        <f>IF(S115="Y", S177, "NA")</f>
        <v>NA</v>
      </c>
      <c r="T42" s="1868"/>
      <c r="U42" s="1869"/>
      <c r="V42" s="1896">
        <f>IF('III. Inputs, Renewable Energy'!$V$115="Y", 'III. Inputs, Renewable Energy'!V177, "NA")</f>
        <v>20</v>
      </c>
      <c r="W42" s="1897"/>
      <c r="X42" s="1898"/>
      <c r="Y42" s="91"/>
    </row>
    <row r="43" spans="3:27" ht="12.75" customHeight="1" x14ac:dyDescent="0.2">
      <c r="D43" s="798" t="s">
        <v>299</v>
      </c>
      <c r="Q43" s="68" t="s">
        <v>20</v>
      </c>
      <c r="S43" s="1867" t="str">
        <f>IF(S117="Y", S181,"NA")</f>
        <v>NA</v>
      </c>
      <c r="T43" s="1868"/>
      <c r="U43" s="1869"/>
      <c r="V43" s="1896" t="str">
        <f>IF('III. Inputs, Renewable Energy'!$V$117="Y", 'III. Inputs, Renewable Energy'!V181, "NA")</f>
        <v>NA</v>
      </c>
      <c r="W43" s="1897"/>
      <c r="X43" s="1898"/>
      <c r="Y43" s="91"/>
    </row>
    <row r="44" spans="3:27" ht="12.75" customHeight="1" x14ac:dyDescent="0.2">
      <c r="D44" s="181" t="s">
        <v>300</v>
      </c>
      <c r="Q44" s="68" t="s">
        <v>20</v>
      </c>
      <c r="S44" s="1887">
        <v>10</v>
      </c>
      <c r="T44" s="1888"/>
      <c r="U44" s="1889"/>
      <c r="V44" s="1921">
        <v>11</v>
      </c>
      <c r="W44" s="1922"/>
      <c r="X44" s="1923"/>
      <c r="Z44" s="808" t="s">
        <v>255</v>
      </c>
      <c r="AA44" s="57" t="s">
        <v>432</v>
      </c>
    </row>
    <row r="45" spans="3:27" ht="12.75" customHeight="1" x14ac:dyDescent="0.2">
      <c r="Q45" s="68"/>
      <c r="S45" s="1807"/>
      <c r="T45" s="1808"/>
      <c r="U45" s="1809"/>
      <c r="V45" s="1924"/>
      <c r="W45" s="1925"/>
      <c r="X45" s="1926"/>
    </row>
    <row r="46" spans="3:27" ht="12.75" customHeight="1" x14ac:dyDescent="0.2">
      <c r="C46" s="56" t="s">
        <v>350</v>
      </c>
      <c r="Q46" s="68"/>
      <c r="S46" s="1807"/>
      <c r="T46" s="1808"/>
      <c r="U46" s="1809"/>
      <c r="V46" s="1924"/>
      <c r="W46" s="1925"/>
      <c r="X46" s="1926"/>
    </row>
    <row r="47" spans="3:27" ht="12.75" customHeight="1" x14ac:dyDescent="0.2">
      <c r="D47" s="798" t="s">
        <v>313</v>
      </c>
      <c r="Q47" s="68" t="s">
        <v>30</v>
      </c>
      <c r="S47" s="1867" t="str">
        <f>IF(S115="Y", S178,"NA")</f>
        <v>NA</v>
      </c>
      <c r="T47" s="1868"/>
      <c r="U47" s="1869"/>
      <c r="V47" s="1896">
        <f>IF(V115="Y", V178,"NA")</f>
        <v>0</v>
      </c>
      <c r="W47" s="1897"/>
      <c r="X47" s="1898"/>
    </row>
    <row r="48" spans="3:27" ht="12.75" customHeight="1" x14ac:dyDescent="0.2">
      <c r="D48" s="798" t="s">
        <v>299</v>
      </c>
      <c r="Q48" s="68" t="s">
        <v>30</v>
      </c>
      <c r="S48" s="1867" t="str">
        <f>IF(S117="y", S182,"NA")</f>
        <v>NA</v>
      </c>
      <c r="T48" s="1868"/>
      <c r="U48" s="1869"/>
      <c r="V48" s="1896" t="str">
        <f>IF(V117="y",V182,"NA")</f>
        <v>NA</v>
      </c>
      <c r="W48" s="1897"/>
      <c r="X48" s="1898"/>
    </row>
    <row r="49" spans="2:27" ht="12.75" customHeight="1" x14ac:dyDescent="0.25">
      <c r="D49" s="181" t="s">
        <v>300</v>
      </c>
      <c r="Q49" s="68" t="s">
        <v>30</v>
      </c>
      <c r="S49" s="1890">
        <v>0</v>
      </c>
      <c r="T49" s="1891"/>
      <c r="U49" s="1892"/>
      <c r="V49" s="1918">
        <v>0</v>
      </c>
      <c r="W49" s="1919"/>
      <c r="X49" s="1920"/>
      <c r="Z49" s="846"/>
    </row>
    <row r="50" spans="2:27" ht="12.75" customHeight="1" x14ac:dyDescent="0.25"/>
    <row r="51" spans="2:27" ht="12.75" customHeight="1" x14ac:dyDescent="0.25">
      <c r="B51" s="841" t="s">
        <v>430</v>
      </c>
      <c r="C51" s="841"/>
      <c r="D51" s="841"/>
      <c r="E51" s="841"/>
      <c r="F51" s="841"/>
      <c r="G51" s="841"/>
      <c r="H51" s="841"/>
      <c r="I51" s="841"/>
      <c r="J51" s="841"/>
      <c r="K51" s="841"/>
      <c r="L51" s="841"/>
      <c r="M51" s="841"/>
      <c r="N51" s="841"/>
      <c r="O51" s="841"/>
      <c r="P51" s="841"/>
      <c r="Q51" s="841"/>
      <c r="R51" s="841"/>
      <c r="S51" s="841"/>
      <c r="T51" s="841"/>
      <c r="U51" s="841"/>
      <c r="V51" s="841"/>
      <c r="W51" s="841"/>
      <c r="X51" s="841"/>
      <c r="Y51" s="841"/>
      <c r="Z51" s="841"/>
    </row>
    <row r="52" spans="2:27" ht="12.75" customHeight="1" x14ac:dyDescent="0.25"/>
    <row r="53" spans="2:27" s="182" customFormat="1" ht="12.75" customHeight="1" x14ac:dyDescent="0.25">
      <c r="D53" s="847"/>
      <c r="V53" s="1739" t="s">
        <v>202</v>
      </c>
      <c r="W53" s="1740"/>
      <c r="X53" s="1741"/>
    </row>
    <row r="54" spans="2:27" ht="12.75" customHeight="1" x14ac:dyDescent="0.25">
      <c r="C54" s="57" t="s">
        <v>431</v>
      </c>
      <c r="V54" s="1915"/>
      <c r="W54" s="1916"/>
      <c r="X54" s="1917"/>
      <c r="Z54" s="808" t="s">
        <v>255</v>
      </c>
      <c r="AA54" s="57" t="s">
        <v>530</v>
      </c>
    </row>
    <row r="55" spans="2:27" ht="12.75" customHeight="1" x14ac:dyDescent="0.25">
      <c r="D55" s="57" t="s">
        <v>4</v>
      </c>
      <c r="V55" s="1974" t="s">
        <v>251</v>
      </c>
      <c r="W55" s="1975"/>
      <c r="X55" s="1976"/>
      <c r="Z55" s="808"/>
      <c r="AA55" s="57" t="s">
        <v>404</v>
      </c>
    </row>
    <row r="56" spans="2:27" ht="12.75" customHeight="1" x14ac:dyDescent="0.25">
      <c r="D56" s="57" t="s">
        <v>400</v>
      </c>
      <c r="V56" s="1974" t="s">
        <v>156</v>
      </c>
      <c r="W56" s="1975"/>
      <c r="X56" s="1976"/>
      <c r="Z56" s="808"/>
      <c r="AA56" s="57" t="s">
        <v>403</v>
      </c>
    </row>
    <row r="57" spans="2:27" ht="12.75" customHeight="1" x14ac:dyDescent="0.25">
      <c r="D57" s="57" t="s">
        <v>401</v>
      </c>
      <c r="V57" s="1974" t="s">
        <v>251</v>
      </c>
      <c r="W57" s="1975"/>
      <c r="X57" s="1976"/>
      <c r="Z57" s="808"/>
    </row>
    <row r="58" spans="2:27" ht="12.75" customHeight="1" x14ac:dyDescent="0.25">
      <c r="D58" s="57" t="s">
        <v>402</v>
      </c>
      <c r="V58" s="1974" t="s">
        <v>251</v>
      </c>
      <c r="W58" s="1975"/>
      <c r="X58" s="1976"/>
      <c r="Z58" s="808"/>
    </row>
    <row r="59" spans="2:27" ht="12.75" customHeight="1" x14ac:dyDescent="0.25">
      <c r="V59" s="1727"/>
      <c r="W59" s="1728"/>
      <c r="X59" s="1729"/>
    </row>
    <row r="60" spans="2:27" ht="12.75" customHeight="1" x14ac:dyDescent="0.25">
      <c r="C60" s="57" t="s">
        <v>252</v>
      </c>
      <c r="V60" s="1727"/>
      <c r="W60" s="1728"/>
      <c r="X60" s="1729"/>
    </row>
    <row r="61" spans="2:27" ht="12.75" customHeight="1" x14ac:dyDescent="0.25">
      <c r="D61" s="56" t="s">
        <v>53</v>
      </c>
      <c r="K61" s="91"/>
      <c r="V61" s="1911"/>
      <c r="W61" s="1912"/>
      <c r="X61" s="1913"/>
    </row>
    <row r="62" spans="2:27" ht="12.75" customHeight="1" x14ac:dyDescent="0.25">
      <c r="E62" s="57" t="s">
        <v>4</v>
      </c>
      <c r="Q62" s="68" t="s">
        <v>16</v>
      </c>
      <c r="V62" s="1905">
        <v>0</v>
      </c>
      <c r="W62" s="1906"/>
      <c r="X62" s="1907"/>
    </row>
    <row r="63" spans="2:27" ht="12.75" customHeight="1" x14ac:dyDescent="0.25">
      <c r="E63" s="57" t="s">
        <v>54</v>
      </c>
      <c r="V63" s="1911"/>
      <c r="W63" s="1912"/>
      <c r="X63" s="1913"/>
      <c r="Y63" s="91"/>
      <c r="Z63" s="808"/>
    </row>
    <row r="64" spans="2:27" ht="12.75" customHeight="1" x14ac:dyDescent="0.25">
      <c r="F64" s="798" t="s">
        <v>222</v>
      </c>
      <c r="I64" s="798"/>
      <c r="J64" s="798"/>
      <c r="Q64" s="68" t="s">
        <v>16</v>
      </c>
      <c r="V64" s="1905">
        <v>0.04</v>
      </c>
      <c r="W64" s="1906"/>
      <c r="X64" s="1907"/>
      <c r="Y64" s="91"/>
    </row>
    <row r="65" spans="2:27" ht="12.75" customHeight="1" x14ac:dyDescent="0.25">
      <c r="F65" s="798" t="s">
        <v>347</v>
      </c>
      <c r="I65" s="798"/>
      <c r="J65" s="798"/>
      <c r="Q65" s="68" t="s">
        <v>16</v>
      </c>
      <c r="V65" s="1905">
        <v>0</v>
      </c>
      <c r="W65" s="1906"/>
      <c r="X65" s="1907"/>
      <c r="Y65" s="91"/>
    </row>
    <row r="66" spans="2:27" ht="12.75" customHeight="1" x14ac:dyDescent="0.25">
      <c r="F66" s="181" t="s">
        <v>348</v>
      </c>
      <c r="I66" s="181"/>
      <c r="J66" s="181"/>
      <c r="Q66" s="68" t="s">
        <v>16</v>
      </c>
      <c r="V66" s="1908">
        <v>0</v>
      </c>
      <c r="W66" s="1909"/>
      <c r="X66" s="1910"/>
      <c r="Y66" s="91"/>
    </row>
    <row r="67" spans="2:27" ht="12.75" customHeight="1" x14ac:dyDescent="0.25"/>
    <row r="68" spans="2:27" ht="12.75" customHeight="1" x14ac:dyDescent="0.25">
      <c r="B68" s="841" t="s">
        <v>242</v>
      </c>
      <c r="C68" s="841"/>
      <c r="D68" s="841"/>
      <c r="E68" s="841"/>
      <c r="F68" s="841"/>
      <c r="G68" s="841"/>
      <c r="H68" s="841"/>
      <c r="I68" s="841"/>
      <c r="J68" s="841"/>
      <c r="K68" s="841"/>
      <c r="L68" s="841"/>
      <c r="M68" s="841"/>
      <c r="N68" s="841"/>
      <c r="O68" s="841"/>
      <c r="P68" s="841"/>
      <c r="Q68" s="841"/>
      <c r="R68" s="841"/>
      <c r="S68" s="841"/>
      <c r="T68" s="841"/>
      <c r="U68" s="841"/>
      <c r="V68" s="841"/>
      <c r="W68" s="841"/>
      <c r="X68" s="841"/>
      <c r="Y68" s="841"/>
      <c r="Z68" s="841"/>
    </row>
    <row r="69" spans="2:27" ht="12.75" customHeight="1" x14ac:dyDescent="0.25">
      <c r="AA69" s="842"/>
    </row>
    <row r="70" spans="2:27" ht="12.75" customHeight="1" x14ac:dyDescent="0.25">
      <c r="R70" s="1902" t="s">
        <v>201</v>
      </c>
      <c r="S70" s="1903"/>
      <c r="T70" s="1903"/>
      <c r="U70" s="1904"/>
      <c r="V70" s="1899" t="s">
        <v>202</v>
      </c>
      <c r="W70" s="1900"/>
      <c r="X70" s="1900"/>
      <c r="Y70" s="1901"/>
    </row>
    <row r="71" spans="2:27" ht="12.75" customHeight="1" x14ac:dyDescent="0.25">
      <c r="R71" s="1873" t="s">
        <v>230</v>
      </c>
      <c r="S71" s="1874"/>
      <c r="T71" s="1874"/>
      <c r="U71" s="1875"/>
      <c r="V71" s="1930" t="s">
        <v>230</v>
      </c>
      <c r="W71" s="1931"/>
      <c r="X71" s="1931"/>
      <c r="Y71" s="1932"/>
    </row>
    <row r="72" spans="2:27" s="67" customFormat="1" ht="39.6" x14ac:dyDescent="0.3">
      <c r="D72" s="848" t="s">
        <v>78</v>
      </c>
      <c r="E72" s="849"/>
      <c r="F72" s="849"/>
      <c r="G72" s="849"/>
      <c r="H72" s="849"/>
      <c r="I72" s="849"/>
      <c r="J72" s="849"/>
      <c r="K72" s="849"/>
      <c r="L72" s="849"/>
      <c r="M72" s="849"/>
      <c r="N72" s="849"/>
      <c r="O72" s="849"/>
      <c r="P72" s="849"/>
      <c r="Q72" s="850"/>
      <c r="R72" s="851" t="s">
        <v>228</v>
      </c>
      <c r="S72" s="851" t="s">
        <v>219</v>
      </c>
      <c r="T72" s="852" t="s">
        <v>227</v>
      </c>
      <c r="U72" s="853" t="s">
        <v>226</v>
      </c>
      <c r="V72" s="854" t="s">
        <v>228</v>
      </c>
      <c r="W72" s="854" t="s">
        <v>219</v>
      </c>
      <c r="X72" s="855" t="s">
        <v>227</v>
      </c>
      <c r="Y72" s="856" t="s">
        <v>226</v>
      </c>
    </row>
    <row r="73" spans="2:27" x14ac:dyDescent="0.25">
      <c r="D73" s="857" t="s">
        <v>152</v>
      </c>
      <c r="F73" s="182"/>
      <c r="Q73" s="68" t="s">
        <v>16</v>
      </c>
      <c r="R73" s="858">
        <f>S35</f>
        <v>0.15</v>
      </c>
      <c r="S73" s="859" t="str">
        <f>IF(S176=0, "NA", S176)</f>
        <v>NA</v>
      </c>
      <c r="T73" s="860" t="str">
        <f>IF(S180=0,"NA",S180)</f>
        <v>NA</v>
      </c>
      <c r="U73" s="861">
        <f>IF(S39=0, "NA", S39)</f>
        <v>6.5000000000000002E-2</v>
      </c>
      <c r="V73" s="862">
        <f>R73-(R91-V91)</f>
        <v>0.12748463872437021</v>
      </c>
      <c r="W73" s="862" t="str">
        <f>IF(S73="NA","NA",SUM(S73)-(S91-W91))</f>
        <v>NA</v>
      </c>
      <c r="X73" s="863" t="str">
        <f>IF(T73="NA","NA",SUM(T73)-(T91-X91))</f>
        <v>NA</v>
      </c>
      <c r="Y73" s="864">
        <f>IF(U73="NA","NA",SUM(U73)-(U91-Y91))</f>
        <v>5.6242205302102208E-2</v>
      </c>
    </row>
    <row r="74" spans="2:27" x14ac:dyDescent="0.25">
      <c r="D74" s="865" t="s">
        <v>239</v>
      </c>
      <c r="E74" s="866"/>
      <c r="F74" s="866"/>
      <c r="G74" s="866"/>
      <c r="H74" s="866"/>
      <c r="I74" s="866"/>
      <c r="J74" s="866"/>
      <c r="K74" s="866"/>
      <c r="L74" s="866"/>
      <c r="M74" s="866"/>
      <c r="N74" s="866"/>
      <c r="O74" s="866"/>
      <c r="P74" s="866"/>
      <c r="Q74" s="867" t="s">
        <v>16</v>
      </c>
      <c r="R74" s="979">
        <v>0.08</v>
      </c>
      <c r="S74" s="979">
        <v>0</v>
      </c>
      <c r="T74" s="980">
        <v>0</v>
      </c>
      <c r="U74" s="981">
        <v>0.04</v>
      </c>
      <c r="V74" s="868">
        <f>$R$74</f>
        <v>0.08</v>
      </c>
      <c r="W74" s="868">
        <f>$S$74</f>
        <v>0</v>
      </c>
      <c r="X74" s="869">
        <f>$T$74</f>
        <v>0</v>
      </c>
      <c r="Y74" s="870">
        <f>$U$74</f>
        <v>0.04</v>
      </c>
    </row>
    <row r="75" spans="2:27" x14ac:dyDescent="0.25">
      <c r="D75" s="56" t="s">
        <v>80</v>
      </c>
      <c r="E75" s="56"/>
      <c r="F75" s="56"/>
      <c r="Q75" s="68" t="s">
        <v>16</v>
      </c>
      <c r="R75" s="871">
        <f t="shared" ref="R75:Y75" si="0">IF(R73="NA", "NA", SUM(R73)-R74)</f>
        <v>6.9999999999999993E-2</v>
      </c>
      <c r="S75" s="871" t="str">
        <f t="shared" si="0"/>
        <v>NA</v>
      </c>
      <c r="T75" s="872" t="str">
        <f t="shared" si="0"/>
        <v>NA</v>
      </c>
      <c r="U75" s="872">
        <f t="shared" si="0"/>
        <v>2.5000000000000001E-2</v>
      </c>
      <c r="V75" s="873">
        <f t="shared" si="0"/>
        <v>4.7484638724370212E-2</v>
      </c>
      <c r="W75" s="873" t="str">
        <f t="shared" si="0"/>
        <v>NA</v>
      </c>
      <c r="X75" s="874" t="str">
        <f t="shared" si="0"/>
        <v>NA</v>
      </c>
      <c r="Y75" s="875">
        <f t="shared" si="0"/>
        <v>1.6242205302102207E-2</v>
      </c>
    </row>
    <row r="76" spans="2:27" x14ac:dyDescent="0.25"/>
    <row r="77" spans="2:27" x14ac:dyDescent="0.25"/>
    <row r="78" spans="2:27" x14ac:dyDescent="0.25"/>
    <row r="79" spans="2:27" x14ac:dyDescent="0.25">
      <c r="R79" s="1902" t="s">
        <v>201</v>
      </c>
      <c r="S79" s="1903"/>
      <c r="T79" s="1903"/>
      <c r="U79" s="1904"/>
      <c r="V79" s="1899" t="s">
        <v>202</v>
      </c>
      <c r="W79" s="1900"/>
      <c r="X79" s="1900"/>
      <c r="Y79" s="1901"/>
    </row>
    <row r="80" spans="2:27" x14ac:dyDescent="0.25">
      <c r="R80" s="1873" t="s">
        <v>230</v>
      </c>
      <c r="S80" s="1874"/>
      <c r="T80" s="1874"/>
      <c r="U80" s="1875"/>
      <c r="V80" s="1930" t="s">
        <v>230</v>
      </c>
      <c r="W80" s="1931"/>
      <c r="X80" s="1931"/>
      <c r="Y80" s="1932"/>
    </row>
    <row r="81" spans="1:32" s="59" customFormat="1" ht="48" customHeight="1" x14ac:dyDescent="0.25">
      <c r="D81" s="876" t="s">
        <v>231</v>
      </c>
      <c r="E81" s="877"/>
      <c r="F81" s="55"/>
      <c r="G81" s="877"/>
      <c r="H81" s="877"/>
      <c r="I81" s="877"/>
      <c r="J81" s="877"/>
      <c r="K81" s="877"/>
      <c r="L81" s="877"/>
      <c r="M81" s="877"/>
      <c r="N81" s="877"/>
      <c r="O81" s="877"/>
      <c r="P81" s="877"/>
      <c r="Q81" s="878"/>
      <c r="R81" s="851" t="s">
        <v>228</v>
      </c>
      <c r="S81" s="851" t="s">
        <v>219</v>
      </c>
      <c r="T81" s="852" t="s">
        <v>227</v>
      </c>
      <c r="U81" s="853" t="s">
        <v>226</v>
      </c>
      <c r="V81" s="854" t="str">
        <f>$V$72</f>
        <v>Equity</v>
      </c>
      <c r="W81" s="854" t="str">
        <f>W72</f>
        <v>Public Loan</v>
      </c>
      <c r="X81" s="855" t="str">
        <f>$X$72</f>
        <v>Commercial Loan with Guarantees</v>
      </c>
      <c r="Y81" s="856" t="str">
        <f>$Y$72</f>
        <v>Commercial Loan w/out Guarantees</v>
      </c>
      <c r="Z81" s="808"/>
      <c r="AA81" s="845"/>
    </row>
    <row r="82" spans="1:32" x14ac:dyDescent="0.25">
      <c r="D82" s="1118" t="s">
        <v>49</v>
      </c>
      <c r="Q82" s="68" t="s">
        <v>16</v>
      </c>
      <c r="R82" s="982">
        <v>1.3748887640705814E-2</v>
      </c>
      <c r="S82" s="982">
        <v>0</v>
      </c>
      <c r="T82" s="983">
        <v>0</v>
      </c>
      <c r="U82" s="984">
        <v>5.8042874411811515E-3</v>
      </c>
      <c r="V82" s="879">
        <f t="shared" ref="V82:Y85" si="1">IF(R82="NA", "NA", (SUM(R82)+V128))</f>
        <v>8.5930547754411342E-3</v>
      </c>
      <c r="W82" s="880">
        <f t="shared" si="1"/>
        <v>0</v>
      </c>
      <c r="X82" s="881">
        <f t="shared" si="1"/>
        <v>0</v>
      </c>
      <c r="Y82" s="882">
        <f t="shared" si="1"/>
        <v>3.6276796507382198E-3</v>
      </c>
      <c r="Z82" s="808" t="s">
        <v>255</v>
      </c>
      <c r="AA82" s="57" t="s">
        <v>253</v>
      </c>
    </row>
    <row r="83" spans="1:32" x14ac:dyDescent="0.25">
      <c r="D83" s="1118" t="s">
        <v>192</v>
      </c>
      <c r="Q83" s="68" t="s">
        <v>16</v>
      </c>
      <c r="R83" s="982">
        <v>3.381572254319272E-3</v>
      </c>
      <c r="S83" s="985" t="s">
        <v>232</v>
      </c>
      <c r="T83" s="986" t="s">
        <v>232</v>
      </c>
      <c r="U83" s="987" t="s">
        <v>232</v>
      </c>
      <c r="V83" s="879">
        <f t="shared" si="1"/>
        <v>2.5361791907394541E-3</v>
      </c>
      <c r="W83" s="883" t="str">
        <f t="shared" si="1"/>
        <v>NA</v>
      </c>
      <c r="X83" s="884" t="str">
        <f t="shared" si="1"/>
        <v>NA</v>
      </c>
      <c r="Y83" s="885" t="str">
        <f t="shared" si="1"/>
        <v>NA</v>
      </c>
      <c r="AA83" s="57" t="s">
        <v>254</v>
      </c>
    </row>
    <row r="84" spans="1:32" x14ac:dyDescent="0.25">
      <c r="D84" s="1118" t="s">
        <v>0</v>
      </c>
      <c r="Q84" s="68" t="s">
        <v>16</v>
      </c>
      <c r="R84" s="982">
        <v>2.2817626547363512E-3</v>
      </c>
      <c r="S84" s="982">
        <v>0</v>
      </c>
      <c r="T84" s="988">
        <v>0</v>
      </c>
      <c r="U84" s="984">
        <v>9.6327838780435853E-4</v>
      </c>
      <c r="V84" s="879">
        <f t="shared" si="1"/>
        <v>1.7113219910522633E-3</v>
      </c>
      <c r="W84" s="883">
        <f t="shared" si="1"/>
        <v>0</v>
      </c>
      <c r="X84" s="884">
        <f t="shared" si="1"/>
        <v>0</v>
      </c>
      <c r="Y84" s="885">
        <f t="shared" si="1"/>
        <v>7.2245879085326887E-4</v>
      </c>
    </row>
    <row r="85" spans="1:32" x14ac:dyDescent="0.25">
      <c r="D85" s="1118" t="s">
        <v>48</v>
      </c>
      <c r="Q85" s="68" t="s">
        <v>16</v>
      </c>
      <c r="R85" s="982">
        <v>3.6720406402672096E-3</v>
      </c>
      <c r="S85" s="982">
        <v>0</v>
      </c>
      <c r="T85" s="988">
        <v>0</v>
      </c>
      <c r="U85" s="984">
        <v>1.550203909493554E-3</v>
      </c>
      <c r="V85" s="879">
        <f t="shared" si="1"/>
        <v>3.2130355602338085E-3</v>
      </c>
      <c r="W85" s="883">
        <f t="shared" si="1"/>
        <v>0</v>
      </c>
      <c r="X85" s="884">
        <f t="shared" si="1"/>
        <v>0</v>
      </c>
      <c r="Y85" s="885">
        <f t="shared" si="1"/>
        <v>1.3564284208068599E-3</v>
      </c>
    </row>
    <row r="86" spans="1:32" x14ac:dyDescent="0.25">
      <c r="D86" s="1118" t="s">
        <v>453</v>
      </c>
      <c r="Q86" s="68" t="s">
        <v>16</v>
      </c>
      <c r="R86" s="982">
        <v>1.0404837705597761E-2</v>
      </c>
      <c r="S86" s="982">
        <v>0</v>
      </c>
      <c r="T86" s="988">
        <v>0</v>
      </c>
      <c r="U86" s="984">
        <v>4.3925494483878736E-3</v>
      </c>
      <c r="V86" s="879">
        <f t="shared" ref="V86:Y87" si="2">IF(R86="NA", "NA", (SUM(R86)+V132+V140))</f>
        <v>5.2024188527988804E-3</v>
      </c>
      <c r="W86" s="883">
        <f t="shared" si="2"/>
        <v>0</v>
      </c>
      <c r="X86" s="884">
        <f t="shared" si="2"/>
        <v>0</v>
      </c>
      <c r="Y86" s="885">
        <f t="shared" si="2"/>
        <v>2.1962747241939364E-3</v>
      </c>
    </row>
    <row r="87" spans="1:32" x14ac:dyDescent="0.25">
      <c r="D87" s="1118" t="s">
        <v>1</v>
      </c>
      <c r="Q87" s="68" t="s">
        <v>16</v>
      </c>
      <c r="R87" s="982">
        <v>9.3552268844190409E-3</v>
      </c>
      <c r="S87" s="982">
        <v>0</v>
      </c>
      <c r="T87" s="988">
        <v>0</v>
      </c>
      <c r="U87" s="984">
        <v>3.9494413899978697E-3</v>
      </c>
      <c r="V87" s="879">
        <f t="shared" si="2"/>
        <v>4.6776134422095213E-3</v>
      </c>
      <c r="W87" s="883">
        <f t="shared" si="2"/>
        <v>0</v>
      </c>
      <c r="X87" s="884">
        <f t="shared" si="2"/>
        <v>0</v>
      </c>
      <c r="Y87" s="885">
        <f t="shared" si="2"/>
        <v>1.9747206949989353E-3</v>
      </c>
      <c r="Z87" s="808"/>
    </row>
    <row r="88" spans="1:32" x14ac:dyDescent="0.25">
      <c r="D88" s="1118" t="s">
        <v>2</v>
      </c>
      <c r="Q88" s="68" t="s">
        <v>16</v>
      </c>
      <c r="R88" s="982">
        <v>7.3997562893099869E-3</v>
      </c>
      <c r="S88" s="985" t="s">
        <v>232</v>
      </c>
      <c r="T88" s="986" t="s">
        <v>232</v>
      </c>
      <c r="U88" s="987" t="s">
        <v>232</v>
      </c>
      <c r="V88" s="879">
        <f>IF(R88="NA", "NA", (SUM(R88)+V134+V142+V143))</f>
        <v>6.4747867531462387E-3</v>
      </c>
      <c r="W88" s="883" t="str">
        <f>IF(S88="NA", "NA", SUM(S88)+W134+W142+W143)</f>
        <v>NA</v>
      </c>
      <c r="X88" s="884" t="str">
        <f>IF(T88="NA", "NA", SUM(T88)+X134+X142+X143)</f>
        <v>NA</v>
      </c>
      <c r="Y88" s="885" t="str">
        <f>IF(U88="NA", "NA", SUM(U88)+Y134+Y142+Y143)</f>
        <v>NA</v>
      </c>
    </row>
    <row r="89" spans="1:32" x14ac:dyDescent="0.25">
      <c r="D89" s="1118" t="s">
        <v>3</v>
      </c>
      <c r="Q89" s="68" t="s">
        <v>16</v>
      </c>
      <c r="R89" s="982">
        <v>1.0396540386853266E-2</v>
      </c>
      <c r="S89" s="982">
        <v>0</v>
      </c>
      <c r="T89" s="988">
        <v>0</v>
      </c>
      <c r="U89" s="984">
        <v>4.3890466178867675E-3</v>
      </c>
      <c r="V89" s="879">
        <f>IF(R89="NA", "NA", (SUM(R89)+V144))</f>
        <v>1.0396540386853266E-2</v>
      </c>
      <c r="W89" s="883">
        <f t="shared" ref="W89:Y90" si="3">IF(S89="NA", "NA", SUM(S89)+W144)</f>
        <v>0</v>
      </c>
      <c r="X89" s="884">
        <f t="shared" si="3"/>
        <v>0</v>
      </c>
      <c r="Y89" s="885">
        <f t="shared" si="3"/>
        <v>4.3890466178867675E-3</v>
      </c>
    </row>
    <row r="90" spans="1:32" x14ac:dyDescent="0.25">
      <c r="D90" s="1119" t="s">
        <v>439</v>
      </c>
      <c r="E90" s="866"/>
      <c r="F90" s="866"/>
      <c r="G90" s="866"/>
      <c r="H90" s="866"/>
      <c r="I90" s="866"/>
      <c r="J90" s="866"/>
      <c r="K90" s="866"/>
      <c r="L90" s="866"/>
      <c r="M90" s="866"/>
      <c r="N90" s="866"/>
      <c r="O90" s="866"/>
      <c r="P90" s="866"/>
      <c r="Q90" s="867" t="s">
        <v>16</v>
      </c>
      <c r="R90" s="989">
        <v>9.3593755437912859E-3</v>
      </c>
      <c r="S90" s="982">
        <v>0</v>
      </c>
      <c r="T90" s="988">
        <v>0</v>
      </c>
      <c r="U90" s="990">
        <v>3.9511928052484227E-3</v>
      </c>
      <c r="V90" s="886">
        <f>IF(R90="NA", "NA", (SUM(R90+V145)))</f>
        <v>4.679687771895643E-3</v>
      </c>
      <c r="W90" s="886">
        <f t="shared" si="3"/>
        <v>0</v>
      </c>
      <c r="X90" s="887">
        <f t="shared" si="3"/>
        <v>0</v>
      </c>
      <c r="Y90" s="888">
        <f t="shared" si="3"/>
        <v>1.9755964026242114E-3</v>
      </c>
    </row>
    <row r="91" spans="1:32" x14ac:dyDescent="0.25">
      <c r="D91" s="56" t="s">
        <v>81</v>
      </c>
      <c r="E91" s="132"/>
      <c r="F91" s="56"/>
      <c r="R91" s="889">
        <f>IF(R75="NA","NA",SUM(R82:R90))</f>
        <v>6.9999999999999979E-2</v>
      </c>
      <c r="S91" s="890" t="str">
        <f>IF(S75="NA","NA",SUM(S82:S90))</f>
        <v>NA</v>
      </c>
      <c r="T91" s="891" t="str">
        <f>IF(T75="NA","NA",SUM(T82:T90))</f>
        <v>NA</v>
      </c>
      <c r="U91" s="892">
        <f>IF(U75="NA","NA",SUM(U82:U90))</f>
        <v>2.4999999999999994E-2</v>
      </c>
      <c r="V91" s="893">
        <f>SUM(V82:V90)</f>
        <v>4.7484638724370212E-2</v>
      </c>
      <c r="W91" s="894">
        <f>SUM(W82:W90)</f>
        <v>0</v>
      </c>
      <c r="X91" s="895">
        <f>SUM(X82:X90)</f>
        <v>0</v>
      </c>
      <c r="Y91" s="896">
        <f>SUM(Y82:Y90)</f>
        <v>1.62422053021022E-2</v>
      </c>
    </row>
    <row r="92" spans="1:32" ht="26.25" customHeight="1" x14ac:dyDescent="0.25">
      <c r="Q92" s="805" t="s">
        <v>386</v>
      </c>
      <c r="R92" s="897" t="str">
        <f>IF(AND(V55="Risk Waterfall", R91&lt;&gt;R75), "Incorrect apportioning", "")</f>
        <v/>
      </c>
      <c r="S92" s="897" t="str">
        <f>IF(AND(V56="Risk Waterfall", S91&lt;&gt;S75), "Incorrect apportioning", "")</f>
        <v/>
      </c>
      <c r="T92" s="897" t="str">
        <f>IF(AND(V57="Risk Waterfall", T91&lt;&gt;T75), "Incorrect apportioning", "")</f>
        <v/>
      </c>
      <c r="U92" s="897" t="str">
        <f>IF(AND(V58="Risk Waterfall", U91&lt;&gt;U75), "Incorrect apportioning", "")</f>
        <v/>
      </c>
      <c r="Z92" s="898" t="s">
        <v>255</v>
      </c>
      <c r="AA92" s="1842" t="s">
        <v>405</v>
      </c>
      <c r="AB92" s="1843"/>
      <c r="AC92" s="1843"/>
      <c r="AD92" s="1843"/>
      <c r="AE92" s="1843"/>
      <c r="AF92" s="1843"/>
    </row>
    <row r="93" spans="1:32" x14ac:dyDescent="0.25">
      <c r="R93" s="91"/>
      <c r="S93" s="91"/>
      <c r="T93" s="899"/>
      <c r="U93" s="91"/>
    </row>
    <row r="94" spans="1:32" s="146" customFormat="1" ht="12.75" customHeight="1" x14ac:dyDescent="0.25">
      <c r="A94" s="791" t="s">
        <v>208</v>
      </c>
      <c r="B94" s="791"/>
      <c r="C94" s="791"/>
      <c r="D94" s="791"/>
      <c r="E94" s="791"/>
      <c r="F94" s="791"/>
      <c r="G94" s="791"/>
      <c r="H94" s="791"/>
      <c r="I94" s="791"/>
      <c r="J94" s="791"/>
      <c r="K94" s="791"/>
      <c r="L94" s="791"/>
      <c r="M94" s="794"/>
      <c r="N94" s="792"/>
      <c r="O94" s="792"/>
      <c r="P94" s="792"/>
      <c r="Q94" s="792"/>
      <c r="R94" s="792"/>
      <c r="S94" s="792"/>
      <c r="T94" s="792"/>
      <c r="U94" s="792"/>
      <c r="V94" s="792"/>
      <c r="W94" s="792"/>
      <c r="X94" s="792"/>
      <c r="Y94" s="792"/>
      <c r="Z94" s="792"/>
    </row>
    <row r="95" spans="1:32" x14ac:dyDescent="0.25"/>
    <row r="96" spans="1:32" ht="12.75" customHeight="1" x14ac:dyDescent="0.25">
      <c r="B96" s="55" t="s">
        <v>223</v>
      </c>
      <c r="C96" s="55"/>
      <c r="D96" s="81"/>
      <c r="E96" s="81"/>
      <c r="F96" s="81"/>
      <c r="G96" s="81"/>
      <c r="H96" s="81"/>
      <c r="I96" s="81"/>
      <c r="J96" s="81"/>
      <c r="K96" s="81"/>
      <c r="L96" s="81"/>
      <c r="M96" s="55"/>
      <c r="N96" s="55"/>
      <c r="O96" s="55"/>
      <c r="P96" s="797"/>
      <c r="Q96" s="797"/>
      <c r="R96" s="797"/>
      <c r="S96" s="797"/>
      <c r="T96" s="797"/>
      <c r="U96" s="797"/>
      <c r="V96" s="797"/>
      <c r="W96" s="797"/>
      <c r="X96" s="797"/>
      <c r="Y96" s="797"/>
      <c r="Z96" s="797"/>
    </row>
    <row r="97" spans="3:25" ht="12.75" customHeight="1" x14ac:dyDescent="0.25">
      <c r="V97" s="900"/>
      <c r="W97" s="900"/>
    </row>
    <row r="98" spans="3:25" ht="12.75" customHeight="1" x14ac:dyDescent="0.25">
      <c r="C98" s="56" t="s">
        <v>245</v>
      </c>
      <c r="V98" s="900"/>
      <c r="W98" s="900"/>
    </row>
    <row r="99" spans="3:25" ht="12.75" customHeight="1" x14ac:dyDescent="0.25">
      <c r="S99" s="1693" t="s">
        <v>243</v>
      </c>
      <c r="T99" s="1914"/>
      <c r="U99" s="1914"/>
      <c r="V99" s="1914"/>
      <c r="W99" s="1914"/>
      <c r="X99" s="1694"/>
      <c r="Y99" s="901"/>
    </row>
    <row r="100" spans="3:25" x14ac:dyDescent="0.25">
      <c r="D100" s="1963" t="s">
        <v>87</v>
      </c>
      <c r="E100" s="1964"/>
      <c r="F100" s="1964"/>
      <c r="G100" s="1964"/>
      <c r="H100" s="1964"/>
      <c r="I100" s="1964"/>
      <c r="J100" s="1964"/>
      <c r="K100" s="1964"/>
      <c r="L100" s="1964"/>
      <c r="M100" s="1964" t="s">
        <v>325</v>
      </c>
      <c r="N100" s="1969"/>
      <c r="O100" s="1969"/>
      <c r="P100" s="1969"/>
      <c r="Q100" s="1969"/>
      <c r="R100" s="902"/>
      <c r="S100" s="1730" t="s">
        <v>201</v>
      </c>
      <c r="T100" s="1731"/>
      <c r="U100" s="1731"/>
      <c r="V100" s="1739" t="s">
        <v>202</v>
      </c>
      <c r="W100" s="1740"/>
      <c r="X100" s="1741"/>
      <c r="Y100" s="903"/>
    </row>
    <row r="101" spans="3:25" ht="25.95" customHeight="1" x14ac:dyDescent="0.25">
      <c r="D101" s="1770" t="str">
        <f>$D$82</f>
        <v>Power Market Risk</v>
      </c>
      <c r="E101" s="1708"/>
      <c r="F101" s="1708"/>
      <c r="G101" s="1708"/>
      <c r="H101" s="1708"/>
      <c r="I101" s="1708"/>
      <c r="J101" s="1708"/>
      <c r="K101" s="1708"/>
      <c r="L101" s="1708"/>
      <c r="M101" s="1966" t="s">
        <v>459</v>
      </c>
      <c r="N101" s="1966"/>
      <c r="O101" s="1966"/>
      <c r="P101" s="1966"/>
      <c r="Q101" s="1966"/>
      <c r="R101" s="81"/>
      <c r="S101" s="1759" t="s">
        <v>6</v>
      </c>
      <c r="T101" s="1760"/>
      <c r="U101" s="1761"/>
      <c r="V101" s="1801" t="s">
        <v>6</v>
      </c>
      <c r="W101" s="1802"/>
      <c r="X101" s="1803"/>
    </row>
    <row r="102" spans="3:25" ht="25.95" customHeight="1" x14ac:dyDescent="0.25">
      <c r="D102" s="1770" t="str">
        <f>$D$83</f>
        <v>Permits Risk</v>
      </c>
      <c r="E102" s="1708"/>
      <c r="F102" s="1708"/>
      <c r="G102" s="1708"/>
      <c r="H102" s="1708"/>
      <c r="I102" s="1708"/>
      <c r="J102" s="1708"/>
      <c r="K102" s="1708"/>
      <c r="L102" s="1708"/>
      <c r="M102" s="1966" t="s">
        <v>396</v>
      </c>
      <c r="N102" s="1967"/>
      <c r="O102" s="1967"/>
      <c r="P102" s="1967"/>
      <c r="Q102" s="1967"/>
      <c r="R102" s="904"/>
      <c r="S102" s="1759" t="s">
        <v>7</v>
      </c>
      <c r="T102" s="1760"/>
      <c r="U102" s="1761"/>
      <c r="V102" s="1801" t="s">
        <v>6</v>
      </c>
      <c r="W102" s="1802"/>
      <c r="X102" s="1803"/>
      <c r="Y102" s="905"/>
    </row>
    <row r="103" spans="3:25" ht="25.95" customHeight="1" x14ac:dyDescent="0.25">
      <c r="D103" s="1770" t="str">
        <f>$D$84</f>
        <v>Social Acceptance Risk</v>
      </c>
      <c r="E103" s="1708"/>
      <c r="F103" s="1708"/>
      <c r="G103" s="1708"/>
      <c r="H103" s="1708"/>
      <c r="I103" s="1708"/>
      <c r="J103" s="1708"/>
      <c r="K103" s="1708"/>
      <c r="L103" s="1708"/>
      <c r="M103" s="1966" t="s">
        <v>397</v>
      </c>
      <c r="N103" s="1967"/>
      <c r="O103" s="1967"/>
      <c r="P103" s="1967"/>
      <c r="Q103" s="1967"/>
      <c r="R103" s="904"/>
      <c r="S103" s="1759" t="s">
        <v>7</v>
      </c>
      <c r="T103" s="1760"/>
      <c r="U103" s="1761"/>
      <c r="V103" s="1801" t="s">
        <v>6</v>
      </c>
      <c r="W103" s="1802"/>
      <c r="X103" s="1803"/>
      <c r="Y103" s="905"/>
    </row>
    <row r="104" spans="3:25" ht="25.95" customHeight="1" x14ac:dyDescent="0.25">
      <c r="D104" s="1965" t="str">
        <f>$D$85</f>
        <v>Resource &amp; Technology Risk</v>
      </c>
      <c r="E104" s="1709"/>
      <c r="F104" s="1709"/>
      <c r="G104" s="1709"/>
      <c r="H104" s="1709"/>
      <c r="I104" s="1709"/>
      <c r="J104" s="1709"/>
      <c r="K104" s="1709"/>
      <c r="L104" s="1709"/>
      <c r="M104" s="1968" t="s">
        <v>460</v>
      </c>
      <c r="N104" s="1967"/>
      <c r="O104" s="1967"/>
      <c r="P104" s="1967"/>
      <c r="Q104" s="1967"/>
      <c r="R104" s="904"/>
      <c r="S104" s="1759" t="s">
        <v>7</v>
      </c>
      <c r="T104" s="1760"/>
      <c r="U104" s="1761"/>
      <c r="V104" s="1801" t="s">
        <v>6</v>
      </c>
      <c r="W104" s="1802"/>
      <c r="X104" s="1803"/>
      <c r="Y104" s="905"/>
    </row>
    <row r="105" spans="3:25" ht="25.95" customHeight="1" x14ac:dyDescent="0.25">
      <c r="D105" s="1770" t="str">
        <f>$D$86</f>
        <v>Grid/Transmission Risk</v>
      </c>
      <c r="E105" s="1708"/>
      <c r="F105" s="1708"/>
      <c r="G105" s="1708"/>
      <c r="H105" s="1708"/>
      <c r="I105" s="1708"/>
      <c r="J105" s="1708"/>
      <c r="K105" s="1708"/>
      <c r="L105" s="1708"/>
      <c r="M105" s="1966" t="s">
        <v>461</v>
      </c>
      <c r="N105" s="1967"/>
      <c r="O105" s="1967"/>
      <c r="P105" s="1967"/>
      <c r="Q105" s="1967"/>
      <c r="R105" s="906"/>
      <c r="S105" s="1759" t="s">
        <v>7</v>
      </c>
      <c r="T105" s="1760"/>
      <c r="U105" s="1761"/>
      <c r="V105" s="1801" t="s">
        <v>6</v>
      </c>
      <c r="W105" s="1802"/>
      <c r="X105" s="1803"/>
      <c r="Y105" s="905"/>
    </row>
    <row r="106" spans="3:25" ht="25.95" customHeight="1" x14ac:dyDescent="0.25">
      <c r="D106" s="1770" t="str">
        <f>$D$87</f>
        <v>Counterparty Risk</v>
      </c>
      <c r="E106" s="1708"/>
      <c r="F106" s="1708"/>
      <c r="G106" s="1708"/>
      <c r="H106" s="1708"/>
      <c r="I106" s="1708"/>
      <c r="J106" s="1708"/>
      <c r="K106" s="1708"/>
      <c r="L106" s="1708"/>
      <c r="M106" s="1966" t="s">
        <v>5</v>
      </c>
      <c r="N106" s="1967"/>
      <c r="O106" s="1967"/>
      <c r="P106" s="1967"/>
      <c r="Q106" s="1967"/>
      <c r="R106" s="81"/>
      <c r="S106" s="1759" t="s">
        <v>7</v>
      </c>
      <c r="T106" s="1760"/>
      <c r="U106" s="1761"/>
      <c r="V106" s="1801" t="s">
        <v>6</v>
      </c>
      <c r="W106" s="1802"/>
      <c r="X106" s="1803"/>
    </row>
    <row r="107" spans="3:25" ht="25.95" customHeight="1" x14ac:dyDescent="0.25">
      <c r="D107" s="1770" t="str">
        <f>$D$88</f>
        <v>Financial Sector Risk</v>
      </c>
      <c r="E107" s="1708"/>
      <c r="F107" s="1708"/>
      <c r="G107" s="1708"/>
      <c r="H107" s="1708"/>
      <c r="I107" s="1708"/>
      <c r="J107" s="1708"/>
      <c r="K107" s="1708"/>
      <c r="L107" s="1708"/>
      <c r="M107" s="1966" t="s">
        <v>462</v>
      </c>
      <c r="N107" s="1967"/>
      <c r="O107" s="1967"/>
      <c r="P107" s="1967"/>
      <c r="Q107" s="1967"/>
      <c r="R107" s="81"/>
      <c r="S107" s="1759" t="s">
        <v>7</v>
      </c>
      <c r="T107" s="1760"/>
      <c r="U107" s="1761"/>
      <c r="V107" s="1801" t="s">
        <v>6</v>
      </c>
      <c r="W107" s="1802"/>
      <c r="X107" s="1803"/>
    </row>
    <row r="108" spans="3:25" ht="12.75" customHeight="1" x14ac:dyDescent="0.25"/>
    <row r="109" spans="3:25" ht="12.75" customHeight="1" x14ac:dyDescent="0.25"/>
    <row r="110" spans="3:25" ht="12.75" customHeight="1" x14ac:dyDescent="0.25">
      <c r="C110" s="56" t="s">
        <v>321</v>
      </c>
    </row>
    <row r="111" spans="3:25" ht="12.75" customHeight="1" x14ac:dyDescent="0.25">
      <c r="P111" s="181"/>
      <c r="Q111" s="182"/>
      <c r="R111" s="182"/>
      <c r="S111" s="1927" t="s">
        <v>12</v>
      </c>
      <c r="T111" s="1928"/>
      <c r="U111" s="1928"/>
      <c r="V111" s="1928"/>
      <c r="W111" s="1928"/>
      <c r="X111" s="1929"/>
    </row>
    <row r="112" spans="3:25" x14ac:dyDescent="0.25">
      <c r="D112" s="1963" t="s">
        <v>87</v>
      </c>
      <c r="E112" s="1964"/>
      <c r="F112" s="1964"/>
      <c r="G112" s="1964"/>
      <c r="H112" s="1964"/>
      <c r="I112" s="1964"/>
      <c r="J112" s="1964"/>
      <c r="K112" s="1964"/>
      <c r="L112" s="1964"/>
      <c r="M112" s="907" t="s">
        <v>325</v>
      </c>
      <c r="N112" s="907"/>
      <c r="O112" s="907"/>
      <c r="P112" s="907"/>
      <c r="Q112" s="907"/>
      <c r="R112" s="908"/>
      <c r="S112" s="1730" t="s">
        <v>201</v>
      </c>
      <c r="T112" s="1731"/>
      <c r="U112" s="1732"/>
      <c r="V112" s="1739" t="s">
        <v>202</v>
      </c>
      <c r="W112" s="1740"/>
      <c r="X112" s="1741"/>
      <c r="Y112" s="909"/>
    </row>
    <row r="113" spans="1:31" ht="26.7" customHeight="1" x14ac:dyDescent="0.25">
      <c r="D113" s="1109" t="str">
        <f>D86</f>
        <v>Grid/Transmission Risk</v>
      </c>
      <c r="E113" s="1120"/>
      <c r="F113" s="1120"/>
      <c r="G113" s="1120"/>
      <c r="H113" s="1120"/>
      <c r="I113" s="1120"/>
      <c r="J113" s="1120"/>
      <c r="K113" s="1120"/>
      <c r="L113" s="1120"/>
      <c r="M113" s="1971" t="s">
        <v>454</v>
      </c>
      <c r="N113" s="1971"/>
      <c r="O113" s="1971"/>
      <c r="P113" s="1971"/>
      <c r="Q113" s="1971"/>
      <c r="R113" s="939"/>
      <c r="S113" s="1759" t="s">
        <v>7</v>
      </c>
      <c r="T113" s="1760"/>
      <c r="U113" s="1761"/>
      <c r="V113" s="1801" t="s">
        <v>6</v>
      </c>
      <c r="W113" s="1802"/>
      <c r="X113" s="1803"/>
      <c r="Y113" s="909"/>
    </row>
    <row r="114" spans="1:31" ht="26.7" customHeight="1" x14ac:dyDescent="0.25">
      <c r="D114" s="1109" t="str">
        <f>D87</f>
        <v>Counterparty Risk</v>
      </c>
      <c r="E114" s="1120"/>
      <c r="F114" s="1120"/>
      <c r="G114" s="1120"/>
      <c r="H114" s="1120"/>
      <c r="I114" s="1120"/>
      <c r="J114" s="1120"/>
      <c r="K114" s="1120"/>
      <c r="L114" s="1120"/>
      <c r="M114" s="1971" t="s">
        <v>455</v>
      </c>
      <c r="N114" s="1971"/>
      <c r="O114" s="1971"/>
      <c r="P114" s="1971"/>
      <c r="Q114" s="1971"/>
      <c r="R114" s="939"/>
      <c r="S114" s="1759" t="s">
        <v>7</v>
      </c>
      <c r="T114" s="1760"/>
      <c r="U114" s="1761"/>
      <c r="V114" s="1801" t="s">
        <v>6</v>
      </c>
      <c r="W114" s="1802"/>
      <c r="X114" s="1803"/>
      <c r="Y114" s="909"/>
    </row>
    <row r="115" spans="1:31" x14ac:dyDescent="0.25">
      <c r="D115" s="1765" t="str">
        <f>$D$88</f>
        <v>Financial Sector Risk</v>
      </c>
      <c r="E115" s="1766"/>
      <c r="F115" s="1766"/>
      <c r="G115" s="1766"/>
      <c r="H115" s="1766"/>
      <c r="I115" s="1766"/>
      <c r="J115" s="1766"/>
      <c r="K115" s="1766"/>
      <c r="L115" s="1766"/>
      <c r="M115" s="1768" t="s">
        <v>218</v>
      </c>
      <c r="N115" s="1768"/>
      <c r="O115" s="1768"/>
      <c r="P115" s="1768"/>
      <c r="Q115" s="1768"/>
      <c r="R115" s="910"/>
      <c r="S115" s="1950" t="s">
        <v>7</v>
      </c>
      <c r="T115" s="1951"/>
      <c r="U115" s="1952"/>
      <c r="V115" s="1953" t="s">
        <v>6</v>
      </c>
      <c r="W115" s="1954"/>
      <c r="X115" s="1955"/>
      <c r="Y115" s="911"/>
    </row>
    <row r="116" spans="1:31" x14ac:dyDescent="0.25">
      <c r="D116" s="1750"/>
      <c r="E116" s="1751"/>
      <c r="F116" s="1751"/>
      <c r="G116" s="1751"/>
      <c r="H116" s="1751"/>
      <c r="I116" s="1751"/>
      <c r="J116" s="1751"/>
      <c r="K116" s="1751"/>
      <c r="L116" s="1751"/>
      <c r="M116" s="866"/>
      <c r="N116" s="1769" t="s">
        <v>464</v>
      </c>
      <c r="O116" s="1769"/>
      <c r="P116" s="1769"/>
      <c r="Q116" s="1769"/>
      <c r="R116" s="866"/>
      <c r="S116" s="1947">
        <v>0</v>
      </c>
      <c r="T116" s="1948"/>
      <c r="U116" s="1949"/>
      <c r="V116" s="1956">
        <v>0.5</v>
      </c>
      <c r="W116" s="1957"/>
      <c r="X116" s="1958"/>
      <c r="Y116" s="911"/>
    </row>
    <row r="117" spans="1:31" x14ac:dyDescent="0.25">
      <c r="D117" s="1765" t="str">
        <f>$D$88</f>
        <v>Financial Sector Risk</v>
      </c>
      <c r="E117" s="1766"/>
      <c r="F117" s="1766"/>
      <c r="G117" s="1766"/>
      <c r="H117" s="1766"/>
      <c r="I117" s="1766"/>
      <c r="J117" s="1766"/>
      <c r="K117" s="1766"/>
      <c r="L117" s="1766"/>
      <c r="M117" s="1768" t="s">
        <v>324</v>
      </c>
      <c r="N117" s="1768"/>
      <c r="O117" s="1768"/>
      <c r="P117" s="1768"/>
      <c r="Q117" s="1768"/>
      <c r="R117" s="910"/>
      <c r="S117" s="1950" t="s">
        <v>7</v>
      </c>
      <c r="T117" s="1951"/>
      <c r="U117" s="1952"/>
      <c r="V117" s="1953" t="s">
        <v>7</v>
      </c>
      <c r="W117" s="1954"/>
      <c r="X117" s="1955"/>
      <c r="Y117" s="911"/>
    </row>
    <row r="118" spans="1:31" x14ac:dyDescent="0.25">
      <c r="D118" s="1750"/>
      <c r="E118" s="1751"/>
      <c r="F118" s="1751"/>
      <c r="G118" s="1751"/>
      <c r="H118" s="1751"/>
      <c r="I118" s="1751"/>
      <c r="J118" s="1751"/>
      <c r="K118" s="1751"/>
      <c r="L118" s="1751"/>
      <c r="M118" s="866"/>
      <c r="N118" s="1769" t="s">
        <v>465</v>
      </c>
      <c r="O118" s="1769"/>
      <c r="P118" s="1769"/>
      <c r="Q118" s="1769"/>
      <c r="R118" s="866"/>
      <c r="S118" s="1947">
        <v>0</v>
      </c>
      <c r="T118" s="1948"/>
      <c r="U118" s="1949"/>
      <c r="V118" s="1956">
        <v>0</v>
      </c>
      <c r="W118" s="1957"/>
      <c r="X118" s="1958"/>
      <c r="Y118" s="911"/>
    </row>
    <row r="119" spans="1:31" ht="27" customHeight="1" x14ac:dyDescent="0.25">
      <c r="D119" s="1770" t="str">
        <f>$D$89</f>
        <v>Political Risk</v>
      </c>
      <c r="E119" s="1708"/>
      <c r="F119" s="1708"/>
      <c r="G119" s="1708"/>
      <c r="H119" s="1708"/>
      <c r="I119" s="1708"/>
      <c r="J119" s="1708"/>
      <c r="K119" s="1708"/>
      <c r="L119" s="1708"/>
      <c r="M119" s="1709" t="s">
        <v>88</v>
      </c>
      <c r="N119" s="1709"/>
      <c r="O119" s="1709"/>
      <c r="P119" s="1709"/>
      <c r="Q119" s="1709"/>
      <c r="R119" s="81"/>
      <c r="S119" s="1759" t="s">
        <v>7</v>
      </c>
      <c r="T119" s="1760"/>
      <c r="U119" s="1761"/>
      <c r="V119" s="1801" t="s">
        <v>7</v>
      </c>
      <c r="W119" s="1802"/>
      <c r="X119" s="1803"/>
      <c r="Y119" s="911"/>
    </row>
    <row r="120" spans="1:31" ht="27" customHeight="1" x14ac:dyDescent="0.25">
      <c r="D120" s="1965" t="str">
        <f>D90</f>
        <v>Currency/Macro Risk</v>
      </c>
      <c r="E120" s="1709"/>
      <c r="F120" s="1709"/>
      <c r="G120" s="1709"/>
      <c r="H120" s="1709"/>
      <c r="I120" s="1709"/>
      <c r="J120" s="1709"/>
      <c r="K120" s="1709"/>
      <c r="L120" s="1709"/>
      <c r="M120" s="1971" t="s">
        <v>456</v>
      </c>
      <c r="N120" s="1971"/>
      <c r="O120" s="1971"/>
      <c r="P120" s="1971"/>
      <c r="Q120" s="1971"/>
      <c r="R120" s="81"/>
      <c r="S120" s="1759" t="s">
        <v>7</v>
      </c>
      <c r="T120" s="1760"/>
      <c r="U120" s="1761"/>
      <c r="V120" s="1801" t="s">
        <v>6</v>
      </c>
      <c r="W120" s="1802"/>
      <c r="X120" s="1803"/>
      <c r="Y120" s="911"/>
    </row>
    <row r="121" spans="1:31" x14ac:dyDescent="0.25"/>
    <row r="122" spans="1:31" x14ac:dyDescent="0.25">
      <c r="G122" s="91"/>
    </row>
    <row r="123" spans="1:31" ht="18" customHeight="1" x14ac:dyDescent="0.25">
      <c r="B123" s="55" t="s">
        <v>240</v>
      </c>
      <c r="C123" s="55"/>
      <c r="D123" s="81"/>
      <c r="E123" s="81"/>
      <c r="F123" s="81"/>
      <c r="G123" s="81"/>
      <c r="H123" s="81"/>
      <c r="I123" s="81"/>
      <c r="J123" s="81"/>
      <c r="K123" s="81"/>
      <c r="L123" s="81"/>
      <c r="M123" s="55"/>
      <c r="N123" s="55"/>
      <c r="O123" s="55"/>
      <c r="P123" s="797"/>
      <c r="Q123" s="797"/>
      <c r="R123" s="797"/>
      <c r="S123" s="797"/>
      <c r="T123" s="797"/>
      <c r="U123" s="797"/>
      <c r="V123" s="797"/>
      <c r="W123" s="797"/>
      <c r="X123" s="797"/>
      <c r="Y123" s="797"/>
      <c r="Z123" s="797"/>
      <c r="AA123" s="842"/>
      <c r="AB123" s="912"/>
      <c r="AC123" s="913"/>
      <c r="AD123" s="913"/>
      <c r="AE123" s="913"/>
    </row>
    <row r="124" spans="1:31" x14ac:dyDescent="0.25">
      <c r="P124" s="160"/>
      <c r="X124" s="914"/>
      <c r="Y124" s="914"/>
      <c r="Z124" s="913"/>
      <c r="AA124" s="913"/>
      <c r="AB124" s="912"/>
      <c r="AC124" s="913"/>
      <c r="AD124" s="913"/>
      <c r="AE124" s="913"/>
    </row>
    <row r="125" spans="1:31" x14ac:dyDescent="0.25">
      <c r="C125" s="56" t="s">
        <v>245</v>
      </c>
      <c r="P125" s="160"/>
      <c r="X125" s="914"/>
      <c r="Y125" s="914"/>
      <c r="Z125" s="913"/>
      <c r="AA125" s="913"/>
      <c r="AB125" s="912"/>
      <c r="AC125" s="913"/>
      <c r="AD125" s="913"/>
      <c r="AE125" s="913"/>
    </row>
    <row r="126" spans="1:31" ht="26.25" customHeight="1" x14ac:dyDescent="0.25">
      <c r="A126" s="91"/>
      <c r="B126" s="91"/>
      <c r="C126" s="91"/>
      <c r="D126" s="91"/>
      <c r="E126" s="91"/>
      <c r="F126" s="91"/>
      <c r="G126" s="91"/>
      <c r="H126" s="91"/>
      <c r="I126" s="91"/>
      <c r="J126" s="91"/>
      <c r="K126" s="91"/>
      <c r="L126" s="91"/>
      <c r="M126" s="91"/>
      <c r="N126" s="91"/>
      <c r="O126" s="91"/>
      <c r="S126" s="1927" t="s">
        <v>82</v>
      </c>
      <c r="T126" s="1928"/>
      <c r="U126" s="1929"/>
      <c r="V126" s="1831" t="s">
        <v>238</v>
      </c>
      <c r="W126" s="1832"/>
      <c r="X126" s="1832"/>
      <c r="Y126" s="1833"/>
      <c r="Z126" s="913"/>
      <c r="AA126" s="913"/>
      <c r="AB126" s="912"/>
      <c r="AC126" s="913"/>
      <c r="AD126" s="913"/>
      <c r="AE126" s="913"/>
    </row>
    <row r="127" spans="1:31" ht="39.6" x14ac:dyDescent="0.25">
      <c r="A127" s="91"/>
      <c r="B127" s="91"/>
      <c r="C127" s="91"/>
      <c r="D127" s="1840" t="s">
        <v>87</v>
      </c>
      <c r="E127" s="1708"/>
      <c r="F127" s="1708"/>
      <c r="G127" s="1708"/>
      <c r="H127" s="1708"/>
      <c r="I127" s="1708"/>
      <c r="J127" s="1708"/>
      <c r="K127" s="1708"/>
      <c r="L127" s="1708"/>
      <c r="M127" s="1767" t="s">
        <v>326</v>
      </c>
      <c r="N127" s="1767"/>
      <c r="O127" s="1767"/>
      <c r="P127" s="1767"/>
      <c r="Q127" s="1767"/>
      <c r="R127" s="902"/>
      <c r="S127" s="915" t="s">
        <v>327</v>
      </c>
      <c r="T127" s="915" t="s">
        <v>328</v>
      </c>
      <c r="U127" s="915" t="s">
        <v>215</v>
      </c>
      <c r="V127" s="915" t="str">
        <f>$V$72</f>
        <v>Equity</v>
      </c>
      <c r="W127" s="916" t="str">
        <f>$W$72</f>
        <v>Public Loan</v>
      </c>
      <c r="X127" s="917" t="str">
        <f>$X$72</f>
        <v>Commercial Loan with Guarantees</v>
      </c>
      <c r="Y127" s="918" t="str">
        <f>$Y$72</f>
        <v>Commercial Loan w/out Guarantees</v>
      </c>
      <c r="Z127" s="919"/>
      <c r="AA127" s="857"/>
      <c r="AB127" s="912"/>
      <c r="AC127" s="913"/>
      <c r="AD127" s="913"/>
      <c r="AE127" s="913"/>
    </row>
    <row r="128" spans="1:31" ht="25.95" customHeight="1" x14ac:dyDescent="0.25">
      <c r="A128" s="91"/>
      <c r="B128" s="91"/>
      <c r="C128" s="91"/>
      <c r="D128" s="1770" t="str">
        <f>$D$82</f>
        <v>Power Market Risk</v>
      </c>
      <c r="E128" s="1708"/>
      <c r="F128" s="1708"/>
      <c r="G128" s="1708"/>
      <c r="H128" s="1708"/>
      <c r="I128" s="1708"/>
      <c r="J128" s="1708"/>
      <c r="K128" s="1708"/>
      <c r="L128" s="1708"/>
      <c r="M128" s="1709" t="str">
        <f>$M$101</f>
        <v>Long term targets; regulatory framework; standardised PPA; independent regulator</v>
      </c>
      <c r="N128" s="1709"/>
      <c r="O128" s="1709"/>
      <c r="P128" s="1709"/>
      <c r="Q128" s="1709"/>
      <c r="R128" s="902"/>
      <c r="S128" s="994">
        <v>0.75</v>
      </c>
      <c r="T128" s="994">
        <v>0.75</v>
      </c>
      <c r="U128" s="995">
        <v>0.5</v>
      </c>
      <c r="V128" s="920">
        <f t="shared" ref="V128:V134" si="4">IF(V101="Y", -(SUM(R82)*S128*(1-U128)),0)</f>
        <v>-5.1558328652646802E-3</v>
      </c>
      <c r="W128" s="1121">
        <f>IF($V$101="Y", -(SUM(S82)*$T$128*(1-$U$128)),0)</f>
        <v>0</v>
      </c>
      <c r="X128" s="1122">
        <f>IF($V$101="Y", -(SUM(T82)*$T$128*(1-$U$128)),0)</f>
        <v>0</v>
      </c>
      <c r="Y128" s="1091">
        <f>IF($V$101="Y", -(SUM(U82)*$T$128*(1-$U$128)),0)</f>
        <v>-2.1766077904429317E-3</v>
      </c>
      <c r="AA128" s="857"/>
      <c r="AB128" s="912"/>
      <c r="AC128" s="913"/>
      <c r="AD128" s="913"/>
      <c r="AE128" s="913"/>
    </row>
    <row r="129" spans="1:32" ht="25.95" customHeight="1" x14ac:dyDescent="0.25">
      <c r="A129" s="91"/>
      <c r="B129" s="91"/>
      <c r="C129" s="91"/>
      <c r="D129" s="1770" t="str">
        <f>$D$83</f>
        <v>Permits Risk</v>
      </c>
      <c r="E129" s="1708"/>
      <c r="F129" s="1708"/>
      <c r="G129" s="1708"/>
      <c r="H129" s="1708"/>
      <c r="I129" s="1708"/>
      <c r="J129" s="1708"/>
      <c r="K129" s="1708"/>
      <c r="L129" s="1708"/>
      <c r="M129" s="1709" t="str">
        <f>$M$102</f>
        <v>Streamlined process for permits; Establish a dedicated one-stop shop for RE permits; contract enforcement and recourse mechanisms</v>
      </c>
      <c r="N129" s="1709"/>
      <c r="O129" s="1709"/>
      <c r="P129" s="1709"/>
      <c r="Q129" s="1709"/>
      <c r="R129" s="902"/>
      <c r="S129" s="994">
        <v>0.5</v>
      </c>
      <c r="T129" s="994">
        <v>0.5</v>
      </c>
      <c r="U129" s="995">
        <v>0.5</v>
      </c>
      <c r="V129" s="920">
        <f t="shared" si="4"/>
        <v>-8.4539306357981801E-4</v>
      </c>
      <c r="W129" s="1121">
        <f>IF($V$102="Y", -(SUM(S83)*$T$129*(1-$U$129)),0)</f>
        <v>0</v>
      </c>
      <c r="X129" s="1122">
        <f>IF($V$102="Y", -(SUM(T83)*$T$129*(1-$U$129)),0)</f>
        <v>0</v>
      </c>
      <c r="Y129" s="1091">
        <f>IF($V$102="Y", -(SUM(U83)*$T$129*(1-$U$129)),0)</f>
        <v>0</v>
      </c>
      <c r="Z129" s="913"/>
      <c r="AB129" s="912"/>
      <c r="AC129" s="913"/>
      <c r="AD129" s="913"/>
      <c r="AE129" s="913"/>
    </row>
    <row r="130" spans="1:32" ht="25.95" customHeight="1" x14ac:dyDescent="0.25">
      <c r="A130" s="91"/>
      <c r="B130" s="91"/>
      <c r="C130" s="91"/>
      <c r="D130" s="1770" t="str">
        <f>$D$84</f>
        <v>Social Acceptance Risk</v>
      </c>
      <c r="E130" s="1708"/>
      <c r="F130" s="1708"/>
      <c r="G130" s="1708"/>
      <c r="H130" s="1708"/>
      <c r="I130" s="1708"/>
      <c r="J130" s="1708"/>
      <c r="K130" s="1708"/>
      <c r="L130" s="1708"/>
      <c r="M130" s="1709" t="str">
        <f>$M$103</f>
        <v>Awareness-raising campaigns targeting communities and end-users; pilot models for community involvement at project sites</v>
      </c>
      <c r="N130" s="1709"/>
      <c r="O130" s="1709"/>
      <c r="P130" s="1709"/>
      <c r="Q130" s="1709"/>
      <c r="R130" s="902"/>
      <c r="S130" s="994">
        <v>0.5</v>
      </c>
      <c r="T130" s="994">
        <v>0.5</v>
      </c>
      <c r="U130" s="995">
        <v>0.5</v>
      </c>
      <c r="V130" s="920">
        <f t="shared" si="4"/>
        <v>-5.704406636840878E-4</v>
      </c>
      <c r="W130" s="1121">
        <f>IF($V$103="Y", -(SUM(S84)*$T$130*(1-$U$130)),0)</f>
        <v>0</v>
      </c>
      <c r="X130" s="1122">
        <f>IF($V$103="Y", -(SUM(T84)*$T$130*(1-$U$130)),0)</f>
        <v>0</v>
      </c>
      <c r="Y130" s="1091">
        <f>IF($V$103="Y", -(SUM(U84)*$T$130*(1-$U$130)),0)</f>
        <v>-2.4081959695108963E-4</v>
      </c>
      <c r="Z130" s="913"/>
      <c r="AB130" s="912"/>
      <c r="AC130" s="913"/>
      <c r="AD130" s="913"/>
      <c r="AE130" s="913"/>
    </row>
    <row r="131" spans="1:32" ht="25.95" customHeight="1" x14ac:dyDescent="0.25">
      <c r="A131" s="91"/>
      <c r="B131" s="91"/>
      <c r="C131" s="91"/>
      <c r="D131" s="1770" t="str">
        <f>$D$85</f>
        <v>Resource &amp; Technology Risk</v>
      </c>
      <c r="E131" s="1708"/>
      <c r="F131" s="1708"/>
      <c r="G131" s="1708"/>
      <c r="H131" s="1708"/>
      <c r="I131" s="1708"/>
      <c r="J131" s="1708"/>
      <c r="K131" s="1708"/>
      <c r="L131" s="1708"/>
      <c r="M131" s="1970" t="str">
        <f>$M$104</f>
        <v>Resource assessment; Technology and O&amp;M assistance</v>
      </c>
      <c r="N131" s="1709"/>
      <c r="O131" s="1709"/>
      <c r="P131" s="1709"/>
      <c r="Q131" s="1709"/>
      <c r="R131" s="902"/>
      <c r="S131" s="996">
        <v>0.25</v>
      </c>
      <c r="T131" s="996">
        <v>0.25</v>
      </c>
      <c r="U131" s="995">
        <v>0.5</v>
      </c>
      <c r="V131" s="920">
        <f t="shared" si="4"/>
        <v>-4.590050800334012E-4</v>
      </c>
      <c r="W131" s="1121">
        <f>IF($V$104="Y", -(SUM(S85)*$T$131*(1-$U$131)),0)</f>
        <v>0</v>
      </c>
      <c r="X131" s="1122">
        <f>IF($V$104="Y", -(SUM(T85)*$T$131*(1-$U$131)),0)</f>
        <v>0</v>
      </c>
      <c r="Y131" s="1091">
        <f>IF($V$104="Y", -(SUM(U85)*$T$131*(1-$U$131)),0)</f>
        <v>-1.9377548868669425E-4</v>
      </c>
      <c r="Z131" s="913"/>
      <c r="AA131" s="913"/>
      <c r="AB131" s="912"/>
      <c r="AC131" s="913"/>
      <c r="AD131" s="913"/>
      <c r="AE131" s="913"/>
    </row>
    <row r="132" spans="1:32" ht="25.95" customHeight="1" x14ac:dyDescent="0.25">
      <c r="D132" s="1770" t="str">
        <f>$D$86</f>
        <v>Grid/Transmission Risk</v>
      </c>
      <c r="E132" s="1708"/>
      <c r="F132" s="1708"/>
      <c r="G132" s="1708"/>
      <c r="H132" s="1708"/>
      <c r="I132" s="1708"/>
      <c r="J132" s="1708"/>
      <c r="K132" s="1708"/>
      <c r="L132" s="1708"/>
      <c r="M132" s="1709" t="str">
        <f>$M$105</f>
        <v>Grid code; grid management studies</v>
      </c>
      <c r="N132" s="1709"/>
      <c r="O132" s="1709"/>
      <c r="P132" s="1709"/>
      <c r="Q132" s="1709"/>
      <c r="R132" s="902"/>
      <c r="S132" s="994">
        <v>0.5</v>
      </c>
      <c r="T132" s="994">
        <v>0.5</v>
      </c>
      <c r="U132" s="995">
        <v>0.5</v>
      </c>
      <c r="V132" s="920">
        <f t="shared" si="4"/>
        <v>-2.6012094263994402E-3</v>
      </c>
      <c r="W132" s="1121">
        <f>IF($V$105="Y", -(SUM(S86)*$T$132*(1-$U$132)),0)</f>
        <v>0</v>
      </c>
      <c r="X132" s="1122">
        <f>IF($V$105="Y", -(SUM(T86)*$T$132*(1-$U$132)),0)</f>
        <v>0</v>
      </c>
      <c r="Y132" s="1091">
        <f>IF($V$105="Y", -(SUM(U86)*$T$132*(1-$U$132)),0)</f>
        <v>-1.0981373620969684E-3</v>
      </c>
      <c r="Z132" s="913"/>
      <c r="AA132" s="913"/>
      <c r="AB132" s="912"/>
      <c r="AC132" s="913"/>
      <c r="AD132" s="913"/>
      <c r="AE132" s="913"/>
    </row>
    <row r="133" spans="1:32" ht="25.95" customHeight="1" x14ac:dyDescent="0.25">
      <c r="D133" s="1770" t="str">
        <f>$D$87</f>
        <v>Counterparty Risk</v>
      </c>
      <c r="E133" s="1708"/>
      <c r="F133" s="1708"/>
      <c r="G133" s="1708"/>
      <c r="H133" s="1708"/>
      <c r="I133" s="1708"/>
      <c r="J133" s="1708"/>
      <c r="K133" s="1708"/>
      <c r="L133" s="1708"/>
      <c r="M133" s="1709" t="str">
        <f>$M$106</f>
        <v>Strengthening utility's management &amp; operational performance for existing operations</v>
      </c>
      <c r="N133" s="1709"/>
      <c r="O133" s="1709"/>
      <c r="P133" s="1709"/>
      <c r="Q133" s="1709"/>
      <c r="R133" s="902"/>
      <c r="S133" s="994">
        <v>0.5</v>
      </c>
      <c r="T133" s="994">
        <v>0.5</v>
      </c>
      <c r="U133" s="995">
        <v>0.5</v>
      </c>
      <c r="V133" s="920">
        <f t="shared" si="4"/>
        <v>-2.3388067211047602E-3</v>
      </c>
      <c r="W133" s="1121">
        <f>IF($V$106="Y", -(SUM(S87)*$T$133*(1-$U$133)),0)</f>
        <v>0</v>
      </c>
      <c r="X133" s="1122">
        <f>IF($V$106="Y", -(SUM(T87)*$T$133*(1-$U$133)),0)</f>
        <v>0</v>
      </c>
      <c r="Y133" s="1091">
        <f>IF($V$106="Y", -(SUM(U87)*$T$133*(1-$U$133)),0)</f>
        <v>-9.8736034749946741E-4</v>
      </c>
      <c r="Z133" s="913"/>
      <c r="AA133" s="913"/>
      <c r="AB133" s="912"/>
      <c r="AC133" s="913"/>
      <c r="AD133" s="913"/>
      <c r="AE133" s="913"/>
    </row>
    <row r="134" spans="1:32" ht="25.95" customHeight="1" x14ac:dyDescent="0.25">
      <c r="D134" s="1770" t="str">
        <f>$D$88</f>
        <v>Financial Sector Risk</v>
      </c>
      <c r="E134" s="1708"/>
      <c r="F134" s="1708"/>
      <c r="G134" s="1708"/>
      <c r="H134" s="1708"/>
      <c r="I134" s="1708"/>
      <c r="J134" s="1708"/>
      <c r="K134" s="1708"/>
      <c r="L134" s="1708"/>
      <c r="M134" s="1709" t="str">
        <f>$M$107</f>
        <v>Financial sector reform; strengthening investors' familiarity and assessment capacity for renewable energy</v>
      </c>
      <c r="N134" s="1709"/>
      <c r="O134" s="1709"/>
      <c r="P134" s="1709"/>
      <c r="Q134" s="1709"/>
      <c r="R134" s="902"/>
      <c r="S134" s="994">
        <v>0.25</v>
      </c>
      <c r="T134" s="994">
        <v>0.25</v>
      </c>
      <c r="U134" s="995">
        <v>0.5</v>
      </c>
      <c r="V134" s="920">
        <f t="shared" si="4"/>
        <v>-9.2496953616374837E-4</v>
      </c>
      <c r="W134" s="1121">
        <f>IF($V$107="Y", -(SUM(S88)*$T$134*(1-$U$134)),0)</f>
        <v>0</v>
      </c>
      <c r="X134" s="1122">
        <f>IF($V$107="Y", -(SUM(T88)*$T$134*(1-$U$134)),0)</f>
        <v>0</v>
      </c>
      <c r="Y134" s="1091">
        <f>IF($V$107="Y", -(SUM(U88)*$T$134*(1-$U$134)),0)</f>
        <v>0</v>
      </c>
      <c r="Z134" s="913"/>
      <c r="AA134" s="913"/>
      <c r="AB134" s="912"/>
      <c r="AC134" s="913"/>
      <c r="AD134" s="913"/>
      <c r="AE134" s="913"/>
    </row>
    <row r="135" spans="1:32" ht="27" customHeight="1" x14ac:dyDescent="0.25">
      <c r="D135" s="1840" t="s">
        <v>244</v>
      </c>
      <c r="E135" s="1767"/>
      <c r="F135" s="1767"/>
      <c r="G135" s="1767"/>
      <c r="H135" s="1767"/>
      <c r="I135" s="1767"/>
      <c r="J135" s="1767"/>
      <c r="K135" s="1767"/>
      <c r="L135" s="1767"/>
      <c r="M135" s="81"/>
      <c r="N135" s="81"/>
      <c r="O135" s="81"/>
      <c r="P135" s="81"/>
      <c r="Q135" s="81"/>
      <c r="R135" s="81"/>
      <c r="S135" s="81"/>
      <c r="T135" s="81"/>
      <c r="U135" s="81"/>
      <c r="V135" s="921">
        <f>SUM(V128:V134)</f>
        <v>-1.2895657356229936E-2</v>
      </c>
      <c r="W135" s="1123">
        <f>SUM(W128:W134)</f>
        <v>0</v>
      </c>
      <c r="X135" s="1124">
        <f>SUM(X128:X134)</f>
        <v>0</v>
      </c>
      <c r="Y135" s="1090">
        <f>SUM(Y128:Y134)</f>
        <v>-4.6967005856771507E-3</v>
      </c>
      <c r="Z135" s="913"/>
      <c r="AA135" s="913"/>
      <c r="AB135" s="912"/>
      <c r="AC135" s="913"/>
      <c r="AD135" s="913"/>
      <c r="AE135" s="913"/>
    </row>
    <row r="136" spans="1:32" ht="18" customHeight="1" x14ac:dyDescent="0.25">
      <c r="P136" s="160"/>
      <c r="V136" s="922"/>
      <c r="W136" s="922"/>
      <c r="X136" s="914"/>
      <c r="Y136" s="914"/>
      <c r="Z136" s="913"/>
      <c r="AA136" s="913"/>
      <c r="AB136" s="912"/>
      <c r="AC136" s="913"/>
      <c r="AD136" s="913"/>
      <c r="AE136" s="913"/>
    </row>
    <row r="137" spans="1:32" ht="18" customHeight="1" x14ac:dyDescent="0.25">
      <c r="C137" s="56" t="s">
        <v>321</v>
      </c>
      <c r="P137" s="160"/>
      <c r="V137" s="922"/>
      <c r="W137" s="922"/>
      <c r="X137" s="914"/>
      <c r="Y137" s="914"/>
      <c r="Z137" s="913"/>
      <c r="AA137" s="913"/>
      <c r="AB137" s="912"/>
      <c r="AC137" s="913"/>
      <c r="AD137" s="913"/>
      <c r="AE137" s="913"/>
    </row>
    <row r="138" spans="1:32" ht="26.25" customHeight="1" x14ac:dyDescent="0.25">
      <c r="P138" s="160"/>
      <c r="S138" s="1927" t="s">
        <v>82</v>
      </c>
      <c r="T138" s="1928"/>
      <c r="U138" s="1929"/>
      <c r="V138" s="1831" t="s">
        <v>238</v>
      </c>
      <c r="W138" s="1832"/>
      <c r="X138" s="1832"/>
      <c r="Y138" s="1833"/>
      <c r="Z138" s="913"/>
      <c r="AA138" s="913"/>
      <c r="AB138" s="912"/>
      <c r="AC138" s="913"/>
      <c r="AD138" s="913"/>
      <c r="AE138" s="913"/>
    </row>
    <row r="139" spans="1:32" s="923" customFormat="1" ht="39.6" x14ac:dyDescent="0.25">
      <c r="D139" s="1840" t="s">
        <v>87</v>
      </c>
      <c r="E139" s="1708"/>
      <c r="F139" s="1708"/>
      <c r="G139" s="1708"/>
      <c r="H139" s="1708"/>
      <c r="I139" s="1708"/>
      <c r="J139" s="1708"/>
      <c r="K139" s="1708"/>
      <c r="L139" s="1708"/>
      <c r="M139" s="55" t="s">
        <v>326</v>
      </c>
      <c r="N139" s="877"/>
      <c r="O139" s="877"/>
      <c r="P139" s="877"/>
      <c r="Q139" s="877"/>
      <c r="R139" s="924"/>
      <c r="S139" s="915" t="s">
        <v>327</v>
      </c>
      <c r="T139" s="915" t="s">
        <v>328</v>
      </c>
      <c r="U139" s="915" t="s">
        <v>215</v>
      </c>
      <c r="V139" s="915" t="str">
        <f>$V$72</f>
        <v>Equity</v>
      </c>
      <c r="W139" s="916" t="str">
        <f>$W$72</f>
        <v>Public Loan</v>
      </c>
      <c r="X139" s="917" t="str">
        <f>$X$72</f>
        <v>Commercial Loan with Guarantees</v>
      </c>
      <c r="Y139" s="918" t="str">
        <f>$Y$72</f>
        <v>Commercial Loan w/out Guarantees</v>
      </c>
    </row>
    <row r="140" spans="1:32" s="1103" customFormat="1" ht="26.7" customHeight="1" x14ac:dyDescent="0.25">
      <c r="D140" s="1770" t="str">
        <f>D113</f>
        <v>Grid/Transmission Risk</v>
      </c>
      <c r="E140" s="1708"/>
      <c r="F140" s="1708"/>
      <c r="G140" s="1708"/>
      <c r="H140" s="1708"/>
      <c r="I140" s="1708"/>
      <c r="J140" s="1708"/>
      <c r="K140" s="1708"/>
      <c r="L140" s="1708"/>
      <c r="M140" s="1709" t="str">
        <f>M113</f>
        <v>Take or Pay Clause in PPA</v>
      </c>
      <c r="N140" s="1709"/>
      <c r="O140" s="1709"/>
      <c r="P140" s="1709"/>
      <c r="Q140" s="877"/>
      <c r="R140" s="924"/>
      <c r="S140" s="994">
        <v>0.25</v>
      </c>
      <c r="T140" s="994">
        <v>0.25</v>
      </c>
      <c r="U140" s="995">
        <v>0</v>
      </c>
      <c r="V140" s="920">
        <f>IF($V$113="Y",-SUM($R$86)*$S$140*(1-$U$140),0)</f>
        <v>-2.6012094263994402E-3</v>
      </c>
      <c r="W140" s="1121">
        <f>IF($V$113="Y",-SUM($S$86)*$T$140*(1-$U$140),0)</f>
        <v>0</v>
      </c>
      <c r="X140" s="1122">
        <f>IF($V$113="Y",-SUM($T$86)*$T$140*(1-$U$140),0)</f>
        <v>0</v>
      </c>
      <c r="Y140" s="1091">
        <f>IF($V$113="Y",-SUM($U$86)*$T$140*(1-$U$140),0)</f>
        <v>-1.0981373620969684E-3</v>
      </c>
    </row>
    <row r="141" spans="1:32" s="1103" customFormat="1" ht="26.7" customHeight="1" x14ac:dyDescent="0.25">
      <c r="D141" s="1770" t="str">
        <f>D114</f>
        <v>Counterparty Risk</v>
      </c>
      <c r="E141" s="1708"/>
      <c r="F141" s="1708"/>
      <c r="G141" s="1708"/>
      <c r="H141" s="1708"/>
      <c r="I141" s="1708"/>
      <c r="J141" s="1708"/>
      <c r="K141" s="1708"/>
      <c r="L141" s="1708"/>
      <c r="M141" s="1709" t="str">
        <f>M114</f>
        <v>Government Guarantee for PPA</v>
      </c>
      <c r="N141" s="1709"/>
      <c r="O141" s="1709"/>
      <c r="P141" s="1709"/>
      <c r="Q141" s="877"/>
      <c r="R141" s="924"/>
      <c r="S141" s="994">
        <v>0.25</v>
      </c>
      <c r="T141" s="994">
        <v>0.25</v>
      </c>
      <c r="U141" s="995">
        <v>0</v>
      </c>
      <c r="V141" s="920">
        <f>IF($V$114="Y",-SUM($R$87)*$S$141*(1-$U$141),0)</f>
        <v>-2.3388067211047602E-3</v>
      </c>
      <c r="W141" s="1121">
        <f>IF($V$114="Y",-SUM($S$87)*$T$141*(1-$U$141),0)</f>
        <v>0</v>
      </c>
      <c r="X141" s="1122">
        <f>IF($V$114="Y",-SUM($T$87)*$T$141*(1-$U$141),0)</f>
        <v>0</v>
      </c>
      <c r="Y141" s="1091">
        <f>IF($V$114="Y",-SUM($U$87)*$T$141*(1-$U$141),0)</f>
        <v>-9.8736034749946741E-4</v>
      </c>
    </row>
    <row r="142" spans="1:32" s="59" customFormat="1" ht="27" customHeight="1" x14ac:dyDescent="0.3">
      <c r="D142" s="1770" t="str">
        <f>$D$88</f>
        <v>Financial Sector Risk</v>
      </c>
      <c r="E142" s="1708"/>
      <c r="F142" s="1708"/>
      <c r="G142" s="1708"/>
      <c r="H142" s="1708"/>
      <c r="I142" s="1708"/>
      <c r="J142" s="1708"/>
      <c r="K142" s="1708"/>
      <c r="L142" s="1708"/>
      <c r="M142" s="1709" t="str">
        <f>$M$115</f>
        <v>Public Loans</v>
      </c>
      <c r="N142" s="1709"/>
      <c r="O142" s="1709"/>
      <c r="P142" s="1709"/>
      <c r="Q142" s="877"/>
      <c r="R142" s="878"/>
      <c r="S142" s="994">
        <v>0</v>
      </c>
      <c r="T142" s="994">
        <v>0</v>
      </c>
      <c r="U142" s="995">
        <v>0</v>
      </c>
      <c r="V142" s="920">
        <f>IF(AND($V$115="Y", $S$30=0),-SUM($R$88)*$S$142*(1-$U$142),0)</f>
        <v>0</v>
      </c>
      <c r="W142" s="1121">
        <f>IF(AND($V$115="Y", $S$30&gt;0),-SUM(S$88)*$T$142*(1-$U$142),0)</f>
        <v>0</v>
      </c>
      <c r="X142" s="1122">
        <f>IF(AND($V$115="Y", $S$30&gt;0),-SUM(T$88)*$T$142*(1-$U$142),0)</f>
        <v>0</v>
      </c>
      <c r="Y142" s="1091">
        <f>IF(AND($V$115="Y", $S$30&gt;0),-SUM(U$88)*$T$142*(1-$U$142),0)</f>
        <v>0</v>
      </c>
      <c r="Z142" s="925"/>
      <c r="AA142" s="1844"/>
      <c r="AB142" s="1845"/>
      <c r="AC142" s="1845"/>
      <c r="AD142" s="1845"/>
      <c r="AE142" s="1845"/>
      <c r="AF142" s="1845"/>
    </row>
    <row r="143" spans="1:32" s="59" customFormat="1" ht="27" customHeight="1" x14ac:dyDescent="0.3">
      <c r="D143" s="1770" t="str">
        <f>$D$88</f>
        <v>Financial Sector Risk</v>
      </c>
      <c r="E143" s="1708"/>
      <c r="F143" s="1708"/>
      <c r="G143" s="1708"/>
      <c r="H143" s="1708"/>
      <c r="I143" s="1708"/>
      <c r="J143" s="1708"/>
      <c r="K143" s="1708"/>
      <c r="L143" s="1708"/>
      <c r="M143" s="1709" t="str">
        <f>$M$117</f>
        <v>Public Guarantees to Commercial Loans</v>
      </c>
      <c r="N143" s="1709"/>
      <c r="O143" s="1709"/>
      <c r="P143" s="1709"/>
      <c r="Q143" s="877"/>
      <c r="R143" s="878"/>
      <c r="S143" s="994">
        <v>0</v>
      </c>
      <c r="T143" s="994">
        <v>0</v>
      </c>
      <c r="U143" s="995">
        <v>0</v>
      </c>
      <c r="V143" s="920">
        <f xml:space="preserve"> IF(AND($V$117="Y",$S$31=0),-SUM($R$88)*$S$143*(1-$U$143),0)</f>
        <v>0</v>
      </c>
      <c r="W143" s="1121">
        <f>IF(AND($V$117="Y",$S$31&gt;0),-SUM(S88)*$T$143*(1-$U$143),0)</f>
        <v>0</v>
      </c>
      <c r="X143" s="1122">
        <f>IF(AND($V$117="Y",$S$31&gt;0),-SUM(T88)*$T$143*(1-$U$143),0)</f>
        <v>0</v>
      </c>
      <c r="Y143" s="1091">
        <f>IF(AND($V$117="Y",$S$31&gt;0),-SUM(U88)*$T$143*(1-$U$143),0)</f>
        <v>0</v>
      </c>
      <c r="Z143" s="926"/>
      <c r="AB143" s="912"/>
      <c r="AC143" s="926"/>
      <c r="AD143" s="926"/>
      <c r="AE143" s="926"/>
    </row>
    <row r="144" spans="1:32" s="59" customFormat="1" ht="27" customHeight="1" x14ac:dyDescent="0.3">
      <c r="D144" s="1770" t="str">
        <f>$D$89</f>
        <v>Political Risk</v>
      </c>
      <c r="E144" s="1708"/>
      <c r="F144" s="1708"/>
      <c r="G144" s="1708"/>
      <c r="H144" s="1708"/>
      <c r="I144" s="1708"/>
      <c r="J144" s="1708"/>
      <c r="K144" s="1708"/>
      <c r="L144" s="1708"/>
      <c r="M144" s="1709" t="str">
        <f>$M$119</f>
        <v>Political Risk Insurance for Equity Investment</v>
      </c>
      <c r="N144" s="1709"/>
      <c r="O144" s="1709"/>
      <c r="P144" s="1709"/>
      <c r="Q144" s="877"/>
      <c r="R144" s="878"/>
      <c r="S144" s="994">
        <v>0</v>
      </c>
      <c r="T144" s="994">
        <v>0</v>
      </c>
      <c r="U144" s="995">
        <v>0</v>
      </c>
      <c r="V144" s="920">
        <f>IF($V$119="Y",-SUM($R$89)*$S$144*(1-$U$144),0)</f>
        <v>0</v>
      </c>
      <c r="W144" s="1121">
        <f>IF($V$119="Y",-SUM(S89)*$T$144*(1-$U$144),0)</f>
        <v>0</v>
      </c>
      <c r="X144" s="1122">
        <f>IF($V$119="Y",-SUM(T89)*$T$144*(1-$U$144),0)</f>
        <v>0</v>
      </c>
      <c r="Y144" s="1091">
        <f>IF($V$119="Y",-SUM(U89)*$T$144*(1-$U$144),0)</f>
        <v>0</v>
      </c>
      <c r="Z144" s="925"/>
      <c r="AB144" s="912"/>
      <c r="AC144" s="926"/>
      <c r="AD144" s="926"/>
      <c r="AE144" s="926"/>
    </row>
    <row r="145" spans="2:32" s="59" customFormat="1" ht="27" customHeight="1" x14ac:dyDescent="0.3">
      <c r="D145" s="1109" t="str">
        <f>D120</f>
        <v>Currency/Macro Risk</v>
      </c>
      <c r="E145" s="1108"/>
      <c r="F145" s="1108"/>
      <c r="G145" s="1108"/>
      <c r="H145" s="1108"/>
      <c r="I145" s="1108"/>
      <c r="J145" s="1108"/>
      <c r="K145" s="1108"/>
      <c r="L145" s="1108"/>
      <c r="M145" s="1709" t="str">
        <f>M120</f>
        <v>Partial Indexing</v>
      </c>
      <c r="N145" s="1709"/>
      <c r="O145" s="1709"/>
      <c r="P145" s="1709"/>
      <c r="Q145" s="877"/>
      <c r="R145" s="877"/>
      <c r="S145" s="994">
        <v>0.5</v>
      </c>
      <c r="T145" s="994">
        <v>0.5</v>
      </c>
      <c r="U145" s="995">
        <v>0</v>
      </c>
      <c r="V145" s="920">
        <f>IF($V$120="Y",-SUM($R$90)*$S$145*(1-$U$145),0)</f>
        <v>-4.679687771895643E-3</v>
      </c>
      <c r="W145" s="1121">
        <f>IF($V$120="Y",-SUM($S$90)*$T$145*(1-$U$145),0)</f>
        <v>0</v>
      </c>
      <c r="X145" s="1122">
        <f>IF($V$120="Y",-SUM($T$90)*$T$145*(1-$U$145),0)</f>
        <v>0</v>
      </c>
      <c r="Y145" s="1091">
        <f>IF($V$120="Y",-SUM($U$90)*$T$145*(1-$U$145),0)</f>
        <v>-1.9755964026242114E-3</v>
      </c>
      <c r="Z145" s="925"/>
      <c r="AB145" s="912"/>
      <c r="AC145" s="926"/>
      <c r="AD145" s="926"/>
      <c r="AE145" s="926"/>
    </row>
    <row r="146" spans="2:32" ht="26.25" customHeight="1" x14ac:dyDescent="0.25">
      <c r="D146" s="1840" t="s">
        <v>244</v>
      </c>
      <c r="E146" s="1767"/>
      <c r="F146" s="1767"/>
      <c r="G146" s="1767"/>
      <c r="H146" s="1767"/>
      <c r="I146" s="1767"/>
      <c r="J146" s="1767"/>
      <c r="K146" s="1767"/>
      <c r="L146" s="1767"/>
      <c r="M146" s="841"/>
      <c r="N146" s="841"/>
      <c r="O146" s="841"/>
      <c r="P146" s="927"/>
      <c r="Q146" s="841"/>
      <c r="R146" s="841"/>
      <c r="S146" s="841"/>
      <c r="T146" s="841"/>
      <c r="U146" s="928"/>
      <c r="V146" s="921">
        <f>SUM(V140:V145)</f>
        <v>-9.619703919399843E-3</v>
      </c>
      <c r="W146" s="1123">
        <f>SUM(W140:W145)</f>
        <v>0</v>
      </c>
      <c r="X146" s="1124">
        <f>SUM(X140:X145)</f>
        <v>0</v>
      </c>
      <c r="Y146" s="1090">
        <f>SUM(Y140:Y145)</f>
        <v>-4.0610941122206472E-3</v>
      </c>
      <c r="Z146" s="913"/>
      <c r="AB146" s="912"/>
      <c r="AC146" s="913"/>
      <c r="AD146" s="913"/>
      <c r="AE146" s="913"/>
    </row>
    <row r="147" spans="2:32" ht="27.75" customHeight="1" x14ac:dyDescent="0.25">
      <c r="D147" s="125"/>
      <c r="G147" s="59"/>
      <c r="R147" s="929" t="s">
        <v>399</v>
      </c>
      <c r="S147" s="930" t="str">
        <f>IF(SUM(S140,S132)&gt;1,"Incorrect entry, see note",IF(SUM(S133,S141)&gt;1,"Incorrect entry, see note",IF(SUM(S134,S142,S143)&gt;1,"Incorrect entry, see note","")))</f>
        <v/>
      </c>
      <c r="T147" s="930" t="str">
        <f>IF(SUM(S140,S132)&gt;1,"Incorrect entry, see note",IF(SUM(S133,S141)&gt;1,"Incorrect entry, see note",IF(SUM(S134,S142,S143)&gt;1,"Incorrect entry, see note","")))</f>
        <v/>
      </c>
      <c r="U147" s="930"/>
      <c r="Z147" s="925" t="s">
        <v>255</v>
      </c>
      <c r="AA147" s="1846" t="s">
        <v>457</v>
      </c>
      <c r="AB147" s="1846"/>
      <c r="AC147" s="1846"/>
      <c r="AD147" s="1846"/>
      <c r="AE147" s="1846"/>
      <c r="AF147" s="1846"/>
    </row>
    <row r="148" spans="2:32" x14ac:dyDescent="0.25">
      <c r="G148" s="59"/>
      <c r="AA148" s="857"/>
    </row>
    <row r="149" spans="2:32" x14ac:dyDescent="0.25">
      <c r="B149" s="55" t="s">
        <v>241</v>
      </c>
      <c r="C149" s="55"/>
      <c r="D149" s="81"/>
      <c r="E149" s="81"/>
      <c r="F149" s="81"/>
      <c r="G149" s="81"/>
      <c r="H149" s="81"/>
      <c r="I149" s="81"/>
      <c r="J149" s="81"/>
      <c r="K149" s="81"/>
      <c r="L149" s="81"/>
      <c r="M149" s="55"/>
      <c r="N149" s="55"/>
      <c r="O149" s="55"/>
      <c r="P149" s="797"/>
      <c r="Q149" s="797"/>
      <c r="R149" s="797"/>
      <c r="S149" s="797"/>
      <c r="T149" s="797"/>
      <c r="U149" s="797"/>
      <c r="V149" s="797"/>
      <c r="W149" s="797"/>
      <c r="X149" s="797"/>
      <c r="Y149" s="797"/>
    </row>
    <row r="150" spans="2:32" x14ac:dyDescent="0.25"/>
    <row r="151" spans="2:32" x14ac:dyDescent="0.25">
      <c r="C151" s="56" t="s">
        <v>323</v>
      </c>
      <c r="R151" s="1686" t="s">
        <v>201</v>
      </c>
      <c r="S151" s="1687"/>
      <c r="T151" s="1687"/>
      <c r="U151" s="1688"/>
      <c r="V151" s="1762" t="s">
        <v>202</v>
      </c>
      <c r="W151" s="1763"/>
      <c r="X151" s="1763"/>
      <c r="Y151" s="1764"/>
    </row>
    <row r="152" spans="2:32" ht="26.4" x14ac:dyDescent="0.25">
      <c r="P152" s="181"/>
      <c r="R152" s="851" t="s">
        <v>178</v>
      </c>
      <c r="S152" s="1834" t="s">
        <v>177</v>
      </c>
      <c r="T152" s="1835"/>
      <c r="U152" s="1836"/>
      <c r="V152" s="931" t="s">
        <v>178</v>
      </c>
      <c r="W152" s="1837" t="s">
        <v>177</v>
      </c>
      <c r="X152" s="1838"/>
      <c r="Y152" s="1839"/>
    </row>
    <row r="153" spans="2:32" s="798" customFormat="1" ht="39.75" customHeight="1" x14ac:dyDescent="0.3">
      <c r="D153" s="1840" t="s">
        <v>87</v>
      </c>
      <c r="E153" s="1708"/>
      <c r="F153" s="1708"/>
      <c r="G153" s="1708"/>
      <c r="H153" s="1708"/>
      <c r="I153" s="1708"/>
      <c r="J153" s="1708"/>
      <c r="K153" s="1708"/>
      <c r="L153" s="1708"/>
      <c r="M153" s="1767" t="s">
        <v>326</v>
      </c>
      <c r="N153" s="1708"/>
      <c r="O153" s="1708"/>
      <c r="P153" s="1841"/>
      <c r="Q153" s="915" t="s">
        <v>176</v>
      </c>
      <c r="R153" s="932" t="s">
        <v>229</v>
      </c>
      <c r="S153" s="932" t="s">
        <v>83</v>
      </c>
      <c r="T153" s="933" t="s">
        <v>89</v>
      </c>
      <c r="U153" s="934" t="s">
        <v>225</v>
      </c>
      <c r="V153" s="854" t="s">
        <v>229</v>
      </c>
      <c r="W153" s="854" t="s">
        <v>83</v>
      </c>
      <c r="X153" s="855" t="s">
        <v>89</v>
      </c>
      <c r="Y153" s="856" t="s">
        <v>225</v>
      </c>
      <c r="Z153" s="806" t="s">
        <v>255</v>
      </c>
      <c r="AA153" s="1847" t="s">
        <v>420</v>
      </c>
      <c r="AB153" s="1847"/>
      <c r="AC153" s="1847"/>
      <c r="AD153" s="1847"/>
      <c r="AE153" s="1847"/>
      <c r="AF153" s="1847"/>
    </row>
    <row r="154" spans="2:32" s="798" customFormat="1" ht="25.95" customHeight="1" x14ac:dyDescent="0.3">
      <c r="D154" s="1707" t="str">
        <f>$D$101</f>
        <v>Power Market Risk</v>
      </c>
      <c r="E154" s="1758"/>
      <c r="F154" s="1758"/>
      <c r="G154" s="1758"/>
      <c r="H154" s="1758"/>
      <c r="I154" s="1758"/>
      <c r="J154" s="1758"/>
      <c r="K154" s="1758"/>
      <c r="L154" s="1758"/>
      <c r="M154" s="1709" t="str">
        <f>$M$101</f>
        <v>Long term targets; regulatory framework; standardised PPA; independent regulator</v>
      </c>
      <c r="N154" s="1709"/>
      <c r="O154" s="1709"/>
      <c r="P154" s="1710"/>
      <c r="Q154" s="992" t="s">
        <v>224</v>
      </c>
      <c r="R154" s="1082">
        <v>776064.38062053395</v>
      </c>
      <c r="S154" s="1082">
        <v>0</v>
      </c>
      <c r="T154" s="993">
        <v>0</v>
      </c>
      <c r="U154" s="1083">
        <f t="shared" ref="U154:U160" si="5">IF(S101="Y", PV($U$18,T154,-S154),0)</f>
        <v>0</v>
      </c>
      <c r="V154" s="1086">
        <v>2210882.3818184948</v>
      </c>
      <c r="W154" s="1086">
        <v>0</v>
      </c>
      <c r="X154" s="991">
        <v>0</v>
      </c>
      <c r="Y154" s="1088">
        <f>IF('III. Inputs, Renewable Energy'!V101="Y", PV('III. Inputs, Renewable Energy'!$U$18,X154,-W154),0)</f>
        <v>0</v>
      </c>
      <c r="AA154" s="1847" t="s">
        <v>421</v>
      </c>
      <c r="AB154" s="1847"/>
      <c r="AC154" s="1847"/>
      <c r="AD154" s="1847"/>
      <c r="AE154" s="1847"/>
      <c r="AF154" s="1847"/>
    </row>
    <row r="155" spans="2:32" s="798" customFormat="1" ht="25.95" customHeight="1" x14ac:dyDescent="0.3">
      <c r="D155" s="1707" t="str">
        <f>$D$102</f>
        <v>Permits Risk</v>
      </c>
      <c r="E155" s="1708"/>
      <c r="F155" s="1708"/>
      <c r="G155" s="1708"/>
      <c r="H155" s="1708"/>
      <c r="I155" s="1708"/>
      <c r="J155" s="1708"/>
      <c r="K155" s="1708"/>
      <c r="L155" s="1708"/>
      <c r="M155" s="1709" t="str">
        <f>$M$102</f>
        <v>Streamlined process for permits; Establish a dedicated one-stop shop for RE permits; contract enforcement and recourse mechanisms</v>
      </c>
      <c r="N155" s="1709"/>
      <c r="O155" s="1709"/>
      <c r="P155" s="1710"/>
      <c r="Q155" s="992" t="s">
        <v>224</v>
      </c>
      <c r="R155" s="1082">
        <v>0</v>
      </c>
      <c r="S155" s="1082">
        <v>0</v>
      </c>
      <c r="T155" s="993">
        <v>0</v>
      </c>
      <c r="U155" s="1083">
        <f t="shared" si="5"/>
        <v>0</v>
      </c>
      <c r="V155" s="1086">
        <v>415920.26083712385</v>
      </c>
      <c r="W155" s="1086">
        <v>0</v>
      </c>
      <c r="X155" s="991">
        <v>0</v>
      </c>
      <c r="Y155" s="1088">
        <f>IF('III. Inputs, Renewable Energy'!V102="Y", PV('III. Inputs, Renewable Energy'!$U$18,X155,-W155),0)</f>
        <v>0</v>
      </c>
      <c r="AA155" s="1847" t="s">
        <v>406</v>
      </c>
      <c r="AB155" s="1847"/>
      <c r="AC155" s="1847"/>
      <c r="AD155" s="1847"/>
      <c r="AE155" s="1847"/>
      <c r="AF155" s="1847"/>
    </row>
    <row r="156" spans="2:32" s="798" customFormat="1" ht="25.95" customHeight="1" x14ac:dyDescent="0.3">
      <c r="D156" s="1707" t="str">
        <f>$D$103</f>
        <v>Social Acceptance Risk</v>
      </c>
      <c r="E156" s="1708"/>
      <c r="F156" s="1708"/>
      <c r="G156" s="1708"/>
      <c r="H156" s="1708"/>
      <c r="I156" s="1708"/>
      <c r="J156" s="1708"/>
      <c r="K156" s="1708"/>
      <c r="L156" s="1708"/>
      <c r="M156" s="1709" t="str">
        <f>$M$103</f>
        <v>Awareness-raising campaigns targeting communities and end-users; pilot models for community involvement at project sites</v>
      </c>
      <c r="N156" s="1709"/>
      <c r="O156" s="1709"/>
      <c r="P156" s="1710"/>
      <c r="Q156" s="992" t="s">
        <v>224</v>
      </c>
      <c r="R156" s="1082">
        <v>0</v>
      </c>
      <c r="S156" s="1082">
        <v>0</v>
      </c>
      <c r="T156" s="993">
        <v>0</v>
      </c>
      <c r="U156" s="1083">
        <f t="shared" si="5"/>
        <v>0</v>
      </c>
      <c r="V156" s="1086">
        <v>512814.19237781159</v>
      </c>
      <c r="W156" s="1086">
        <v>0</v>
      </c>
      <c r="X156" s="991">
        <v>0</v>
      </c>
      <c r="Y156" s="1088">
        <f>IF('III. Inputs, Renewable Energy'!V103="Y", PV('III. Inputs, Renewable Energy'!$U$18,X156,-W156),0)</f>
        <v>0</v>
      </c>
      <c r="AA156" s="1962" t="s">
        <v>407</v>
      </c>
      <c r="AB156" s="1962"/>
      <c r="AC156" s="1962"/>
      <c r="AD156" s="1962"/>
      <c r="AE156" s="1962"/>
      <c r="AF156" s="1962"/>
    </row>
    <row r="157" spans="2:32" s="798" customFormat="1" ht="25.95" customHeight="1" x14ac:dyDescent="0.3">
      <c r="D157" s="1707" t="str">
        <f>$D$104</f>
        <v>Resource &amp; Technology Risk</v>
      </c>
      <c r="E157" s="1708"/>
      <c r="F157" s="1708"/>
      <c r="G157" s="1708"/>
      <c r="H157" s="1708"/>
      <c r="I157" s="1708"/>
      <c r="J157" s="1708"/>
      <c r="K157" s="1708"/>
      <c r="L157" s="1708"/>
      <c r="M157" s="1970" t="str">
        <f>$M$104</f>
        <v>Resource assessment; Technology and O&amp;M assistance</v>
      </c>
      <c r="N157" s="1709"/>
      <c r="O157" s="1709"/>
      <c r="P157" s="1710"/>
      <c r="Q157" s="992" t="s">
        <v>224</v>
      </c>
      <c r="R157" s="1082">
        <v>0</v>
      </c>
      <c r="S157" s="1082">
        <v>0</v>
      </c>
      <c r="T157" s="993">
        <v>0</v>
      </c>
      <c r="U157" s="1083">
        <f t="shared" si="5"/>
        <v>0</v>
      </c>
      <c r="V157" s="1086">
        <v>412157.92203996191</v>
      </c>
      <c r="W157" s="1086">
        <v>0</v>
      </c>
      <c r="X157" s="991">
        <v>0</v>
      </c>
      <c r="Y157" s="1088">
        <f>IF('III. Inputs, Renewable Energy'!V104="Y", PV('III. Inputs, Renewable Energy'!$U$18,X157,-W157),0)</f>
        <v>0</v>
      </c>
    </row>
    <row r="158" spans="2:32" s="798" customFormat="1" ht="25.95" customHeight="1" x14ac:dyDescent="0.3">
      <c r="D158" s="1707" t="str">
        <f>$D$105</f>
        <v>Grid/Transmission Risk</v>
      </c>
      <c r="E158" s="1708"/>
      <c r="F158" s="1708"/>
      <c r="G158" s="1708"/>
      <c r="H158" s="1708"/>
      <c r="I158" s="1708"/>
      <c r="J158" s="1708"/>
      <c r="K158" s="1708"/>
      <c r="L158" s="1708"/>
      <c r="M158" s="1709" t="str">
        <f>$M$105</f>
        <v>Grid code; grid management studies</v>
      </c>
      <c r="N158" s="1709"/>
      <c r="O158" s="1709"/>
      <c r="P158" s="1710"/>
      <c r="Q158" s="992" t="s">
        <v>224</v>
      </c>
      <c r="R158" s="1082">
        <v>0</v>
      </c>
      <c r="S158" s="1082">
        <v>0</v>
      </c>
      <c r="T158" s="993">
        <v>0</v>
      </c>
      <c r="U158" s="1083">
        <f t="shared" si="5"/>
        <v>0</v>
      </c>
      <c r="V158" s="1086">
        <v>419270.04894888593</v>
      </c>
      <c r="W158" s="1086">
        <v>0</v>
      </c>
      <c r="X158" s="991">
        <v>0</v>
      </c>
      <c r="Y158" s="1088">
        <f>IF('III. Inputs, Renewable Energy'!V105="Y", PV('III. Inputs, Renewable Energy'!$U$18,X158,-W158),0)</f>
        <v>0</v>
      </c>
    </row>
    <row r="159" spans="2:32" s="798" customFormat="1" ht="25.95" customHeight="1" x14ac:dyDescent="0.3">
      <c r="D159" s="1707" t="str">
        <f>$D$106</f>
        <v>Counterparty Risk</v>
      </c>
      <c r="E159" s="1708"/>
      <c r="F159" s="1708"/>
      <c r="G159" s="1708"/>
      <c r="H159" s="1708"/>
      <c r="I159" s="1708"/>
      <c r="J159" s="1708"/>
      <c r="K159" s="1708"/>
      <c r="L159" s="1708"/>
      <c r="M159" s="1709" t="str">
        <f>$M$106</f>
        <v>Strengthening utility's management &amp; operational performance for existing operations</v>
      </c>
      <c r="N159" s="1709"/>
      <c r="O159" s="1709"/>
      <c r="P159" s="1710"/>
      <c r="Q159" s="992" t="s">
        <v>224</v>
      </c>
      <c r="R159" s="1082">
        <v>0</v>
      </c>
      <c r="S159" s="1082">
        <v>0</v>
      </c>
      <c r="T159" s="993">
        <v>0</v>
      </c>
      <c r="U159" s="1083">
        <f t="shared" si="5"/>
        <v>0</v>
      </c>
      <c r="V159" s="1086">
        <v>186150.84223674578</v>
      </c>
      <c r="W159" s="1086">
        <v>0</v>
      </c>
      <c r="X159" s="991">
        <v>0</v>
      </c>
      <c r="Y159" s="1088">
        <f>IF('III. Inputs, Renewable Energy'!V106="Y", PV('III. Inputs, Renewable Energy'!$U$18,X159,-W159),0)</f>
        <v>0</v>
      </c>
    </row>
    <row r="160" spans="2:32" s="798" customFormat="1" ht="25.95" customHeight="1" x14ac:dyDescent="0.3">
      <c r="D160" s="1707" t="str">
        <f>$D$107</f>
        <v>Financial Sector Risk</v>
      </c>
      <c r="E160" s="1708"/>
      <c r="F160" s="1708"/>
      <c r="G160" s="1708"/>
      <c r="H160" s="1708"/>
      <c r="I160" s="1708"/>
      <c r="J160" s="1708"/>
      <c r="K160" s="1708"/>
      <c r="L160" s="1708"/>
      <c r="M160" s="1709" t="str">
        <f>$M$107</f>
        <v>Financial sector reform; strengthening investors' familiarity and assessment capacity for renewable energy</v>
      </c>
      <c r="N160" s="1709"/>
      <c r="O160" s="1709"/>
      <c r="P160" s="1710"/>
      <c r="Q160" s="992" t="s">
        <v>224</v>
      </c>
      <c r="R160" s="1082">
        <v>0</v>
      </c>
      <c r="S160" s="1082">
        <v>0</v>
      </c>
      <c r="T160" s="993">
        <v>0</v>
      </c>
      <c r="U160" s="1083">
        <f t="shared" si="5"/>
        <v>0</v>
      </c>
      <c r="V160" s="1086">
        <v>231584.42452103179</v>
      </c>
      <c r="W160" s="1086">
        <v>0</v>
      </c>
      <c r="X160" s="991">
        <v>0</v>
      </c>
      <c r="Y160" s="1088">
        <f>IF('III. Inputs, Renewable Energy'!V107="Y", PV('III. Inputs, Renewable Energy'!$U$18,X160,-W160),0)</f>
        <v>0</v>
      </c>
    </row>
    <row r="161" spans="1:25" ht="27" customHeight="1" x14ac:dyDescent="0.25">
      <c r="D161" s="1854" t="s">
        <v>322</v>
      </c>
      <c r="E161" s="1767"/>
      <c r="F161" s="1767"/>
      <c r="G161" s="1767"/>
      <c r="H161" s="1767"/>
      <c r="I161" s="1767"/>
      <c r="J161" s="1767"/>
      <c r="K161" s="1767"/>
      <c r="L161" s="1767"/>
      <c r="M161" s="841"/>
      <c r="N161" s="841"/>
      <c r="O161" s="841"/>
      <c r="P161" s="927"/>
      <c r="Q161" s="928"/>
      <c r="R161" s="1085">
        <f>SUM(R154:R160)</f>
        <v>776064.38062053395</v>
      </c>
      <c r="S161" s="935"/>
      <c r="T161" s="936"/>
      <c r="U161" s="1084">
        <f>SUM(U154:U160)</f>
        <v>0</v>
      </c>
      <c r="V161" s="1087">
        <f>SUM(V154:V160)</f>
        <v>4388780.0727800559</v>
      </c>
      <c r="W161" s="1087"/>
      <c r="X161" s="937"/>
      <c r="Y161" s="1089">
        <f>SUM(Y154:Y160)</f>
        <v>0</v>
      </c>
    </row>
    <row r="162" spans="1:25" x14ac:dyDescent="0.25"/>
    <row r="163" spans="1:25" x14ac:dyDescent="0.25"/>
    <row r="164" spans="1:25" x14ac:dyDescent="0.25">
      <c r="C164" s="56" t="s">
        <v>468</v>
      </c>
      <c r="R164" s="1686" t="s">
        <v>201</v>
      </c>
      <c r="S164" s="1687"/>
      <c r="T164" s="1687"/>
      <c r="U164" s="1688"/>
      <c r="V164" s="1762" t="s">
        <v>202</v>
      </c>
      <c r="W164" s="1763"/>
      <c r="X164" s="1763"/>
      <c r="Y164" s="1764"/>
    </row>
    <row r="165" spans="1:25" ht="26.4" x14ac:dyDescent="0.25">
      <c r="P165" s="181"/>
      <c r="R165" s="1104" t="s">
        <v>178</v>
      </c>
      <c r="S165" s="1834" t="s">
        <v>177</v>
      </c>
      <c r="T165" s="1835"/>
      <c r="U165" s="1836"/>
      <c r="V165" s="931" t="s">
        <v>178</v>
      </c>
      <c r="W165" s="1837" t="s">
        <v>177</v>
      </c>
      <c r="X165" s="1838"/>
      <c r="Y165" s="1839"/>
    </row>
    <row r="166" spans="1:25" ht="39.6" x14ac:dyDescent="0.25">
      <c r="D166" s="1840" t="s">
        <v>87</v>
      </c>
      <c r="E166" s="1708"/>
      <c r="F166" s="1708"/>
      <c r="G166" s="1708"/>
      <c r="H166" s="1708"/>
      <c r="I166" s="1708"/>
      <c r="J166" s="1708"/>
      <c r="K166" s="1708"/>
      <c r="L166" s="1708"/>
      <c r="M166" s="1767" t="s">
        <v>326</v>
      </c>
      <c r="N166" s="1708"/>
      <c r="O166" s="1708"/>
      <c r="P166" s="1841"/>
      <c r="Q166" s="915" t="s">
        <v>176</v>
      </c>
      <c r="R166" s="932" t="s">
        <v>229</v>
      </c>
      <c r="S166" s="932" t="s">
        <v>83</v>
      </c>
      <c r="T166" s="933" t="s">
        <v>89</v>
      </c>
      <c r="U166" s="934" t="s">
        <v>225</v>
      </c>
      <c r="V166" s="1105" t="s">
        <v>229</v>
      </c>
      <c r="W166" s="1105" t="s">
        <v>83</v>
      </c>
      <c r="X166" s="1106" t="s">
        <v>89</v>
      </c>
      <c r="Y166" s="1107" t="s">
        <v>225</v>
      </c>
    </row>
    <row r="167" spans="1:25" ht="26.7" customHeight="1" x14ac:dyDescent="0.25">
      <c r="D167" s="1707" t="str">
        <f>D113</f>
        <v>Grid/Transmission Risk</v>
      </c>
      <c r="E167" s="1758"/>
      <c r="F167" s="1758"/>
      <c r="G167" s="1758"/>
      <c r="H167" s="1758"/>
      <c r="I167" s="1758"/>
      <c r="J167" s="1758"/>
      <c r="K167" s="1758"/>
      <c r="L167" s="1758"/>
      <c r="M167" s="1709" t="str">
        <f>M140</f>
        <v>Take or Pay Clause in PPA</v>
      </c>
      <c r="N167" s="1709"/>
      <c r="O167" s="1709"/>
      <c r="P167" s="1710"/>
      <c r="Q167" s="992" t="s">
        <v>224</v>
      </c>
      <c r="R167" s="1082">
        <v>0</v>
      </c>
      <c r="S167" s="1082">
        <v>0</v>
      </c>
      <c r="T167" s="993">
        <v>0</v>
      </c>
      <c r="U167" s="1083">
        <f>IF(S114="Y", PV($U$18,T167,-S167),0)</f>
        <v>0</v>
      </c>
      <c r="V167" s="1086">
        <f>'IX. Notes'!I22</f>
        <v>11641969.258038964</v>
      </c>
      <c r="W167" s="1086">
        <v>0</v>
      </c>
      <c r="X167" s="991">
        <v>0</v>
      </c>
      <c r="Y167" s="1088">
        <f>IF('III. Inputs, Renewable Energy'!V114="Y", PV('III. Inputs, Renewable Energy'!$U$18,X167,-W167),0)</f>
        <v>0</v>
      </c>
    </row>
    <row r="168" spans="1:25" ht="26.7" customHeight="1" x14ac:dyDescent="0.25">
      <c r="D168" s="1707" t="str">
        <f>D114</f>
        <v>Counterparty Risk</v>
      </c>
      <c r="E168" s="1758"/>
      <c r="F168" s="1758"/>
      <c r="G168" s="1758"/>
      <c r="H168" s="1758"/>
      <c r="I168" s="1758"/>
      <c r="J168" s="1758"/>
      <c r="K168" s="1758"/>
      <c r="L168" s="1758"/>
      <c r="M168" s="1709" t="str">
        <f>M141</f>
        <v>Government Guarantee for PPA</v>
      </c>
      <c r="N168" s="1709"/>
      <c r="O168" s="1709"/>
      <c r="P168" s="1710"/>
      <c r="Q168" s="992" t="s">
        <v>224</v>
      </c>
      <c r="R168" s="1082">
        <v>0</v>
      </c>
      <c r="S168" s="1082">
        <v>0</v>
      </c>
      <c r="T168" s="993">
        <v>0</v>
      </c>
      <c r="U168" s="1083">
        <f>IF(S115="Y", PV($U$18,T168,-S168),0)</f>
        <v>0</v>
      </c>
      <c r="V168" s="1086">
        <v>0</v>
      </c>
      <c r="W168" s="1086">
        <v>0</v>
      </c>
      <c r="X168" s="991">
        <v>0</v>
      </c>
      <c r="Y168" s="1088">
        <f>IF('III. Inputs, Renewable Energy'!V115="Y", PV('III. Inputs, Renewable Energy'!$U$18,X168,-W168),0)</f>
        <v>0</v>
      </c>
    </row>
    <row r="169" spans="1:25" ht="25.95" customHeight="1" x14ac:dyDescent="0.25">
      <c r="D169" s="1707" t="str">
        <f>D120</f>
        <v>Currency/Macro Risk</v>
      </c>
      <c r="E169" s="1708"/>
      <c r="F169" s="1708"/>
      <c r="G169" s="1708"/>
      <c r="H169" s="1708"/>
      <c r="I169" s="1708"/>
      <c r="J169" s="1708"/>
      <c r="K169" s="1708"/>
      <c r="L169" s="1708"/>
      <c r="M169" s="1709" t="str">
        <f>M145</f>
        <v>Partial Indexing</v>
      </c>
      <c r="N169" s="1709"/>
      <c r="O169" s="1709"/>
      <c r="P169" s="1710"/>
      <c r="Q169" s="992" t="s">
        <v>224</v>
      </c>
      <c r="R169" s="1082">
        <v>0</v>
      </c>
      <c r="S169" s="1082">
        <v>0</v>
      </c>
      <c r="T169" s="993">
        <v>0</v>
      </c>
      <c r="U169" s="1083">
        <f>IF(S116="Y", PV($U$18,T169,-S169),0)</f>
        <v>0</v>
      </c>
      <c r="V169" s="1086">
        <f>-'IX. Notes'!I46</f>
        <v>32154938.700440891</v>
      </c>
      <c r="W169" s="1086">
        <v>0</v>
      </c>
      <c r="X169" s="991">
        <v>0</v>
      </c>
      <c r="Y169" s="1088">
        <f>IF('III. Inputs, Renewable Energy'!V116="Y", PV('III. Inputs, Renewable Energy'!$U$18,X169,-W169),0)</f>
        <v>0</v>
      </c>
    </row>
    <row r="170" spans="1:25" x14ac:dyDescent="0.25"/>
    <row r="171" spans="1:25" x14ac:dyDescent="0.25"/>
    <row r="172" spans="1:25" x14ac:dyDescent="0.25">
      <c r="C172" s="56" t="s">
        <v>466</v>
      </c>
      <c r="D172" s="56"/>
      <c r="S172" s="846"/>
    </row>
    <row r="173" spans="1:25" x14ac:dyDescent="0.25"/>
    <row r="174" spans="1:25" ht="12.75" customHeight="1" x14ac:dyDescent="0.25">
      <c r="D174" s="876" t="s">
        <v>87</v>
      </c>
      <c r="E174" s="877"/>
      <c r="F174" s="877"/>
      <c r="G174" s="877"/>
      <c r="H174" s="877"/>
      <c r="I174" s="877"/>
      <c r="J174" s="877"/>
      <c r="K174" s="877"/>
      <c r="L174" s="877"/>
      <c r="M174" s="1767" t="s">
        <v>326</v>
      </c>
      <c r="N174" s="1767"/>
      <c r="O174" s="1767"/>
      <c r="P174" s="1767"/>
      <c r="Q174" s="877"/>
      <c r="R174" s="878"/>
      <c r="S174" s="1730" t="s">
        <v>201</v>
      </c>
      <c r="T174" s="1731"/>
      <c r="U174" s="1732"/>
      <c r="V174" s="1739" t="s">
        <v>202</v>
      </c>
      <c r="W174" s="1740"/>
      <c r="X174" s="1741"/>
    </row>
    <row r="175" spans="1:25" ht="12.75" customHeight="1" x14ac:dyDescent="0.25">
      <c r="D175" s="1748" t="str">
        <f>$D$115</f>
        <v>Financial Sector Risk</v>
      </c>
      <c r="E175" s="1942"/>
      <c r="F175" s="1942"/>
      <c r="G175" s="1942"/>
      <c r="H175" s="1942"/>
      <c r="I175" s="1942"/>
      <c r="J175" s="1942"/>
      <c r="K175" s="1942"/>
      <c r="L175" s="1942"/>
      <c r="M175" s="939" t="str">
        <f>$M$115</f>
        <v>Public Loans</v>
      </c>
      <c r="N175" s="938"/>
      <c r="O175" s="938"/>
      <c r="P175" s="940"/>
      <c r="Q175" s="941"/>
      <c r="R175" s="941"/>
      <c r="S175" s="1711"/>
      <c r="T175" s="1712"/>
      <c r="U175" s="1713"/>
      <c r="V175" s="1825"/>
      <c r="W175" s="1826"/>
      <c r="X175" s="1827"/>
    </row>
    <row r="176" spans="1:25" ht="12.75" customHeight="1" x14ac:dyDescent="0.25">
      <c r="A176" s="91"/>
      <c r="B176" s="91"/>
      <c r="C176" s="91"/>
      <c r="D176" s="1943"/>
      <c r="E176" s="1944"/>
      <c r="F176" s="1944"/>
      <c r="G176" s="1944"/>
      <c r="H176" s="1944"/>
      <c r="I176" s="1944"/>
      <c r="J176" s="1944"/>
      <c r="K176" s="1944"/>
      <c r="L176" s="1944"/>
      <c r="M176" s="942"/>
      <c r="N176" s="942" t="s">
        <v>371</v>
      </c>
      <c r="O176" s="942"/>
      <c r="P176" s="181"/>
      <c r="Q176" s="793" t="s">
        <v>16</v>
      </c>
      <c r="R176" s="942"/>
      <c r="S176" s="1714">
        <v>0</v>
      </c>
      <c r="T176" s="1715"/>
      <c r="U176" s="1716"/>
      <c r="V176" s="1983">
        <f>'III. Inputs, Renewable Energy'!V37</f>
        <v>0.04</v>
      </c>
      <c r="W176" s="1984"/>
      <c r="X176" s="1985"/>
    </row>
    <row r="177" spans="1:27" ht="12.75" customHeight="1" x14ac:dyDescent="0.25">
      <c r="A177" s="91"/>
      <c r="B177" s="91"/>
      <c r="C177" s="91"/>
      <c r="D177" s="1943"/>
      <c r="E177" s="1944"/>
      <c r="F177" s="1944"/>
      <c r="G177" s="1944"/>
      <c r="H177" s="1944"/>
      <c r="I177" s="1944"/>
      <c r="J177" s="1944"/>
      <c r="K177" s="1944"/>
      <c r="L177" s="1944"/>
      <c r="M177" s="942"/>
      <c r="N177" s="942" t="s">
        <v>29</v>
      </c>
      <c r="O177" s="942"/>
      <c r="P177" s="181"/>
      <c r="Q177" s="793" t="s">
        <v>20</v>
      </c>
      <c r="R177" s="942"/>
      <c r="S177" s="1717">
        <v>0</v>
      </c>
      <c r="T177" s="1718"/>
      <c r="U177" s="1719"/>
      <c r="V177" s="1986">
        <v>20</v>
      </c>
      <c r="W177" s="1987"/>
      <c r="X177" s="1988"/>
      <c r="Z177" s="808" t="s">
        <v>255</v>
      </c>
      <c r="AA177" s="57" t="s">
        <v>432</v>
      </c>
    </row>
    <row r="178" spans="1:27" ht="12.75" customHeight="1" x14ac:dyDescent="0.25">
      <c r="A178" s="91"/>
      <c r="B178" s="91"/>
      <c r="C178" s="91"/>
      <c r="D178" s="1945"/>
      <c r="E178" s="1946"/>
      <c r="F178" s="1946"/>
      <c r="G178" s="1946"/>
      <c r="H178" s="1946"/>
      <c r="I178" s="1946"/>
      <c r="J178" s="1946"/>
      <c r="K178" s="1946"/>
      <c r="L178" s="1946"/>
      <c r="M178" s="943"/>
      <c r="N178" s="943" t="s">
        <v>370</v>
      </c>
      <c r="O178" s="943"/>
      <c r="P178" s="944"/>
      <c r="Q178" s="945" t="s">
        <v>30</v>
      </c>
      <c r="R178" s="943"/>
      <c r="S178" s="1884">
        <v>0</v>
      </c>
      <c r="T178" s="1885"/>
      <c r="U178" s="1886"/>
      <c r="V178" s="1822">
        <v>0</v>
      </c>
      <c r="W178" s="1823"/>
      <c r="X178" s="1824"/>
    </row>
    <row r="179" spans="1:27" ht="12.75" customHeight="1" x14ac:dyDescent="0.25">
      <c r="D179" s="1748" t="str">
        <f>$D$117</f>
        <v>Financial Sector Risk</v>
      </c>
      <c r="E179" s="1749"/>
      <c r="F179" s="1749"/>
      <c r="G179" s="1749"/>
      <c r="H179" s="1749"/>
      <c r="I179" s="1749"/>
      <c r="J179" s="1749"/>
      <c r="K179" s="1749"/>
      <c r="L179" s="1749"/>
      <c r="M179" s="939" t="str">
        <f>$M$117</f>
        <v>Public Guarantees to Commercial Loans</v>
      </c>
      <c r="N179" s="938"/>
      <c r="O179" s="938"/>
      <c r="P179" s="940"/>
      <c r="Q179" s="946"/>
      <c r="R179" s="946"/>
      <c r="S179" s="1813"/>
      <c r="T179" s="1814"/>
      <c r="U179" s="1815"/>
      <c r="V179" s="1819"/>
      <c r="W179" s="1820"/>
      <c r="X179" s="1821"/>
    </row>
    <row r="180" spans="1:27" ht="12.75" customHeight="1" x14ac:dyDescent="0.25">
      <c r="A180" s="91"/>
      <c r="B180" s="91"/>
      <c r="C180" s="91"/>
      <c r="D180" s="1771"/>
      <c r="E180" s="1772"/>
      <c r="F180" s="1772"/>
      <c r="G180" s="1772"/>
      <c r="H180" s="1772"/>
      <c r="I180" s="1772"/>
      <c r="J180" s="1772"/>
      <c r="K180" s="1772"/>
      <c r="L180" s="1772"/>
      <c r="M180" s="146"/>
      <c r="N180" s="146" t="s">
        <v>408</v>
      </c>
      <c r="O180" s="146"/>
      <c r="P180" s="182"/>
      <c r="Q180" s="765" t="s">
        <v>16</v>
      </c>
      <c r="R180" s="146"/>
      <c r="S180" s="1858">
        <v>0</v>
      </c>
      <c r="T180" s="1859"/>
      <c r="U180" s="1860"/>
      <c r="V180" s="1816" t="str">
        <f>'III. Inputs, Renewable Energy'!V38</f>
        <v>NA</v>
      </c>
      <c r="W180" s="1817"/>
      <c r="X180" s="1818"/>
    </row>
    <row r="181" spans="1:27" ht="12.75" customHeight="1" x14ac:dyDescent="0.25">
      <c r="A181" s="91"/>
      <c r="B181" s="91"/>
      <c r="C181" s="91"/>
      <c r="D181" s="1771"/>
      <c r="E181" s="1772"/>
      <c r="F181" s="1772"/>
      <c r="G181" s="1772"/>
      <c r="H181" s="1772"/>
      <c r="I181" s="1772"/>
      <c r="J181" s="1772"/>
      <c r="K181" s="1772"/>
      <c r="L181" s="1772"/>
      <c r="M181" s="146"/>
      <c r="N181" s="146" t="s">
        <v>29</v>
      </c>
      <c r="O181" s="146"/>
      <c r="P181" s="182"/>
      <c r="Q181" s="765" t="s">
        <v>20</v>
      </c>
      <c r="R181" s="146"/>
      <c r="S181" s="1887">
        <v>0</v>
      </c>
      <c r="T181" s="1888"/>
      <c r="U181" s="1889"/>
      <c r="V181" s="1921">
        <v>0</v>
      </c>
      <c r="W181" s="1922"/>
      <c r="X181" s="1923"/>
      <c r="Z181" s="808" t="s">
        <v>255</v>
      </c>
      <c r="AA181" s="57" t="s">
        <v>432</v>
      </c>
    </row>
    <row r="182" spans="1:27" ht="12.75" customHeight="1" x14ac:dyDescent="0.25">
      <c r="A182" s="91"/>
      <c r="B182" s="91"/>
      <c r="C182" s="91"/>
      <c r="D182" s="1771"/>
      <c r="E182" s="1772"/>
      <c r="F182" s="1772"/>
      <c r="G182" s="1772"/>
      <c r="H182" s="1772"/>
      <c r="I182" s="1772"/>
      <c r="J182" s="1772"/>
      <c r="K182" s="1772"/>
      <c r="L182" s="1772"/>
      <c r="M182" s="146"/>
      <c r="N182" s="947" t="s">
        <v>409</v>
      </c>
      <c r="O182" s="146"/>
      <c r="P182" s="182"/>
      <c r="Q182" s="765" t="s">
        <v>30</v>
      </c>
      <c r="R182" s="146"/>
      <c r="S182" s="1887">
        <v>0</v>
      </c>
      <c r="T182" s="1888"/>
      <c r="U182" s="1889"/>
      <c r="V182" s="1921">
        <v>0</v>
      </c>
      <c r="W182" s="1922"/>
      <c r="X182" s="1923"/>
    </row>
    <row r="183" spans="1:27" ht="12.75" customHeight="1" x14ac:dyDescent="0.25">
      <c r="D183" s="1771"/>
      <c r="E183" s="1772"/>
      <c r="F183" s="1772"/>
      <c r="G183" s="1772"/>
      <c r="H183" s="1772"/>
      <c r="I183" s="1772"/>
      <c r="J183" s="1772"/>
      <c r="K183" s="1772"/>
      <c r="L183" s="1772"/>
      <c r="M183" s="182"/>
      <c r="N183" s="182" t="s">
        <v>410</v>
      </c>
      <c r="O183" s="182"/>
      <c r="P183" s="182"/>
      <c r="Q183" s="765" t="s">
        <v>16</v>
      </c>
      <c r="R183" s="146"/>
      <c r="S183" s="1858">
        <v>0</v>
      </c>
      <c r="T183" s="1859"/>
      <c r="U183" s="1860"/>
      <c r="V183" s="1977">
        <v>0</v>
      </c>
      <c r="W183" s="1978"/>
      <c r="X183" s="1979"/>
    </row>
    <row r="184" spans="1:27" ht="12.75" customHeight="1" x14ac:dyDescent="0.25">
      <c r="D184" s="1771"/>
      <c r="E184" s="1772"/>
      <c r="F184" s="1772"/>
      <c r="G184" s="1772"/>
      <c r="H184" s="1772"/>
      <c r="I184" s="1772"/>
      <c r="J184" s="1772"/>
      <c r="K184" s="1772"/>
      <c r="L184" s="1772"/>
      <c r="M184" s="182"/>
      <c r="N184" s="182"/>
      <c r="O184" s="947" t="s">
        <v>411</v>
      </c>
      <c r="P184" s="182"/>
      <c r="Q184" s="765" t="s">
        <v>20</v>
      </c>
      <c r="R184" s="146"/>
      <c r="S184" s="1828">
        <f>S181</f>
        <v>0</v>
      </c>
      <c r="T184" s="1829"/>
      <c r="U184" s="1830"/>
      <c r="V184" s="1980">
        <f>'III. Inputs, Renewable Energy'!V181</f>
        <v>0</v>
      </c>
      <c r="W184" s="1981"/>
      <c r="X184" s="1982"/>
      <c r="Z184" s="808" t="s">
        <v>255</v>
      </c>
      <c r="AA184" s="57" t="s">
        <v>353</v>
      </c>
    </row>
    <row r="185" spans="1:27" ht="12.75" customHeight="1" x14ac:dyDescent="0.25">
      <c r="D185" s="1771"/>
      <c r="E185" s="1772"/>
      <c r="F185" s="1772"/>
      <c r="G185" s="1772"/>
      <c r="H185" s="1772"/>
      <c r="I185" s="1772"/>
      <c r="J185" s="1772"/>
      <c r="K185" s="1772"/>
      <c r="L185" s="1772"/>
      <c r="M185" s="182"/>
      <c r="N185" s="182"/>
      <c r="O185" s="947" t="s">
        <v>377</v>
      </c>
      <c r="P185" s="182"/>
      <c r="Q185" s="765" t="s">
        <v>30</v>
      </c>
      <c r="R185" s="146"/>
      <c r="S185" s="1887">
        <v>0</v>
      </c>
      <c r="T185" s="1888"/>
      <c r="U185" s="1889"/>
      <c r="V185" s="1921">
        <v>0</v>
      </c>
      <c r="W185" s="1922"/>
      <c r="X185" s="1923"/>
      <c r="AA185" s="57" t="s">
        <v>354</v>
      </c>
    </row>
    <row r="186" spans="1:27" ht="12.75" customHeight="1" x14ac:dyDescent="0.25">
      <c r="D186" s="1750"/>
      <c r="E186" s="1751"/>
      <c r="F186" s="1751"/>
      <c r="G186" s="1751"/>
      <c r="H186" s="1751"/>
      <c r="I186" s="1751"/>
      <c r="J186" s="1751"/>
      <c r="K186" s="1751"/>
      <c r="L186" s="1751"/>
      <c r="M186" s="866"/>
      <c r="N186" s="866"/>
      <c r="O186" s="950" t="s">
        <v>412</v>
      </c>
      <c r="P186" s="866"/>
      <c r="Q186" s="951" t="s">
        <v>30</v>
      </c>
      <c r="R186" s="952"/>
      <c r="S186" s="1890">
        <v>0</v>
      </c>
      <c r="T186" s="1891"/>
      <c r="U186" s="1892"/>
      <c r="V186" s="1918">
        <v>0</v>
      </c>
      <c r="W186" s="1919"/>
      <c r="X186" s="1920"/>
    </row>
    <row r="187" spans="1:27" ht="12.75" customHeight="1" x14ac:dyDescent="0.25">
      <c r="D187" s="1748" t="str">
        <f>$D$119</f>
        <v>Political Risk</v>
      </c>
      <c r="E187" s="1749"/>
      <c r="F187" s="1749"/>
      <c r="G187" s="1749"/>
      <c r="H187" s="1749"/>
      <c r="I187" s="1749"/>
      <c r="J187" s="1749"/>
      <c r="K187" s="1749"/>
      <c r="L187" s="1749"/>
      <c r="M187" s="939" t="str">
        <f>$M$119</f>
        <v>Political Risk Insurance for Equity Investment</v>
      </c>
      <c r="N187" s="938"/>
      <c r="O187" s="938"/>
      <c r="P187" s="940"/>
      <c r="Q187" s="946"/>
      <c r="R187" s="946"/>
      <c r="S187" s="1813"/>
      <c r="T187" s="1814"/>
      <c r="U187" s="1815"/>
      <c r="V187" s="1819"/>
      <c r="W187" s="1820"/>
      <c r="X187" s="1821"/>
    </row>
    <row r="188" spans="1:27" ht="12.75" customHeight="1" x14ac:dyDescent="0.25">
      <c r="D188" s="1771"/>
      <c r="E188" s="1772"/>
      <c r="F188" s="1772"/>
      <c r="G188" s="1772"/>
      <c r="H188" s="1772"/>
      <c r="I188" s="1772"/>
      <c r="J188" s="1772"/>
      <c r="K188" s="1772"/>
      <c r="L188" s="1772"/>
      <c r="M188" s="181"/>
      <c r="N188" s="182" t="s">
        <v>379</v>
      </c>
      <c r="O188" s="181"/>
      <c r="P188" s="953"/>
      <c r="Q188" s="146"/>
      <c r="R188" s="146"/>
      <c r="S188" s="1798">
        <v>0</v>
      </c>
      <c r="T188" s="1799"/>
      <c r="U188" s="1800"/>
      <c r="V188" s="1795">
        <v>0</v>
      </c>
      <c r="W188" s="1796"/>
      <c r="X188" s="1797"/>
    </row>
    <row r="189" spans="1:27" ht="12.75" customHeight="1" x14ac:dyDescent="0.25">
      <c r="D189" s="1771"/>
      <c r="E189" s="1772"/>
      <c r="F189" s="1772"/>
      <c r="G189" s="1772"/>
      <c r="H189" s="1772"/>
      <c r="I189" s="1772"/>
      <c r="J189" s="1772"/>
      <c r="K189" s="1772"/>
      <c r="L189" s="1772"/>
      <c r="M189" s="182"/>
      <c r="N189" s="947" t="s">
        <v>210</v>
      </c>
      <c r="O189" s="182"/>
      <c r="P189" s="182"/>
      <c r="Q189" s="765" t="s">
        <v>20</v>
      </c>
      <c r="R189" s="146"/>
      <c r="S189" s="1783">
        <v>0</v>
      </c>
      <c r="T189" s="1784"/>
      <c r="U189" s="1785"/>
      <c r="V189" s="1780">
        <v>0</v>
      </c>
      <c r="W189" s="1781"/>
      <c r="X189" s="1782"/>
    </row>
    <row r="190" spans="1:27" ht="12.75" customHeight="1" x14ac:dyDescent="0.25">
      <c r="D190" s="1771"/>
      <c r="E190" s="1772"/>
      <c r="F190" s="1772"/>
      <c r="G190" s="1772"/>
      <c r="H190" s="1772"/>
      <c r="I190" s="1772"/>
      <c r="J190" s="1772"/>
      <c r="K190" s="1772"/>
      <c r="L190" s="1772"/>
      <c r="M190" s="182"/>
      <c r="N190" s="947" t="s">
        <v>211</v>
      </c>
      <c r="O190" s="182"/>
      <c r="P190" s="182"/>
      <c r="Q190" s="765" t="s">
        <v>30</v>
      </c>
      <c r="R190" s="146"/>
      <c r="S190" s="1783">
        <v>0</v>
      </c>
      <c r="T190" s="1784"/>
      <c r="U190" s="1785"/>
      <c r="V190" s="1780">
        <v>0</v>
      </c>
      <c r="W190" s="1781"/>
      <c r="X190" s="1782"/>
    </row>
    <row r="191" spans="1:27" ht="12.75" customHeight="1" x14ac:dyDescent="0.25">
      <c r="D191" s="1750"/>
      <c r="E191" s="1751"/>
      <c r="F191" s="1751"/>
      <c r="G191" s="1751"/>
      <c r="H191" s="1751"/>
      <c r="I191" s="1751"/>
      <c r="J191" s="1751"/>
      <c r="K191" s="1751"/>
      <c r="L191" s="1751"/>
      <c r="M191" s="866"/>
      <c r="N191" s="950" t="s">
        <v>212</v>
      </c>
      <c r="O191" s="866"/>
      <c r="P191" s="866"/>
      <c r="Q191" s="951" t="s">
        <v>30</v>
      </c>
      <c r="R191" s="952"/>
      <c r="S191" s="1893">
        <v>0</v>
      </c>
      <c r="T191" s="1894"/>
      <c r="U191" s="1895"/>
      <c r="V191" s="1777">
        <v>0</v>
      </c>
      <c r="W191" s="1778"/>
      <c r="X191" s="1779"/>
    </row>
    <row r="192" spans="1:27" x14ac:dyDescent="0.25">
      <c r="P192" s="146"/>
      <c r="Q192" s="146"/>
      <c r="R192" s="146"/>
      <c r="S192" s="182"/>
      <c r="T192" s="146"/>
    </row>
    <row r="193" spans="1:27" x14ac:dyDescent="0.25">
      <c r="P193" s="146"/>
      <c r="Q193" s="146"/>
      <c r="R193" s="146"/>
      <c r="S193" s="182"/>
      <c r="T193" s="146"/>
    </row>
    <row r="194" spans="1:27" ht="15" customHeight="1" x14ac:dyDescent="0.25">
      <c r="A194" s="91"/>
      <c r="C194" s="56" t="s">
        <v>467</v>
      </c>
      <c r="D194" s="56"/>
    </row>
    <row r="195" spans="1:27" x14ac:dyDescent="0.25">
      <c r="P195" s="125"/>
      <c r="S195" s="182"/>
    </row>
    <row r="196" spans="1:27" x14ac:dyDescent="0.25">
      <c r="D196" s="876" t="s">
        <v>87</v>
      </c>
      <c r="E196" s="877"/>
      <c r="F196" s="877"/>
      <c r="G196" s="877"/>
      <c r="H196" s="877"/>
      <c r="I196" s="877"/>
      <c r="J196" s="877"/>
      <c r="K196" s="877"/>
      <c r="L196" s="877"/>
      <c r="M196" s="1767" t="s">
        <v>349</v>
      </c>
      <c r="N196" s="1767"/>
      <c r="O196" s="1767"/>
      <c r="P196" s="1767"/>
      <c r="Q196" s="877"/>
      <c r="R196" s="877"/>
      <c r="S196" s="81"/>
      <c r="T196" s="902"/>
      <c r="U196" s="1693" t="s">
        <v>483</v>
      </c>
      <c r="V196" s="1694"/>
    </row>
    <row r="197" spans="1:27" x14ac:dyDescent="0.25">
      <c r="D197" s="1748" t="str">
        <f>$D$115</f>
        <v>Financial Sector Risk</v>
      </c>
      <c r="E197" s="1749"/>
      <c r="F197" s="1749"/>
      <c r="G197" s="1749"/>
      <c r="H197" s="1749"/>
      <c r="I197" s="1749"/>
      <c r="J197" s="1749"/>
      <c r="K197" s="1749"/>
      <c r="L197" s="1749"/>
      <c r="M197" s="182" t="s">
        <v>218</v>
      </c>
      <c r="N197" s="910"/>
      <c r="O197" s="910"/>
      <c r="P197" s="954"/>
      <c r="Q197" s="910"/>
      <c r="R197" s="910"/>
      <c r="S197" s="910"/>
      <c r="T197" s="910"/>
      <c r="U197" s="955"/>
      <c r="V197" s="956"/>
    </row>
    <row r="198" spans="1:27" x14ac:dyDescent="0.25">
      <c r="D198" s="1750"/>
      <c r="E198" s="1751"/>
      <c r="F198" s="1751"/>
      <c r="G198" s="1751"/>
      <c r="H198" s="1751"/>
      <c r="I198" s="1751"/>
      <c r="J198" s="1751"/>
      <c r="K198" s="1751"/>
      <c r="L198" s="1751"/>
      <c r="N198" s="182"/>
      <c r="O198" s="182" t="s">
        <v>414</v>
      </c>
      <c r="P198" s="182"/>
      <c r="Q198" s="763" t="s">
        <v>16</v>
      </c>
      <c r="R198" s="182"/>
      <c r="S198" s="182"/>
      <c r="T198" s="182"/>
      <c r="U198" s="1775">
        <v>1</v>
      </c>
      <c r="V198" s="1776"/>
    </row>
    <row r="199" spans="1:27" ht="15" customHeight="1" x14ac:dyDescent="0.25">
      <c r="D199" s="1748" t="str">
        <f>$D$115</f>
        <v>Financial Sector Risk</v>
      </c>
      <c r="E199" s="1749"/>
      <c r="F199" s="1749"/>
      <c r="G199" s="1749"/>
      <c r="H199" s="1749"/>
      <c r="I199" s="1749"/>
      <c r="J199" s="1749"/>
      <c r="K199" s="1749"/>
      <c r="L199" s="1749"/>
      <c r="M199" s="910" t="s">
        <v>188</v>
      </c>
      <c r="N199" s="910"/>
      <c r="O199" s="910"/>
      <c r="P199" s="910"/>
      <c r="Q199" s="910"/>
      <c r="R199" s="910"/>
      <c r="S199" s="910"/>
      <c r="T199" s="957"/>
      <c r="V199" s="958"/>
    </row>
    <row r="200" spans="1:27" ht="15" customHeight="1" x14ac:dyDescent="0.25">
      <c r="D200" s="1750"/>
      <c r="E200" s="1751"/>
      <c r="F200" s="1751"/>
      <c r="G200" s="1751"/>
      <c r="H200" s="1751"/>
      <c r="I200" s="1751"/>
      <c r="J200" s="1751"/>
      <c r="K200" s="1751"/>
      <c r="L200" s="1751"/>
      <c r="M200" s="866"/>
      <c r="N200" s="866"/>
      <c r="O200" s="866" t="s">
        <v>415</v>
      </c>
      <c r="P200" s="866"/>
      <c r="Q200" s="959" t="s">
        <v>16</v>
      </c>
      <c r="R200" s="866"/>
      <c r="S200" s="866"/>
      <c r="T200" s="960"/>
      <c r="U200" s="1775">
        <v>0.5</v>
      </c>
      <c r="V200" s="1776"/>
    </row>
    <row r="201" spans="1:27" ht="15" customHeight="1" x14ac:dyDescent="0.25">
      <c r="D201" s="1748" t="str">
        <f>$D$119</f>
        <v>Political Risk</v>
      </c>
      <c r="E201" s="1749"/>
      <c r="F201" s="1749"/>
      <c r="G201" s="1749"/>
      <c r="H201" s="1749"/>
      <c r="I201" s="1749"/>
      <c r="J201" s="1749"/>
      <c r="K201" s="1749"/>
      <c r="L201" s="1749"/>
      <c r="M201" s="910" t="s">
        <v>413</v>
      </c>
      <c r="N201" s="910"/>
      <c r="O201" s="910"/>
      <c r="P201" s="910"/>
      <c r="Q201" s="961"/>
      <c r="R201" s="910"/>
      <c r="S201" s="910"/>
      <c r="T201" s="957"/>
      <c r="U201" s="962"/>
      <c r="V201" s="963"/>
    </row>
    <row r="202" spans="1:27" ht="15" customHeight="1" x14ac:dyDescent="0.25">
      <c r="D202" s="1750"/>
      <c r="E202" s="1751"/>
      <c r="F202" s="1751"/>
      <c r="G202" s="1751"/>
      <c r="H202" s="1751"/>
      <c r="I202" s="1751"/>
      <c r="J202" s="1751"/>
      <c r="K202" s="1751"/>
      <c r="L202" s="1751"/>
      <c r="M202" s="866"/>
      <c r="N202" s="866"/>
      <c r="O202" s="866" t="s">
        <v>416</v>
      </c>
      <c r="P202" s="866"/>
      <c r="Q202" s="959" t="s">
        <v>16</v>
      </c>
      <c r="R202" s="866"/>
      <c r="S202" s="866"/>
      <c r="T202" s="960"/>
      <c r="U202" s="1775">
        <v>0.1</v>
      </c>
      <c r="V202" s="1776"/>
    </row>
    <row r="203" spans="1:27" x14ac:dyDescent="0.25">
      <c r="Q203" s="68"/>
      <c r="T203" s="68"/>
      <c r="U203" s="81"/>
      <c r="V203" s="81"/>
    </row>
    <row r="204" spans="1:27" x14ac:dyDescent="0.25">
      <c r="D204" s="964" t="s">
        <v>417</v>
      </c>
      <c r="E204" s="910"/>
      <c r="F204" s="910"/>
      <c r="G204" s="910"/>
      <c r="H204" s="910"/>
      <c r="I204" s="910"/>
      <c r="J204" s="910"/>
      <c r="K204" s="910"/>
      <c r="L204" s="910"/>
      <c r="M204" s="910"/>
      <c r="N204" s="910"/>
      <c r="O204" s="910"/>
      <c r="P204" s="910"/>
      <c r="Q204" s="961"/>
      <c r="R204" s="910"/>
      <c r="S204" s="910"/>
      <c r="T204" s="961"/>
      <c r="U204" s="964"/>
      <c r="V204" s="958"/>
      <c r="Z204" s="808" t="s">
        <v>256</v>
      </c>
      <c r="AA204" s="966" t="s">
        <v>532</v>
      </c>
    </row>
    <row r="205" spans="1:27" ht="15" customHeight="1" x14ac:dyDescent="0.25">
      <c r="D205" s="948"/>
      <c r="E205" s="182" t="s">
        <v>418</v>
      </c>
      <c r="F205" s="182"/>
      <c r="G205" s="182"/>
      <c r="H205" s="182"/>
      <c r="I205" s="182"/>
      <c r="J205" s="182"/>
      <c r="K205" s="182"/>
      <c r="L205" s="182"/>
      <c r="M205" s="182"/>
      <c r="N205" s="182"/>
      <c r="O205" s="182"/>
      <c r="P205" s="182"/>
      <c r="Q205" s="182"/>
      <c r="R205" s="182"/>
      <c r="S205" s="182"/>
      <c r="T205" s="965"/>
      <c r="U205" s="1876" t="s">
        <v>183</v>
      </c>
      <c r="V205" s="1877"/>
      <c r="AA205" s="57" t="s">
        <v>533</v>
      </c>
    </row>
    <row r="206" spans="1:27" ht="15" customHeight="1" x14ac:dyDescent="0.25">
      <c r="D206" s="949"/>
      <c r="E206" s="866" t="s">
        <v>419</v>
      </c>
      <c r="F206" s="866"/>
      <c r="G206" s="866"/>
      <c r="H206" s="866"/>
      <c r="I206" s="866"/>
      <c r="J206" s="866"/>
      <c r="K206" s="866"/>
      <c r="L206" s="866"/>
      <c r="M206" s="866"/>
      <c r="N206" s="866"/>
      <c r="O206" s="866"/>
      <c r="P206" s="866"/>
      <c r="Q206" s="959" t="s">
        <v>246</v>
      </c>
      <c r="R206" s="866"/>
      <c r="S206" s="866"/>
      <c r="T206" s="967"/>
      <c r="U206" s="1752">
        <v>3.5</v>
      </c>
      <c r="V206" s="1753"/>
      <c r="Z206" s="808" t="s">
        <v>256</v>
      </c>
      <c r="AA206" s="966" t="s">
        <v>186</v>
      </c>
    </row>
    <row r="207" spans="1:27" x14ac:dyDescent="0.25">
      <c r="T207" s="968"/>
    </row>
    <row r="208" spans="1:27" x14ac:dyDescent="0.25">
      <c r="Q208" s="68"/>
      <c r="S208" s="969"/>
    </row>
    <row r="209" spans="1:27" s="146" customFormat="1" ht="12.75" customHeight="1" x14ac:dyDescent="0.25">
      <c r="A209" s="791" t="s">
        <v>221</v>
      </c>
      <c r="B209" s="791"/>
      <c r="C209" s="791"/>
      <c r="D209" s="791"/>
      <c r="E209" s="791"/>
      <c r="F209" s="791"/>
      <c r="G209" s="791"/>
      <c r="H209" s="791"/>
      <c r="I209" s="791"/>
      <c r="J209" s="791"/>
      <c r="K209" s="791"/>
      <c r="L209" s="791"/>
      <c r="M209" s="794"/>
      <c r="N209" s="792"/>
      <c r="O209" s="792"/>
      <c r="P209" s="792"/>
      <c r="Q209" s="792"/>
      <c r="R209" s="792"/>
      <c r="S209" s="792"/>
      <c r="T209" s="792"/>
      <c r="U209" s="792"/>
      <c r="V209" s="792"/>
      <c r="W209" s="792"/>
      <c r="X209" s="792"/>
      <c r="Y209" s="792"/>
      <c r="Z209" s="792"/>
    </row>
    <row r="210" spans="1:27" ht="12.75" customHeight="1" x14ac:dyDescent="0.25"/>
    <row r="211" spans="1:27" ht="12.75" customHeight="1" x14ac:dyDescent="0.25">
      <c r="B211" s="55" t="s">
        <v>469</v>
      </c>
      <c r="C211" s="55"/>
      <c r="D211" s="81"/>
      <c r="E211" s="81"/>
      <c r="F211" s="81"/>
      <c r="G211" s="81"/>
      <c r="H211" s="81"/>
      <c r="I211" s="81"/>
      <c r="J211" s="81"/>
      <c r="K211" s="81"/>
      <c r="L211" s="81"/>
      <c r="M211" s="55"/>
      <c r="N211" s="55"/>
      <c r="O211" s="55"/>
      <c r="P211" s="797"/>
      <c r="Q211" s="797"/>
      <c r="R211" s="797"/>
      <c r="S211" s="797"/>
      <c r="T211" s="797"/>
      <c r="U211" s="797"/>
      <c r="V211" s="797"/>
      <c r="W211" s="797"/>
      <c r="X211" s="797"/>
      <c r="Y211" s="797"/>
      <c r="Z211" s="797"/>
    </row>
    <row r="212" spans="1:27" ht="12.75" customHeight="1" x14ac:dyDescent="0.25"/>
    <row r="213" spans="1:27" ht="12.75" customHeight="1" x14ac:dyDescent="0.25">
      <c r="Q213" s="68"/>
      <c r="R213" s="68"/>
      <c r="S213" s="970"/>
      <c r="T213" s="970"/>
      <c r="U213" s="1693" t="s">
        <v>483</v>
      </c>
      <c r="V213" s="1694"/>
    </row>
    <row r="214" spans="1:27" ht="12.75" customHeight="1" x14ac:dyDescent="0.25">
      <c r="D214" s="57" t="s">
        <v>35</v>
      </c>
      <c r="Q214" s="68" t="s">
        <v>458</v>
      </c>
      <c r="R214" s="68"/>
      <c r="T214" s="971"/>
      <c r="U214" s="1754">
        <v>1908</v>
      </c>
      <c r="V214" s="1755"/>
    </row>
    <row r="215" spans="1:27" ht="12.75" customHeight="1" x14ac:dyDescent="0.25">
      <c r="D215" s="57" t="s">
        <v>36</v>
      </c>
      <c r="G215" s="59"/>
      <c r="Q215" s="68" t="s">
        <v>16</v>
      </c>
      <c r="R215" s="68"/>
      <c r="T215" s="972"/>
      <c r="U215" s="1756">
        <f>U214/(24*365)</f>
        <v>0.21780821917808219</v>
      </c>
      <c r="V215" s="1757"/>
    </row>
    <row r="216" spans="1:27" ht="12.75" customHeight="1" x14ac:dyDescent="0.25">
      <c r="D216" s="57" t="s">
        <v>13</v>
      </c>
      <c r="Q216" s="68" t="s">
        <v>16</v>
      </c>
      <c r="T216" s="973"/>
      <c r="U216" s="1773">
        <v>1</v>
      </c>
      <c r="V216" s="1774"/>
    </row>
    <row r="217" spans="1:27" ht="12.75" customHeight="1" x14ac:dyDescent="0.25">
      <c r="Q217" s="68"/>
    </row>
    <row r="218" spans="1:27" ht="12.75" customHeight="1" x14ac:dyDescent="0.25">
      <c r="P218" s="182"/>
      <c r="Q218" s="763"/>
      <c r="R218" s="182"/>
      <c r="S218" s="182"/>
      <c r="T218" s="182"/>
    </row>
    <row r="219" spans="1:27" ht="12.75" customHeight="1" x14ac:dyDescent="0.25">
      <c r="B219" s="55" t="s">
        <v>470</v>
      </c>
      <c r="C219" s="55"/>
      <c r="D219" s="81"/>
      <c r="E219" s="81"/>
      <c r="F219" s="81"/>
      <c r="G219" s="81"/>
      <c r="H219" s="81"/>
      <c r="I219" s="81"/>
      <c r="J219" s="81"/>
      <c r="K219" s="81"/>
      <c r="L219" s="81"/>
      <c r="M219" s="55"/>
      <c r="N219" s="55"/>
      <c r="O219" s="55"/>
      <c r="P219" s="797"/>
      <c r="Q219" s="797"/>
      <c r="R219" s="797"/>
      <c r="S219" s="797"/>
      <c r="T219" s="797"/>
      <c r="U219" s="797"/>
      <c r="V219" s="797"/>
      <c r="W219" s="797"/>
      <c r="X219" s="797"/>
      <c r="Y219" s="797"/>
      <c r="Z219" s="797"/>
    </row>
    <row r="220" spans="1:27" ht="12.75" customHeight="1" x14ac:dyDescent="0.25">
      <c r="P220" s="182"/>
      <c r="Q220" s="763"/>
      <c r="R220" s="182"/>
      <c r="S220" s="182"/>
      <c r="T220" s="182"/>
    </row>
    <row r="221" spans="1:27" ht="12.75" customHeight="1" x14ac:dyDescent="0.25">
      <c r="B221" s="56"/>
      <c r="C221" s="56"/>
      <c r="P221" s="836"/>
      <c r="Q221" s="84"/>
      <c r="R221" s="84"/>
      <c r="S221" s="1730" t="s">
        <v>201</v>
      </c>
      <c r="T221" s="1731"/>
      <c r="U221" s="1732"/>
      <c r="V221" s="1739" t="s">
        <v>343</v>
      </c>
      <c r="W221" s="1740"/>
      <c r="X221" s="1741"/>
    </row>
    <row r="222" spans="1:27" ht="12.75" customHeight="1" x14ac:dyDescent="0.25">
      <c r="P222" s="847"/>
      <c r="Q222" s="182"/>
      <c r="R222" s="182"/>
      <c r="S222" s="1733"/>
      <c r="T222" s="1734"/>
      <c r="U222" s="1735"/>
      <c r="V222" s="1727"/>
      <c r="W222" s="1728"/>
      <c r="X222" s="1729"/>
    </row>
    <row r="223" spans="1:27" ht="12.75" customHeight="1" x14ac:dyDescent="0.25">
      <c r="D223" s="57" t="s">
        <v>247</v>
      </c>
      <c r="S223" s="1736" t="s">
        <v>25</v>
      </c>
      <c r="T223" s="1737"/>
      <c r="U223" s="1738"/>
      <c r="V223" s="1742" t="s">
        <v>25</v>
      </c>
      <c r="W223" s="1743"/>
      <c r="X223" s="1744"/>
      <c r="AA223" s="59"/>
    </row>
    <row r="224" spans="1:27" ht="12.75" customHeight="1" x14ac:dyDescent="0.25">
      <c r="R224" s="68"/>
      <c r="S224" s="1807"/>
      <c r="T224" s="1808"/>
      <c r="U224" s="1809"/>
      <c r="V224" s="1727"/>
      <c r="W224" s="1728"/>
      <c r="X224" s="1729"/>
    </row>
    <row r="225" spans="2:27" ht="12.75" customHeight="1" x14ac:dyDescent="0.25">
      <c r="E225" s="57" t="s">
        <v>25</v>
      </c>
      <c r="R225" s="68"/>
      <c r="S225" s="1807"/>
      <c r="T225" s="1808"/>
      <c r="U225" s="1809"/>
      <c r="V225" s="974"/>
      <c r="W225" s="975"/>
      <c r="X225" s="976"/>
    </row>
    <row r="226" spans="2:27" ht="12.75" customHeight="1" x14ac:dyDescent="0.25">
      <c r="F226" s="57" t="s">
        <v>43</v>
      </c>
      <c r="Q226" s="68" t="s">
        <v>437</v>
      </c>
      <c r="S226" s="1804">
        <f>25000/U19</f>
        <v>18248.175182481751</v>
      </c>
      <c r="T226" s="1805"/>
      <c r="U226" s="1806"/>
      <c r="V226" s="1745">
        <f>25000/U19</f>
        <v>18248.175182481751</v>
      </c>
      <c r="W226" s="1746"/>
      <c r="X226" s="1747"/>
    </row>
    <row r="227" spans="2:27" ht="12.75" customHeight="1" x14ac:dyDescent="0.25">
      <c r="F227" s="57" t="s">
        <v>45</v>
      </c>
      <c r="Q227" s="68" t="s">
        <v>16</v>
      </c>
      <c r="S227" s="1810">
        <v>0.02</v>
      </c>
      <c r="T227" s="1811"/>
      <c r="U227" s="1812"/>
      <c r="V227" s="1792">
        <v>0.02</v>
      </c>
      <c r="W227" s="1793"/>
      <c r="X227" s="1794"/>
    </row>
    <row r="228" spans="2:27" ht="12.75" customHeight="1" x14ac:dyDescent="0.25">
      <c r="S228" s="1807"/>
      <c r="T228" s="1808"/>
      <c r="U228" s="1809"/>
      <c r="V228" s="1727"/>
      <c r="W228" s="1728"/>
      <c r="X228" s="1729"/>
    </row>
    <row r="229" spans="2:27" ht="12.75" customHeight="1" x14ac:dyDescent="0.25">
      <c r="D229" s="56" t="s">
        <v>21</v>
      </c>
      <c r="S229" s="1807"/>
      <c r="T229" s="1808"/>
      <c r="U229" s="1809"/>
      <c r="V229" s="1727"/>
      <c r="W229" s="1728"/>
      <c r="X229" s="1729"/>
    </row>
    <row r="230" spans="2:27" ht="12.75" customHeight="1" x14ac:dyDescent="0.25">
      <c r="E230" s="57" t="s">
        <v>57</v>
      </c>
      <c r="Q230" s="68" t="s">
        <v>16</v>
      </c>
      <c r="S230" s="1786">
        <v>0.95</v>
      </c>
      <c r="T230" s="1787"/>
      <c r="U230" s="1788"/>
      <c r="V230" s="1720">
        <v>0.95</v>
      </c>
      <c r="W230" s="1721"/>
      <c r="X230" s="1722"/>
    </row>
    <row r="231" spans="2:27" ht="12.75" customHeight="1" x14ac:dyDescent="0.25">
      <c r="D231" s="182"/>
      <c r="E231" s="182" t="s">
        <v>18</v>
      </c>
      <c r="F231" s="182"/>
      <c r="G231" s="182"/>
      <c r="H231" s="182"/>
      <c r="I231" s="182"/>
      <c r="J231" s="182"/>
      <c r="K231" s="182"/>
      <c r="L231" s="182"/>
      <c r="M231" s="182"/>
      <c r="N231" s="182"/>
      <c r="O231" s="182"/>
      <c r="P231" s="182"/>
      <c r="Q231" s="763" t="s">
        <v>16</v>
      </c>
      <c r="R231" s="182"/>
      <c r="S231" s="1789">
        <v>0.05</v>
      </c>
      <c r="T231" s="1790"/>
      <c r="U231" s="1791"/>
      <c r="V231" s="1723">
        <v>0.05</v>
      </c>
      <c r="W231" s="1724"/>
      <c r="X231" s="1725"/>
      <c r="Y231" s="948"/>
      <c r="Z231" s="808" t="s">
        <v>256</v>
      </c>
      <c r="AA231" s="966" t="s">
        <v>429</v>
      </c>
    </row>
    <row r="232" spans="2:27" ht="12.75" customHeight="1" x14ac:dyDescent="0.25">
      <c r="Q232" s="977"/>
      <c r="R232" s="978" t="s">
        <v>168</v>
      </c>
      <c r="S232" s="1726" t="str">
        <f>IF(SUM(S230:U231)=100%, "", "Sum must equal 100%")</f>
        <v/>
      </c>
      <c r="T232" s="1726"/>
      <c r="U232" s="1726"/>
      <c r="V232" s="1726" t="str">
        <f>IF(SUM(V230:X231)=100%, "", "Sum must equal 100%")</f>
        <v/>
      </c>
      <c r="W232" s="1726"/>
      <c r="X232" s="1726"/>
    </row>
    <row r="233" spans="2:27" x14ac:dyDescent="0.25"/>
    <row r="234" spans="2:27" x14ac:dyDescent="0.25">
      <c r="B234" s="55" t="s">
        <v>534</v>
      </c>
      <c r="C234" s="55"/>
      <c r="D234" s="81"/>
      <c r="E234" s="81"/>
      <c r="F234" s="81"/>
      <c r="G234" s="81"/>
      <c r="H234" s="81"/>
      <c r="I234" s="81"/>
      <c r="J234" s="81"/>
      <c r="K234" s="81"/>
      <c r="L234" s="81"/>
      <c r="M234" s="55"/>
      <c r="N234" s="55"/>
      <c r="O234" s="55"/>
      <c r="P234" s="797"/>
      <c r="Q234" s="797"/>
      <c r="R234" s="797"/>
      <c r="S234" s="797"/>
      <c r="T234" s="797"/>
      <c r="U234" s="797"/>
      <c r="V234" s="797"/>
      <c r="W234" s="797"/>
      <c r="X234" s="797"/>
      <c r="Y234" s="797"/>
      <c r="Z234" s="797"/>
    </row>
    <row r="235" spans="2:27" x14ac:dyDescent="0.25"/>
    <row r="236" spans="2:27" x14ac:dyDescent="0.25">
      <c r="U236" s="1693" t="s">
        <v>483</v>
      </c>
      <c r="V236" s="1694"/>
    </row>
    <row r="237" spans="2:27" hidden="1" x14ac:dyDescent="0.25">
      <c r="U237" s="1699">
        <v>2628</v>
      </c>
      <c r="V237" s="1700"/>
    </row>
    <row r="238" spans="2:27" hidden="1" x14ac:dyDescent="0.25"/>
    <row r="239" spans="2:27" hidden="1" x14ac:dyDescent="0.25"/>
    <row r="240" spans="2:27" hidden="1" x14ac:dyDescent="0.25"/>
    <row r="241" spans="4:23" hidden="1" x14ac:dyDescent="0.25"/>
    <row r="242" spans="4:23" hidden="1" x14ac:dyDescent="0.25"/>
    <row r="243" spans="4:23" hidden="1" x14ac:dyDescent="0.25"/>
    <row r="244" spans="4:23" hidden="1" x14ac:dyDescent="0.25"/>
    <row r="245" spans="4:23" hidden="1" x14ac:dyDescent="0.25"/>
    <row r="246" spans="4:23" hidden="1" x14ac:dyDescent="0.25"/>
    <row r="247" spans="4:23" hidden="1" x14ac:dyDescent="0.25"/>
    <row r="248" spans="4:23" hidden="1" x14ac:dyDescent="0.25"/>
    <row r="249" spans="4:23" hidden="1" x14ac:dyDescent="0.25"/>
    <row r="250" spans="4:23" x14ac:dyDescent="0.25">
      <c r="D250" s="57" t="s">
        <v>627</v>
      </c>
      <c r="Q250" s="68" t="s">
        <v>437</v>
      </c>
      <c r="U250" s="1701">
        <v>150000</v>
      </c>
      <c r="V250" s="1702"/>
      <c r="W250" s="1206"/>
    </row>
    <row r="251" spans="4:23" x14ac:dyDescent="0.25">
      <c r="D251" s="57" t="s">
        <v>473</v>
      </c>
      <c r="Q251" s="68" t="s">
        <v>475</v>
      </c>
      <c r="U251" s="1703" t="s">
        <v>626</v>
      </c>
      <c r="V251" s="1704"/>
    </row>
    <row r="252" spans="4:23" x14ac:dyDescent="0.25">
      <c r="D252" s="57" t="s">
        <v>471</v>
      </c>
      <c r="Q252" s="68" t="s">
        <v>472</v>
      </c>
      <c r="U252" s="1703">
        <v>10</v>
      </c>
      <c r="V252" s="1704"/>
    </row>
    <row r="253" spans="4:23" ht="14.4" x14ac:dyDescent="0.3">
      <c r="D253" s="57" t="s">
        <v>629</v>
      </c>
      <c r="Q253" s="68" t="s">
        <v>628</v>
      </c>
      <c r="U253" s="1703">
        <v>2</v>
      </c>
      <c r="V253" s="1545"/>
    </row>
    <row r="254" spans="4:23" x14ac:dyDescent="0.25">
      <c r="D254" s="57" t="s">
        <v>684</v>
      </c>
      <c r="Q254" s="68" t="s">
        <v>437</v>
      </c>
      <c r="U254" s="1697">
        <v>3000000</v>
      </c>
      <c r="V254" s="1698"/>
    </row>
    <row r="255" spans="4:23" x14ac:dyDescent="0.25">
      <c r="D255" s="57" t="s">
        <v>474</v>
      </c>
      <c r="Q255" s="68" t="s">
        <v>15</v>
      </c>
      <c r="U255" s="1705">
        <v>75</v>
      </c>
      <c r="V255" s="1706"/>
      <c r="W255" s="1206"/>
    </row>
    <row r="256" spans="4:23" x14ac:dyDescent="0.25">
      <c r="D256" s="57" t="s">
        <v>684</v>
      </c>
      <c r="Q256" s="68"/>
      <c r="U256" s="1410"/>
      <c r="V256" s="1410"/>
      <c r="W256" s="1206"/>
    </row>
    <row r="257" spans="4:23" x14ac:dyDescent="0.25">
      <c r="Q257" s="68"/>
      <c r="U257" s="1693" t="s">
        <v>483</v>
      </c>
      <c r="V257" s="1694"/>
      <c r="W257" s="1206"/>
    </row>
    <row r="258" spans="4:23" x14ac:dyDescent="0.25">
      <c r="D258" s="57" t="s">
        <v>685</v>
      </c>
      <c r="Q258" s="68" t="s">
        <v>437</v>
      </c>
      <c r="U258" s="1691">
        <f>U250*U252*U253*(U14/U255)</f>
        <v>29439999.999999996</v>
      </c>
      <c r="V258" s="1692"/>
    </row>
    <row r="259" spans="4:23" x14ac:dyDescent="0.25">
      <c r="D259" s="57" t="s">
        <v>686</v>
      </c>
      <c r="Q259" s="68" t="s">
        <v>437</v>
      </c>
      <c r="U259" s="1689">
        <f>U254*(U14/U255)</f>
        <v>29439999.999999996</v>
      </c>
      <c r="V259" s="1690"/>
    </row>
    <row r="260" spans="4:23" x14ac:dyDescent="0.25">
      <c r="D260" s="57" t="s">
        <v>687</v>
      </c>
      <c r="Q260" s="68" t="s">
        <v>437</v>
      </c>
      <c r="U260" s="1695">
        <f>SUM(U258:V259)</f>
        <v>58879999.999999993</v>
      </c>
      <c r="V260" s="1696"/>
    </row>
    <row r="261" spans="4:23" x14ac:dyDescent="0.25"/>
    <row r="262" spans="4:23" x14ac:dyDescent="0.25"/>
    <row r="263" spans="4:23" x14ac:dyDescent="0.25"/>
    <row r="264" spans="4:23" x14ac:dyDescent="0.25"/>
    <row r="265" spans="4:23" x14ac:dyDescent="0.25"/>
    <row r="266" spans="4:23" x14ac:dyDescent="0.25"/>
    <row r="267" spans="4:23" x14ac:dyDescent="0.25"/>
    <row r="268" spans="4:23" x14ac:dyDescent="0.25"/>
    <row r="269" spans="4:23" x14ac:dyDescent="0.25"/>
    <row r="270" spans="4:23" x14ac:dyDescent="0.25"/>
    <row r="271" spans="4:23" x14ac:dyDescent="0.25"/>
    <row r="272" spans="4:23"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sheetData>
  <sheetProtection formatCells="0" formatColumns="0" formatRows="0" insertColumns="0" insertRows="0"/>
  <mergeCells count="307">
    <mergeCell ref="U19:V19"/>
    <mergeCell ref="M105:Q105"/>
    <mergeCell ref="M106:Q106"/>
    <mergeCell ref="M107:Q107"/>
    <mergeCell ref="M196:P196"/>
    <mergeCell ref="V55:X55"/>
    <mergeCell ref="V56:X56"/>
    <mergeCell ref="V57:X57"/>
    <mergeCell ref="V58:X58"/>
    <mergeCell ref="V71:Y71"/>
    <mergeCell ref="S26:U26"/>
    <mergeCell ref="S27:U27"/>
    <mergeCell ref="V186:X186"/>
    <mergeCell ref="V182:X182"/>
    <mergeCell ref="V183:X183"/>
    <mergeCell ref="V184:X184"/>
    <mergeCell ref="V185:X185"/>
    <mergeCell ref="V174:X174"/>
    <mergeCell ref="V176:X176"/>
    <mergeCell ref="V177:X177"/>
    <mergeCell ref="V181:X181"/>
    <mergeCell ref="S44:U44"/>
    <mergeCell ref="S45:U45"/>
    <mergeCell ref="S28:U28"/>
    <mergeCell ref="M100:Q100"/>
    <mergeCell ref="D119:L119"/>
    <mergeCell ref="M157:P157"/>
    <mergeCell ref="M158:P158"/>
    <mergeCell ref="M159:P159"/>
    <mergeCell ref="M131:Q131"/>
    <mergeCell ref="M132:Q132"/>
    <mergeCell ref="M133:Q133"/>
    <mergeCell ref="M134:Q134"/>
    <mergeCell ref="D134:L134"/>
    <mergeCell ref="M101:Q101"/>
    <mergeCell ref="M102:Q102"/>
    <mergeCell ref="M141:P141"/>
    <mergeCell ref="M140:P140"/>
    <mergeCell ref="M113:Q113"/>
    <mergeCell ref="M114:Q114"/>
    <mergeCell ref="D120:L120"/>
    <mergeCell ref="M120:Q120"/>
    <mergeCell ref="D115:L116"/>
    <mergeCell ref="D132:L132"/>
    <mergeCell ref="D131:L131"/>
    <mergeCell ref="AA153:AF153"/>
    <mergeCell ref="AA155:AF155"/>
    <mergeCell ref="AA156:AF156"/>
    <mergeCell ref="D100:L100"/>
    <mergeCell ref="D112:L112"/>
    <mergeCell ref="D127:L127"/>
    <mergeCell ref="D101:L101"/>
    <mergeCell ref="D102:L102"/>
    <mergeCell ref="D103:L103"/>
    <mergeCell ref="D104:L104"/>
    <mergeCell ref="D105:L105"/>
    <mergeCell ref="D106:L106"/>
    <mergeCell ref="D107:L107"/>
    <mergeCell ref="M153:P153"/>
    <mergeCell ref="M154:P154"/>
    <mergeCell ref="M155:P155"/>
    <mergeCell ref="M156:P156"/>
    <mergeCell ref="M142:P142"/>
    <mergeCell ref="M103:Q103"/>
    <mergeCell ref="M143:P143"/>
    <mergeCell ref="M130:Q130"/>
    <mergeCell ref="M104:Q104"/>
    <mergeCell ref="V102:X102"/>
    <mergeCell ref="V103:X103"/>
    <mergeCell ref="D175:L178"/>
    <mergeCell ref="R164:U164"/>
    <mergeCell ref="V164:Y164"/>
    <mergeCell ref="S25:U25"/>
    <mergeCell ref="V25:X25"/>
    <mergeCell ref="V26:X26"/>
    <mergeCell ref="V27:X27"/>
    <mergeCell ref="V28:X28"/>
    <mergeCell ref="S119:U119"/>
    <mergeCell ref="S118:U118"/>
    <mergeCell ref="S117:U117"/>
    <mergeCell ref="S116:U116"/>
    <mergeCell ref="S115:U115"/>
    <mergeCell ref="V115:X115"/>
    <mergeCell ref="V116:X116"/>
    <mergeCell ref="V117:X117"/>
    <mergeCell ref="V118:X118"/>
    <mergeCell ref="V119:X119"/>
    <mergeCell ref="S102:U102"/>
    <mergeCell ref="R70:U70"/>
    <mergeCell ref="V40:X40"/>
    <mergeCell ref="V41:X41"/>
    <mergeCell ref="V42:X42"/>
    <mergeCell ref="V43:X43"/>
    <mergeCell ref="S30:U30"/>
    <mergeCell ref="S31:U31"/>
    <mergeCell ref="S32:U32"/>
    <mergeCell ref="S33:U33"/>
    <mergeCell ref="S34:U34"/>
    <mergeCell ref="S35:U35"/>
    <mergeCell ref="V33:X33"/>
    <mergeCell ref="V34:X34"/>
    <mergeCell ref="V35:X35"/>
    <mergeCell ref="V36:X36"/>
    <mergeCell ref="V37:X37"/>
    <mergeCell ref="V48:X48"/>
    <mergeCell ref="V54:X54"/>
    <mergeCell ref="V49:X49"/>
    <mergeCell ref="V44:X44"/>
    <mergeCell ref="V45:X45"/>
    <mergeCell ref="V46:X46"/>
    <mergeCell ref="S138:U138"/>
    <mergeCell ref="S111:X111"/>
    <mergeCell ref="S112:U112"/>
    <mergeCell ref="V112:X112"/>
    <mergeCell ref="S107:U107"/>
    <mergeCell ref="S106:U106"/>
    <mergeCell ref="S105:U105"/>
    <mergeCell ref="V138:Y138"/>
    <mergeCell ref="V106:X106"/>
    <mergeCell ref="V107:X107"/>
    <mergeCell ref="V80:Y80"/>
    <mergeCell ref="V60:X60"/>
    <mergeCell ref="V61:X61"/>
    <mergeCell ref="V62:X62"/>
    <mergeCell ref="V64:X64"/>
    <mergeCell ref="S126:U126"/>
    <mergeCell ref="R71:U71"/>
    <mergeCell ref="V47:X47"/>
    <mergeCell ref="S104:U104"/>
    <mergeCell ref="V53:X53"/>
    <mergeCell ref="V104:X104"/>
    <mergeCell ref="V105:X105"/>
    <mergeCell ref="V70:Y70"/>
    <mergeCell ref="R79:U79"/>
    <mergeCell ref="V79:Y79"/>
    <mergeCell ref="V65:X65"/>
    <mergeCell ref="V66:X66"/>
    <mergeCell ref="V63:X63"/>
    <mergeCell ref="S99:X99"/>
    <mergeCell ref="S100:U100"/>
    <mergeCell ref="V100:X100"/>
    <mergeCell ref="S101:U101"/>
    <mergeCell ref="V101:X101"/>
    <mergeCell ref="S103:U103"/>
    <mergeCell ref="U13:V13"/>
    <mergeCell ref="U196:V196"/>
    <mergeCell ref="U198:V198"/>
    <mergeCell ref="U200:V200"/>
    <mergeCell ref="U205:V205"/>
    <mergeCell ref="U14:V14"/>
    <mergeCell ref="U15:V15"/>
    <mergeCell ref="U16:V16"/>
    <mergeCell ref="U17:V17"/>
    <mergeCell ref="U18:V18"/>
    <mergeCell ref="S179:U179"/>
    <mergeCell ref="S178:U178"/>
    <mergeCell ref="S185:U185"/>
    <mergeCell ref="S186:U186"/>
    <mergeCell ref="S180:U180"/>
    <mergeCell ref="S181:U181"/>
    <mergeCell ref="S182:U182"/>
    <mergeCell ref="S183:U183"/>
    <mergeCell ref="S46:U46"/>
    <mergeCell ref="S47:U47"/>
    <mergeCell ref="S48:U48"/>
    <mergeCell ref="S49:U49"/>
    <mergeCell ref="S174:U174"/>
    <mergeCell ref="S191:U191"/>
    <mergeCell ref="AA92:AF92"/>
    <mergeCell ref="AA142:AF142"/>
    <mergeCell ref="AA147:AF147"/>
    <mergeCell ref="AA154:AF154"/>
    <mergeCell ref="S29:U29"/>
    <mergeCell ref="V29:X29"/>
    <mergeCell ref="D161:L161"/>
    <mergeCell ref="D135:L135"/>
    <mergeCell ref="D146:L146"/>
    <mergeCell ref="S36:U36"/>
    <mergeCell ref="S37:U37"/>
    <mergeCell ref="S38:U38"/>
    <mergeCell ref="S39:U39"/>
    <mergeCell ref="V38:X38"/>
    <mergeCell ref="V39:X39"/>
    <mergeCell ref="S40:U40"/>
    <mergeCell ref="S42:U42"/>
    <mergeCell ref="S43:U43"/>
    <mergeCell ref="V30:X30"/>
    <mergeCell ref="V31:X31"/>
    <mergeCell ref="V32:X32"/>
    <mergeCell ref="S41:U41"/>
    <mergeCell ref="V59:X59"/>
    <mergeCell ref="R80:U80"/>
    <mergeCell ref="D167:L167"/>
    <mergeCell ref="M167:P167"/>
    <mergeCell ref="M145:P145"/>
    <mergeCell ref="D159:L159"/>
    <mergeCell ref="D160:L160"/>
    <mergeCell ref="D154:L154"/>
    <mergeCell ref="D157:L157"/>
    <mergeCell ref="D158:L158"/>
    <mergeCell ref="D142:L142"/>
    <mergeCell ref="D143:L143"/>
    <mergeCell ref="D144:L144"/>
    <mergeCell ref="D153:L153"/>
    <mergeCell ref="D156:L156"/>
    <mergeCell ref="S113:U113"/>
    <mergeCell ref="S165:U165"/>
    <mergeCell ref="W165:Y165"/>
    <mergeCell ref="W152:Y152"/>
    <mergeCell ref="M160:P160"/>
    <mergeCell ref="D140:L140"/>
    <mergeCell ref="D141:L141"/>
    <mergeCell ref="D128:L128"/>
    <mergeCell ref="D166:L166"/>
    <mergeCell ref="M166:P166"/>
    <mergeCell ref="D139:L139"/>
    <mergeCell ref="S232:U232"/>
    <mergeCell ref="V227:X227"/>
    <mergeCell ref="V188:X188"/>
    <mergeCell ref="S188:U188"/>
    <mergeCell ref="U253:V253"/>
    <mergeCell ref="V113:X113"/>
    <mergeCell ref="V114:X114"/>
    <mergeCell ref="V120:X120"/>
    <mergeCell ref="S226:U226"/>
    <mergeCell ref="S225:U225"/>
    <mergeCell ref="S224:U224"/>
    <mergeCell ref="S228:U228"/>
    <mergeCell ref="S229:U229"/>
    <mergeCell ref="S227:U227"/>
    <mergeCell ref="S187:U187"/>
    <mergeCell ref="V180:X180"/>
    <mergeCell ref="V179:X179"/>
    <mergeCell ref="V178:X178"/>
    <mergeCell ref="V175:X175"/>
    <mergeCell ref="S184:U184"/>
    <mergeCell ref="V187:X187"/>
    <mergeCell ref="V126:Y126"/>
    <mergeCell ref="S152:U152"/>
    <mergeCell ref="R151:U151"/>
    <mergeCell ref="U216:V216"/>
    <mergeCell ref="U202:V202"/>
    <mergeCell ref="V191:X191"/>
    <mergeCell ref="V190:X190"/>
    <mergeCell ref="S190:U190"/>
    <mergeCell ref="V189:X189"/>
    <mergeCell ref="S189:U189"/>
    <mergeCell ref="S230:U230"/>
    <mergeCell ref="S231:U231"/>
    <mergeCell ref="D168:L168"/>
    <mergeCell ref="M168:P168"/>
    <mergeCell ref="U236:V236"/>
    <mergeCell ref="D155:L155"/>
    <mergeCell ref="S120:U120"/>
    <mergeCell ref="S114:U114"/>
    <mergeCell ref="V151:Y151"/>
    <mergeCell ref="D117:L118"/>
    <mergeCell ref="M127:Q127"/>
    <mergeCell ref="M115:Q115"/>
    <mergeCell ref="M117:Q117"/>
    <mergeCell ref="M119:Q119"/>
    <mergeCell ref="N118:Q118"/>
    <mergeCell ref="N116:Q116"/>
    <mergeCell ref="D133:L133"/>
    <mergeCell ref="D130:L130"/>
    <mergeCell ref="D129:L129"/>
    <mergeCell ref="M174:P174"/>
    <mergeCell ref="M128:Q128"/>
    <mergeCell ref="M129:Q129"/>
    <mergeCell ref="M144:P144"/>
    <mergeCell ref="D179:L186"/>
    <mergeCell ref="D187:L191"/>
    <mergeCell ref="D197:L198"/>
    <mergeCell ref="D169:L169"/>
    <mergeCell ref="M169:P169"/>
    <mergeCell ref="S175:U175"/>
    <mergeCell ref="S176:U176"/>
    <mergeCell ref="S177:U177"/>
    <mergeCell ref="V230:X230"/>
    <mergeCell ref="V231:X231"/>
    <mergeCell ref="V232:X232"/>
    <mergeCell ref="V229:X229"/>
    <mergeCell ref="V224:X224"/>
    <mergeCell ref="V222:X222"/>
    <mergeCell ref="V228:X228"/>
    <mergeCell ref="S221:U221"/>
    <mergeCell ref="S222:U222"/>
    <mergeCell ref="S223:U223"/>
    <mergeCell ref="V221:X221"/>
    <mergeCell ref="V223:X223"/>
    <mergeCell ref="V226:X226"/>
    <mergeCell ref="D199:L200"/>
    <mergeCell ref="D201:L202"/>
    <mergeCell ref="U206:V206"/>
    <mergeCell ref="U213:V213"/>
    <mergeCell ref="U214:V214"/>
    <mergeCell ref="U215:V215"/>
    <mergeCell ref="U259:V259"/>
    <mergeCell ref="U258:V258"/>
    <mergeCell ref="U257:V257"/>
    <mergeCell ref="U260:V260"/>
    <mergeCell ref="U254:V254"/>
    <mergeCell ref="U237:V237"/>
    <mergeCell ref="U250:V250"/>
    <mergeCell ref="U251:V251"/>
    <mergeCell ref="U252:V252"/>
    <mergeCell ref="U255:V255"/>
  </mergeCells>
  <conditionalFormatting sqref="V40:X40">
    <cfRule type="expression" dxfId="2" priority="3">
      <formula>$S$39&gt;0</formula>
    </cfRule>
  </conditionalFormatting>
  <conditionalFormatting sqref="S40:U40">
    <cfRule type="expression" dxfId="1" priority="1">
      <formula>AND($S$32&gt;0,$S$39&gt;0)</formula>
    </cfRule>
    <cfRule type="duplicateValues" dxfId="0" priority="2"/>
  </conditionalFormatting>
  <dataValidations count="6">
    <dataValidation type="list" allowBlank="1" showInputMessage="1" showErrorMessage="1" sqref="S223 V223">
      <formula1>OperationsandMaint</formula1>
    </dataValidation>
    <dataValidation type="list" allowBlank="1" showInputMessage="1" showErrorMessage="1" sqref="Q154:Q160 Q167:Q169">
      <formula1>POLICYCOSTING</formula1>
    </dataValidation>
    <dataValidation type="list" allowBlank="1" showInputMessage="1" showErrorMessage="1" sqref="U205">
      <formula1>Multiplier</formula1>
    </dataValidation>
    <dataValidation type="list" allowBlank="1" showInputMessage="1" showErrorMessage="1" sqref="S113:S115 S101:S103 S105:S107 S117 S119:S120">
      <formula1>BAUselection</formula1>
    </dataValidation>
    <dataValidation type="list" allowBlank="1" showInputMessage="1" showErrorMessage="1" sqref="V113:V114 V117:X117 V115:X115 V101:V107 S104 V119:V120">
      <formula1>SELECTION</formula1>
    </dataValidation>
    <dataValidation type="list" allowBlank="1" showInputMessage="1" showErrorMessage="1" sqref="V55:X58">
      <formula1>InputMethod</formula1>
    </dataValidation>
  </dataValidations>
  <pageMargins left="0.7" right="0.7" top="0.75" bottom="0.75" header="0.3" footer="0.3"/>
  <pageSetup scale="42" fitToHeight="0" orientation="landscape" horizontalDpi="4294967293" verticalDpi="4294967293"/>
  <headerFooter>
    <oddFooter>&amp;L&amp;A&amp;R&amp;P of &amp;N</oddFooter>
  </headerFooter>
  <rowBreaks count="2" manualBreakCount="2">
    <brk id="92" max="16383" man="1"/>
    <brk id="147" max="16383" man="1"/>
  </rowBreaks>
  <ignoredErrors>
    <ignoredError sqref="U258:U260" unlockedFormula="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855"/>
  <sheetViews>
    <sheetView showGridLines="0" zoomScale="85" zoomScaleNormal="85" zoomScalePageLayoutView="85" workbookViewId="0">
      <pane xSplit="8" ySplit="23" topLeftCell="I24" activePane="bottomRight" state="frozen"/>
      <selection pane="topRight" activeCell="I1" sqref="I1"/>
      <selection pane="bottomLeft" activeCell="A24" sqref="A24"/>
      <selection pane="bottomRight" activeCell="I24" sqref="I24"/>
    </sheetView>
  </sheetViews>
  <sheetFormatPr defaultColWidth="0" defaultRowHeight="13.2" zeroHeight="1" outlineLevelRow="1" x14ac:dyDescent="0.25"/>
  <cols>
    <col min="1" max="2" width="1.6640625" style="12" customWidth="1"/>
    <col min="3" max="3" width="41.6640625" style="12" bestFit="1" customWidth="1"/>
    <col min="4" max="4" width="9.109375" style="12" customWidth="1"/>
    <col min="5" max="5" width="7.6640625" style="12" bestFit="1" customWidth="1"/>
    <col min="6" max="6" width="13.109375" style="12" bestFit="1" customWidth="1"/>
    <col min="7" max="7" width="23" style="12" bestFit="1" customWidth="1"/>
    <col min="8" max="8" width="15" style="12" bestFit="1" customWidth="1"/>
    <col min="9" max="9" width="15.109375" style="12" bestFit="1" customWidth="1"/>
    <col min="10" max="10" width="17" style="12" bestFit="1" customWidth="1"/>
    <col min="11" max="11" width="18.33203125" style="12" bestFit="1" customWidth="1"/>
    <col min="12" max="12" width="15" style="12" bestFit="1" customWidth="1"/>
    <col min="13" max="13" width="15.44140625" style="12" bestFit="1" customWidth="1"/>
    <col min="14" max="14" width="15.109375" style="12" bestFit="1" customWidth="1"/>
    <col min="15" max="17" width="15.44140625" style="12" bestFit="1" customWidth="1"/>
    <col min="18" max="18" width="15" style="12" bestFit="1" customWidth="1"/>
    <col min="19" max="19" width="15.109375" style="12" bestFit="1" customWidth="1"/>
    <col min="20" max="20" width="15.44140625" style="12" bestFit="1" customWidth="1"/>
    <col min="21" max="21" width="16" style="12" bestFit="1" customWidth="1"/>
    <col min="22" max="23" width="15.6640625" style="12" bestFit="1" customWidth="1"/>
    <col min="24" max="24" width="16" style="12" bestFit="1" customWidth="1"/>
    <col min="25" max="26" width="15.44140625" style="12" bestFit="1" customWidth="1"/>
    <col min="27" max="27" width="15.6640625" style="12" bestFit="1" customWidth="1"/>
    <col min="28" max="28" width="15" style="12" bestFit="1" customWidth="1"/>
    <col min="29" max="29" width="15.109375" style="12" bestFit="1" customWidth="1"/>
    <col min="30" max="30" width="15" style="12" bestFit="1" customWidth="1"/>
    <col min="31" max="31" width="15.44140625" style="12" bestFit="1" customWidth="1"/>
    <col min="32" max="33" width="15.109375" style="12" bestFit="1" customWidth="1"/>
    <col min="34" max="34" width="14.109375" style="12" bestFit="1" customWidth="1"/>
    <col min="35" max="35" width="15" style="12" bestFit="1" customWidth="1"/>
    <col min="36" max="36" width="14.6640625" style="12" bestFit="1" customWidth="1"/>
    <col min="37" max="37" width="15.109375" style="12" bestFit="1" customWidth="1"/>
    <col min="38" max="38" width="14.109375" style="12" bestFit="1" customWidth="1"/>
    <col min="39" max="40" width="14.44140625" style="12" bestFit="1" customWidth="1"/>
    <col min="41" max="41" width="15" style="12" bestFit="1" customWidth="1"/>
    <col min="42" max="42" width="14.6640625" style="12" bestFit="1" customWidth="1"/>
    <col min="43" max="43" width="14.109375" style="12" bestFit="1" customWidth="1"/>
    <col min="44" max="44" width="14.44140625" style="12" bestFit="1" customWidth="1"/>
    <col min="45" max="45" width="14.109375" style="12" bestFit="1" customWidth="1"/>
    <col min="46" max="46" width="13.6640625" style="12" bestFit="1" customWidth="1"/>
    <col min="47" max="47" width="14.44140625" style="12" bestFit="1" customWidth="1"/>
    <col min="48" max="48" width="14.6640625" style="12" bestFit="1" customWidth="1"/>
    <col min="49" max="49" width="15" style="12" bestFit="1" customWidth="1"/>
    <col min="50" max="50" width="14.44140625" style="12" bestFit="1" customWidth="1"/>
    <col min="51" max="51" width="14.109375" style="12" bestFit="1" customWidth="1"/>
    <col min="52" max="52" width="14.6640625" style="12" bestFit="1" customWidth="1"/>
    <col min="53" max="54" width="13.6640625" style="12" bestFit="1" customWidth="1"/>
    <col min="55" max="56" width="14.44140625" style="12" bestFit="1" customWidth="1"/>
    <col min="57" max="57" width="14.109375" style="12" bestFit="1" customWidth="1"/>
    <col min="58" max="58" width="2.33203125" style="12" customWidth="1"/>
    <col min="59" max="16384" width="0" style="12" hidden="1"/>
  </cols>
  <sheetData>
    <row r="1" spans="1:57" x14ac:dyDescent="0.25">
      <c r="A1" s="707" t="s">
        <v>630</v>
      </c>
    </row>
    <row r="2" spans="1:57" x14ac:dyDescent="0.25"/>
    <row r="3" spans="1:57" s="58" customFormat="1" x14ac:dyDescent="0.25">
      <c r="A3" s="5" t="s">
        <v>331</v>
      </c>
      <c r="B3" s="5"/>
      <c r="C3" s="5"/>
      <c r="D3" s="5"/>
      <c r="E3" s="5"/>
      <c r="F3" s="5"/>
      <c r="G3" s="5"/>
      <c r="H3" s="5"/>
      <c r="I3" s="5"/>
      <c r="J3" s="5"/>
      <c r="K3" s="6"/>
      <c r="L3" s="6"/>
      <c r="M3" s="7"/>
      <c r="N3" s="7"/>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row>
    <row r="4" spans="1:57" s="8" customFormat="1" ht="12.75" customHeight="1" x14ac:dyDescent="0.25">
      <c r="Q4" s="185"/>
      <c r="R4" s="185"/>
      <c r="S4" s="185"/>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row>
    <row r="5" spans="1:57" s="8" customFormat="1" ht="12.75" customHeight="1" x14ac:dyDescent="0.25">
      <c r="B5" s="8" t="s">
        <v>260</v>
      </c>
      <c r="T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row>
    <row r="6" spans="1:57" s="8" customFormat="1" ht="12.75" customHeight="1" x14ac:dyDescent="0.25">
      <c r="C6" s="8" t="s">
        <v>329</v>
      </c>
      <c r="T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row>
    <row r="7" spans="1:57" s="8" customFormat="1" ht="12.75" customHeight="1" x14ac:dyDescent="0.25">
      <c r="C7" s="8" t="s">
        <v>330</v>
      </c>
      <c r="T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row>
    <row r="8" spans="1:57" s="8" customFormat="1" x14ac:dyDescent="0.25">
      <c r="C8" s="8" t="s">
        <v>259</v>
      </c>
      <c r="Q8" s="185"/>
      <c r="R8" s="185"/>
      <c r="S8" s="185"/>
    </row>
    <row r="9" spans="1:57" s="8" customFormat="1" ht="12.75" customHeight="1" x14ac:dyDescent="0.25">
      <c r="Q9" s="185"/>
      <c r="R9" s="185"/>
      <c r="S9" s="185"/>
    </row>
    <row r="10" spans="1:57" s="8" customFormat="1" ht="12.75" customHeight="1" x14ac:dyDescent="0.25">
      <c r="A10" s="44" t="s">
        <v>332</v>
      </c>
      <c r="B10" s="44"/>
      <c r="C10" s="44"/>
      <c r="D10" s="44"/>
      <c r="E10" s="44"/>
      <c r="F10" s="44"/>
      <c r="G10" s="44"/>
      <c r="H10" s="44"/>
      <c r="I10" s="44"/>
      <c r="J10" s="45"/>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row>
    <row r="11" spans="1:57" x14ac:dyDescent="0.25">
      <c r="A11" s="19"/>
      <c r="B11" s="19"/>
      <c r="C11" s="19"/>
      <c r="D11" s="19"/>
      <c r="E11" s="19"/>
      <c r="F11" s="19"/>
    </row>
    <row r="12" spans="1:57" x14ac:dyDescent="0.25"/>
    <row r="13" spans="1:57" x14ac:dyDescent="0.25">
      <c r="B13" s="214" t="s">
        <v>58</v>
      </c>
      <c r="C13" s="215"/>
      <c r="D13" s="215"/>
      <c r="E13" s="216"/>
      <c r="F13" s="215"/>
      <c r="G13" s="216">
        <v>0</v>
      </c>
      <c r="H13" s="216">
        <v>1</v>
      </c>
      <c r="I13" s="216">
        <v>2</v>
      </c>
      <c r="J13" s="216">
        <v>3</v>
      </c>
      <c r="K13" s="216">
        <v>4</v>
      </c>
      <c r="L13" s="216">
        <v>5</v>
      </c>
      <c r="M13" s="216">
        <v>6</v>
      </c>
      <c r="N13" s="216">
        <v>7</v>
      </c>
      <c r="O13" s="216">
        <v>8</v>
      </c>
      <c r="P13" s="216">
        <v>9</v>
      </c>
      <c r="Q13" s="216">
        <v>10</v>
      </c>
      <c r="R13" s="216">
        <v>11</v>
      </c>
      <c r="S13" s="216">
        <v>12</v>
      </c>
      <c r="T13" s="216">
        <v>13</v>
      </c>
      <c r="U13" s="216">
        <v>14</v>
      </c>
      <c r="V13" s="216">
        <v>15</v>
      </c>
      <c r="W13" s="216">
        <v>16</v>
      </c>
      <c r="X13" s="216">
        <v>17</v>
      </c>
      <c r="Y13" s="216">
        <v>18</v>
      </c>
      <c r="Z13" s="216">
        <v>19</v>
      </c>
      <c r="AA13" s="216">
        <v>20</v>
      </c>
      <c r="AB13" s="216">
        <v>21</v>
      </c>
      <c r="AC13" s="216">
        <v>22</v>
      </c>
      <c r="AD13" s="216">
        <v>23</v>
      </c>
      <c r="AE13" s="216">
        <v>24</v>
      </c>
      <c r="AF13" s="216">
        <v>25</v>
      </c>
      <c r="AG13" s="216">
        <v>26</v>
      </c>
      <c r="AH13" s="216">
        <v>27</v>
      </c>
      <c r="AI13" s="216">
        <v>28</v>
      </c>
      <c r="AJ13" s="216">
        <v>29</v>
      </c>
      <c r="AK13" s="216">
        <v>30</v>
      </c>
      <c r="AL13" s="216">
        <v>31</v>
      </c>
      <c r="AM13" s="216">
        <v>32</v>
      </c>
      <c r="AN13" s="216">
        <v>33</v>
      </c>
      <c r="AO13" s="216">
        <v>34</v>
      </c>
      <c r="AP13" s="216">
        <v>35</v>
      </c>
      <c r="AQ13" s="216">
        <v>36</v>
      </c>
      <c r="AR13" s="216">
        <v>37</v>
      </c>
      <c r="AS13" s="216">
        <v>38</v>
      </c>
      <c r="AT13" s="216">
        <v>39</v>
      </c>
      <c r="AU13" s="216">
        <v>40</v>
      </c>
      <c r="AV13" s="216">
        <v>41</v>
      </c>
      <c r="AW13" s="216">
        <v>42</v>
      </c>
      <c r="AX13" s="216">
        <v>43</v>
      </c>
      <c r="AY13" s="216">
        <v>44</v>
      </c>
      <c r="AZ13" s="216">
        <v>45</v>
      </c>
      <c r="BA13" s="216">
        <v>46</v>
      </c>
      <c r="BB13" s="216">
        <v>47</v>
      </c>
      <c r="BC13" s="216">
        <v>48</v>
      </c>
      <c r="BD13" s="216">
        <v>49</v>
      </c>
      <c r="BE13" s="216">
        <v>50</v>
      </c>
    </row>
    <row r="14" spans="1:57" ht="13.95" thickBot="1" x14ac:dyDescent="0.3">
      <c r="B14" s="33"/>
      <c r="C14" s="34"/>
      <c r="D14" s="34"/>
      <c r="E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row>
    <row r="15" spans="1:57" x14ac:dyDescent="0.25">
      <c r="B15" s="217" t="s">
        <v>165</v>
      </c>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9"/>
    </row>
    <row r="16" spans="1:57" x14ac:dyDescent="0.25">
      <c r="B16" s="220"/>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221"/>
      <c r="BD16" s="221"/>
      <c r="BE16" s="222"/>
    </row>
    <row r="17" spans="2:57" x14ac:dyDescent="0.25">
      <c r="B17" s="223"/>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2"/>
    </row>
    <row r="18" spans="2:57" x14ac:dyDescent="0.25">
      <c r="B18" s="223" t="s">
        <v>136</v>
      </c>
      <c r="C18" s="221"/>
      <c r="D18" s="221"/>
      <c r="E18" s="221"/>
      <c r="F18" s="221"/>
      <c r="G18" s="221"/>
      <c r="H18" s="224">
        <f>IF(H$13&gt;'II. Inputs, Baseline Energy Mix'!$N$18,0,1)</f>
        <v>1</v>
      </c>
      <c r="I18" s="221">
        <f>IF(I$13&gt;'II. Inputs, Baseline Energy Mix'!$N$18,0,1)</f>
        <v>1</v>
      </c>
      <c r="J18" s="221">
        <f>IF(J$13&gt;'II. Inputs, Baseline Energy Mix'!$N$18,0,1)</f>
        <v>1</v>
      </c>
      <c r="K18" s="221">
        <f>IF(K$13&gt;'II. Inputs, Baseline Energy Mix'!$N$18,0,1)</f>
        <v>1</v>
      </c>
      <c r="L18" s="221">
        <f>IF(L$13&gt;'II. Inputs, Baseline Energy Mix'!$N$18,0,1)</f>
        <v>1</v>
      </c>
      <c r="M18" s="221">
        <f>IF(M$13&gt;'II. Inputs, Baseline Energy Mix'!$N$18,0,1)</f>
        <v>1</v>
      </c>
      <c r="N18" s="221">
        <f>IF(N$13&gt;'II. Inputs, Baseline Energy Mix'!$N$18,0,1)</f>
        <v>1</v>
      </c>
      <c r="O18" s="221">
        <f>IF(O$13&gt;'II. Inputs, Baseline Energy Mix'!$N$18,0,1)</f>
        <v>1</v>
      </c>
      <c r="P18" s="221">
        <f>IF(P$13&gt;'II. Inputs, Baseline Energy Mix'!$N$18,0,1)</f>
        <v>1</v>
      </c>
      <c r="Q18" s="221">
        <f>IF(Q$13&gt;'II. Inputs, Baseline Energy Mix'!$N$18,0,1)</f>
        <v>1</v>
      </c>
      <c r="R18" s="221">
        <f>IF(R$13&gt;'II. Inputs, Baseline Energy Mix'!$N$18,0,1)</f>
        <v>1</v>
      </c>
      <c r="S18" s="221">
        <f>IF(S$13&gt;'II. Inputs, Baseline Energy Mix'!$N$18,0,1)</f>
        <v>1</v>
      </c>
      <c r="T18" s="221">
        <f>IF(T$13&gt;'II. Inputs, Baseline Energy Mix'!$N$18,0,1)</f>
        <v>1</v>
      </c>
      <c r="U18" s="221">
        <f>IF(U$13&gt;'II. Inputs, Baseline Energy Mix'!$N$18,0,1)</f>
        <v>1</v>
      </c>
      <c r="V18" s="221">
        <f>IF(V$13&gt;'II. Inputs, Baseline Energy Mix'!$N$18,0,1)</f>
        <v>1</v>
      </c>
      <c r="W18" s="221">
        <f>IF(W$13&gt;'II. Inputs, Baseline Energy Mix'!$N$18,0,1)</f>
        <v>1</v>
      </c>
      <c r="X18" s="221">
        <f>IF(X$13&gt;'II. Inputs, Baseline Energy Mix'!$N$18,0,1)</f>
        <v>1</v>
      </c>
      <c r="Y18" s="221">
        <f>IF(Y$13&gt;'II. Inputs, Baseline Energy Mix'!$N$18,0,1)</f>
        <v>1</v>
      </c>
      <c r="Z18" s="221">
        <f>IF(Z$13&gt;'II. Inputs, Baseline Energy Mix'!$N$18,0,1)</f>
        <v>1</v>
      </c>
      <c r="AA18" s="221">
        <f>IF(AA$13&gt;'II. Inputs, Baseline Energy Mix'!$N$18,0,1)</f>
        <v>1</v>
      </c>
      <c r="AB18" s="221">
        <f>IF(AB$13&gt;'II. Inputs, Baseline Energy Mix'!$N$18,0,1)</f>
        <v>1</v>
      </c>
      <c r="AC18" s="221">
        <f>IF(AC$13&gt;'II. Inputs, Baseline Energy Mix'!$N$18,0,1)</f>
        <v>1</v>
      </c>
      <c r="AD18" s="221">
        <f>IF(AD$13&gt;'II. Inputs, Baseline Energy Mix'!$N$18,0,1)</f>
        <v>1</v>
      </c>
      <c r="AE18" s="221">
        <f>IF(AE$13&gt;'II. Inputs, Baseline Energy Mix'!$N$18,0,1)</f>
        <v>1</v>
      </c>
      <c r="AF18" s="221">
        <f>IF(AF$13&gt;'II. Inputs, Baseline Energy Mix'!$N$18,0,1)</f>
        <v>1</v>
      </c>
      <c r="AG18" s="221">
        <f>IF(AG$13&gt;'II. Inputs, Baseline Energy Mix'!$N$18,0,1)</f>
        <v>0</v>
      </c>
      <c r="AH18" s="221">
        <f>IF(AH$13&gt;'II. Inputs, Baseline Energy Mix'!$N$18,0,1)</f>
        <v>0</v>
      </c>
      <c r="AI18" s="221">
        <f>IF(AI$13&gt;'II. Inputs, Baseline Energy Mix'!$N$18,0,1)</f>
        <v>0</v>
      </c>
      <c r="AJ18" s="221">
        <f>IF(AJ$13&gt;'II. Inputs, Baseline Energy Mix'!$N$18,0,1)</f>
        <v>0</v>
      </c>
      <c r="AK18" s="221">
        <f>IF(AK$13&gt;'II. Inputs, Baseline Energy Mix'!$N$18,0,1)</f>
        <v>0</v>
      </c>
      <c r="AL18" s="221">
        <f>IF(AL$13&gt;'II. Inputs, Baseline Energy Mix'!$N$18,0,1)</f>
        <v>0</v>
      </c>
      <c r="AM18" s="221">
        <f>IF(AM$13&gt;'II. Inputs, Baseline Energy Mix'!$N$18,0,1)</f>
        <v>0</v>
      </c>
      <c r="AN18" s="221">
        <f>IF(AN$13&gt;'II. Inputs, Baseline Energy Mix'!$N$18,0,1)</f>
        <v>0</v>
      </c>
      <c r="AO18" s="221">
        <f>IF(AO$13&gt;'II. Inputs, Baseline Energy Mix'!$N$18,0,1)</f>
        <v>0</v>
      </c>
      <c r="AP18" s="221">
        <f>IF(AP$13&gt;'II. Inputs, Baseline Energy Mix'!$N$18,0,1)</f>
        <v>0</v>
      </c>
      <c r="AQ18" s="221">
        <f>IF(AQ$13&gt;'II. Inputs, Baseline Energy Mix'!$N$18,0,1)</f>
        <v>0</v>
      </c>
      <c r="AR18" s="221">
        <f>IF(AR$13&gt;'II. Inputs, Baseline Energy Mix'!$N$18,0,1)</f>
        <v>0</v>
      </c>
      <c r="AS18" s="221">
        <f>IF(AS$13&gt;'II. Inputs, Baseline Energy Mix'!$N$18,0,1)</f>
        <v>0</v>
      </c>
      <c r="AT18" s="221">
        <f>IF(AT$13&gt;'II. Inputs, Baseline Energy Mix'!$N$18,0,1)</f>
        <v>0</v>
      </c>
      <c r="AU18" s="221">
        <f>IF(AU$13&gt;'II. Inputs, Baseline Energy Mix'!$N$18,0,1)</f>
        <v>0</v>
      </c>
      <c r="AV18" s="221">
        <f>IF(AV$13&gt;'II. Inputs, Baseline Energy Mix'!$N$18,0,1)</f>
        <v>0</v>
      </c>
      <c r="AW18" s="221">
        <f>IF(AW$13&gt;'II. Inputs, Baseline Energy Mix'!$N$18,0,1)</f>
        <v>0</v>
      </c>
      <c r="AX18" s="221">
        <f>IF(AX$13&gt;'II. Inputs, Baseline Energy Mix'!$N$18,0,1)</f>
        <v>0</v>
      </c>
      <c r="AY18" s="221">
        <f>IF(AY$13&gt;'II. Inputs, Baseline Energy Mix'!$N$18,0,1)</f>
        <v>0</v>
      </c>
      <c r="AZ18" s="221">
        <f>IF(AZ$13&gt;'II. Inputs, Baseline Energy Mix'!$N$18,0,1)</f>
        <v>0</v>
      </c>
      <c r="BA18" s="221">
        <f>IF(BA$13&gt;'II. Inputs, Baseline Energy Mix'!$N$18,0,1)</f>
        <v>0</v>
      </c>
      <c r="BB18" s="221">
        <f>IF(BB$13&gt;'II. Inputs, Baseline Energy Mix'!$N$18,0,1)</f>
        <v>0</v>
      </c>
      <c r="BC18" s="221">
        <f>IF(BC$13&gt;'II. Inputs, Baseline Energy Mix'!$N$18,0,1)</f>
        <v>0</v>
      </c>
      <c r="BD18" s="221">
        <f>IF(BD$13&gt;'II. Inputs, Baseline Energy Mix'!$N$18,0,1)</f>
        <v>0</v>
      </c>
      <c r="BE18" s="222">
        <f>IF(BE$13&gt;'II. Inputs, Baseline Energy Mix'!$N$18,0,1)</f>
        <v>0</v>
      </c>
    </row>
    <row r="19" spans="2:57" x14ac:dyDescent="0.25">
      <c r="B19" s="223"/>
      <c r="C19" s="221"/>
      <c r="D19" s="221"/>
      <c r="E19" s="221"/>
      <c r="F19" s="221"/>
      <c r="G19" s="221"/>
      <c r="H19" s="224"/>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2"/>
    </row>
    <row r="20" spans="2:57" x14ac:dyDescent="0.25">
      <c r="B20" s="223" t="s">
        <v>97</v>
      </c>
      <c r="C20" s="221"/>
      <c r="D20" s="221"/>
      <c r="E20" s="221"/>
      <c r="F20" s="225" t="s">
        <v>98</v>
      </c>
      <c r="G20" s="221"/>
      <c r="H20" s="226">
        <f>IF('II. Inputs, Baseline Energy Mix'!$N$15=0,0,'II. Inputs, Baseline Energy Mix'!$N$92*'II. Inputs, Baseline Energy Mix'!$N$16*H18)</f>
        <v>7000</v>
      </c>
      <c r="I20" s="226">
        <f>IF('II. Inputs, Baseline Energy Mix'!$N$15=0,0,'II. Inputs, Baseline Energy Mix'!$N$92*'II. Inputs, Baseline Energy Mix'!$N$16*I18)</f>
        <v>7000</v>
      </c>
      <c r="J20" s="226">
        <f>IF('II. Inputs, Baseline Energy Mix'!$N$15=0,0,'II. Inputs, Baseline Energy Mix'!$N$92*'II. Inputs, Baseline Energy Mix'!$N$16*J18)</f>
        <v>7000</v>
      </c>
      <c r="K20" s="226">
        <f>IF('II. Inputs, Baseline Energy Mix'!$N$15=0,0,'II. Inputs, Baseline Energy Mix'!$N$92*'II. Inputs, Baseline Energy Mix'!$N$16*K18)</f>
        <v>7000</v>
      </c>
      <c r="L20" s="226">
        <f>IF('II. Inputs, Baseline Energy Mix'!$N$15=0,0,'II. Inputs, Baseline Energy Mix'!$N$92*'II. Inputs, Baseline Energy Mix'!$N$16*L18)</f>
        <v>7000</v>
      </c>
      <c r="M20" s="226">
        <f>IF('II. Inputs, Baseline Energy Mix'!$N$15=0,0,'II. Inputs, Baseline Energy Mix'!$N$92*'II. Inputs, Baseline Energy Mix'!$N$16*M18)</f>
        <v>7000</v>
      </c>
      <c r="N20" s="226">
        <f>IF('II. Inputs, Baseline Energy Mix'!$N$15=0,0,'II. Inputs, Baseline Energy Mix'!$N$92*'II. Inputs, Baseline Energy Mix'!$N$16*N18)</f>
        <v>7000</v>
      </c>
      <c r="O20" s="226">
        <f>IF('II. Inputs, Baseline Energy Mix'!$N$15=0,0,'II. Inputs, Baseline Energy Mix'!$N$92*'II. Inputs, Baseline Energy Mix'!$N$16*O18)</f>
        <v>7000</v>
      </c>
      <c r="P20" s="226">
        <f>IF('II. Inputs, Baseline Energy Mix'!$N$15=0,0,'II. Inputs, Baseline Energy Mix'!$N$92*'II. Inputs, Baseline Energy Mix'!$N$16*P18)</f>
        <v>7000</v>
      </c>
      <c r="Q20" s="226">
        <f>IF('II. Inputs, Baseline Energy Mix'!$N$15=0,0,'II. Inputs, Baseline Energy Mix'!$N$92*'II. Inputs, Baseline Energy Mix'!$N$16*Q18)</f>
        <v>7000</v>
      </c>
      <c r="R20" s="226">
        <f>IF('II. Inputs, Baseline Energy Mix'!$N$15=0,0,'II. Inputs, Baseline Energy Mix'!$N$92*'II. Inputs, Baseline Energy Mix'!$N$16*R18)</f>
        <v>7000</v>
      </c>
      <c r="S20" s="226">
        <f>IF('II. Inputs, Baseline Energy Mix'!$N$15=0,0,'II. Inputs, Baseline Energy Mix'!$N$92*'II. Inputs, Baseline Energy Mix'!$N$16*S18)</f>
        <v>7000</v>
      </c>
      <c r="T20" s="226">
        <f>IF('II. Inputs, Baseline Energy Mix'!$N$15=0,0,'II. Inputs, Baseline Energy Mix'!$N$92*'II. Inputs, Baseline Energy Mix'!$N$16*T18)</f>
        <v>7000</v>
      </c>
      <c r="U20" s="226">
        <f>IF('II. Inputs, Baseline Energy Mix'!$N$15=0,0,'II. Inputs, Baseline Energy Mix'!$N$92*'II. Inputs, Baseline Energy Mix'!$N$16*U18)</f>
        <v>7000</v>
      </c>
      <c r="V20" s="226">
        <f>IF('II. Inputs, Baseline Energy Mix'!$N$15=0,0,'II. Inputs, Baseline Energy Mix'!$N$92*'II. Inputs, Baseline Energy Mix'!$N$16*V18)</f>
        <v>7000</v>
      </c>
      <c r="W20" s="226">
        <f>IF('II. Inputs, Baseline Energy Mix'!$N$15=0,0,'II. Inputs, Baseline Energy Mix'!$N$92*'II. Inputs, Baseline Energy Mix'!$N$16*W18)</f>
        <v>7000</v>
      </c>
      <c r="X20" s="226">
        <f>IF('II. Inputs, Baseline Energy Mix'!$N$15=0,0,'II. Inputs, Baseline Energy Mix'!$N$92*'II. Inputs, Baseline Energy Mix'!$N$16*X18)</f>
        <v>7000</v>
      </c>
      <c r="Y20" s="226">
        <f>IF('II. Inputs, Baseline Energy Mix'!$N$15=0,0,'II. Inputs, Baseline Energy Mix'!$N$92*'II. Inputs, Baseline Energy Mix'!$N$16*Y18)</f>
        <v>7000</v>
      </c>
      <c r="Z20" s="226">
        <f>IF('II. Inputs, Baseline Energy Mix'!$N$15=0,0,'II. Inputs, Baseline Energy Mix'!$N$92*'II. Inputs, Baseline Energy Mix'!$N$16*Z18)</f>
        <v>7000</v>
      </c>
      <c r="AA20" s="226">
        <f>IF('II. Inputs, Baseline Energy Mix'!$N$15=0,0,'II. Inputs, Baseline Energy Mix'!$N$92*'II. Inputs, Baseline Energy Mix'!$N$16*AA18)</f>
        <v>7000</v>
      </c>
      <c r="AB20" s="226">
        <f>IF('II. Inputs, Baseline Energy Mix'!$N$15=0,0,'II. Inputs, Baseline Energy Mix'!$N$92*'II. Inputs, Baseline Energy Mix'!$N$16*AB18)</f>
        <v>7000</v>
      </c>
      <c r="AC20" s="226">
        <f>IF('II. Inputs, Baseline Energy Mix'!$N$15=0,0,'II. Inputs, Baseline Energy Mix'!$N$92*'II. Inputs, Baseline Energy Mix'!$N$16*AC18)</f>
        <v>7000</v>
      </c>
      <c r="AD20" s="226">
        <f>IF('II. Inputs, Baseline Energy Mix'!$N$15=0,0,'II. Inputs, Baseline Energy Mix'!$N$92*'II. Inputs, Baseline Energy Mix'!$N$16*AD18)</f>
        <v>7000</v>
      </c>
      <c r="AE20" s="226">
        <f>IF('II. Inputs, Baseline Energy Mix'!$N$15=0,0,'II. Inputs, Baseline Energy Mix'!$N$92*'II. Inputs, Baseline Energy Mix'!$N$16*AE18)</f>
        <v>7000</v>
      </c>
      <c r="AF20" s="226">
        <f>IF('II. Inputs, Baseline Energy Mix'!$N$15=0,0,'II. Inputs, Baseline Energy Mix'!$N$92*'II. Inputs, Baseline Energy Mix'!$N$16*AF18)</f>
        <v>7000</v>
      </c>
      <c r="AG20" s="226">
        <f>IF('II. Inputs, Baseline Energy Mix'!$N$15=0,0,'II. Inputs, Baseline Energy Mix'!$N$92*'II. Inputs, Baseline Energy Mix'!$N$16*AG18)</f>
        <v>0</v>
      </c>
      <c r="AH20" s="226">
        <f>IF('II. Inputs, Baseline Energy Mix'!$N$15=0,0,'II. Inputs, Baseline Energy Mix'!$N$92*'II. Inputs, Baseline Energy Mix'!$N$16*AH18)</f>
        <v>0</v>
      </c>
      <c r="AI20" s="226">
        <f>IF('II. Inputs, Baseline Energy Mix'!$N$15=0,0,'II. Inputs, Baseline Energy Mix'!$N$92*'II. Inputs, Baseline Energy Mix'!$N$16*AI18)</f>
        <v>0</v>
      </c>
      <c r="AJ20" s="226">
        <f>IF('II. Inputs, Baseline Energy Mix'!$N$15=0,0,'II. Inputs, Baseline Energy Mix'!$N$92*'II. Inputs, Baseline Energy Mix'!$N$16*AJ18)</f>
        <v>0</v>
      </c>
      <c r="AK20" s="226">
        <f>IF('II. Inputs, Baseline Energy Mix'!$N$15=0,0,'II. Inputs, Baseline Energy Mix'!$N$92*'II. Inputs, Baseline Energy Mix'!$N$16*AK18)</f>
        <v>0</v>
      </c>
      <c r="AL20" s="226">
        <f>IF('II. Inputs, Baseline Energy Mix'!$N$15=0,0,'II. Inputs, Baseline Energy Mix'!$N$92*'II. Inputs, Baseline Energy Mix'!$N$16*AL18)</f>
        <v>0</v>
      </c>
      <c r="AM20" s="226">
        <f>IF('II. Inputs, Baseline Energy Mix'!$N$15=0,0,'II. Inputs, Baseline Energy Mix'!$N$92*'II. Inputs, Baseline Energy Mix'!$N$16*AM18)</f>
        <v>0</v>
      </c>
      <c r="AN20" s="226">
        <f>IF('II. Inputs, Baseline Energy Mix'!$N$15=0,0,'II. Inputs, Baseline Energy Mix'!$N$92*'II. Inputs, Baseline Energy Mix'!$N$16*AN18)</f>
        <v>0</v>
      </c>
      <c r="AO20" s="226">
        <f>IF('II. Inputs, Baseline Energy Mix'!$N$15=0,0,'II. Inputs, Baseline Energy Mix'!$N$92*'II. Inputs, Baseline Energy Mix'!$N$16*AO18)</f>
        <v>0</v>
      </c>
      <c r="AP20" s="226">
        <f>IF('II. Inputs, Baseline Energy Mix'!$N$15=0,0,'II. Inputs, Baseline Energy Mix'!$N$92*'II. Inputs, Baseline Energy Mix'!$N$16*AP18)</f>
        <v>0</v>
      </c>
      <c r="AQ20" s="226">
        <f>IF('II. Inputs, Baseline Energy Mix'!$N$15=0,0,'II. Inputs, Baseline Energy Mix'!$N$92*'II. Inputs, Baseline Energy Mix'!$N$16*AQ18)</f>
        <v>0</v>
      </c>
      <c r="AR20" s="226">
        <f>IF('II. Inputs, Baseline Energy Mix'!$N$15=0,0,'II. Inputs, Baseline Energy Mix'!$N$92*'II. Inputs, Baseline Energy Mix'!$N$16*AR18)</f>
        <v>0</v>
      </c>
      <c r="AS20" s="226">
        <f>IF('II. Inputs, Baseline Energy Mix'!$N$15=0,0,'II. Inputs, Baseline Energy Mix'!$N$92*'II. Inputs, Baseline Energy Mix'!$N$16*AS18)</f>
        <v>0</v>
      </c>
      <c r="AT20" s="226">
        <f>IF('II. Inputs, Baseline Energy Mix'!$N$15=0,0,'II. Inputs, Baseline Energy Mix'!$N$92*'II. Inputs, Baseline Energy Mix'!$N$16*AT18)</f>
        <v>0</v>
      </c>
      <c r="AU20" s="226">
        <f>IF('II. Inputs, Baseline Energy Mix'!$N$15=0,0,'II. Inputs, Baseline Energy Mix'!$N$92*'II. Inputs, Baseline Energy Mix'!$N$16*AU18)</f>
        <v>0</v>
      </c>
      <c r="AV20" s="226">
        <f>IF('II. Inputs, Baseline Energy Mix'!$N$15=0,0,'II. Inputs, Baseline Energy Mix'!$N$92*'II. Inputs, Baseline Energy Mix'!$N$16*AV18)</f>
        <v>0</v>
      </c>
      <c r="AW20" s="226">
        <f>IF('II. Inputs, Baseline Energy Mix'!$N$15=0,0,'II. Inputs, Baseline Energy Mix'!$N$92*'II. Inputs, Baseline Energy Mix'!$N$16*AW18)</f>
        <v>0</v>
      </c>
      <c r="AX20" s="226">
        <f>IF('II. Inputs, Baseline Energy Mix'!$N$15=0,0,'II. Inputs, Baseline Energy Mix'!$N$92*'II. Inputs, Baseline Energy Mix'!$N$16*AX18)</f>
        <v>0</v>
      </c>
      <c r="AY20" s="226">
        <f>IF('II. Inputs, Baseline Energy Mix'!$N$15=0,0,'II. Inputs, Baseline Energy Mix'!$N$92*'II. Inputs, Baseline Energy Mix'!$N$16*AY18)</f>
        <v>0</v>
      </c>
      <c r="AZ20" s="226">
        <f>IF('II. Inputs, Baseline Energy Mix'!$N$15=0,0,'II. Inputs, Baseline Energy Mix'!$N$92*'II. Inputs, Baseline Energy Mix'!$N$16*AZ18)</f>
        <v>0</v>
      </c>
      <c r="BA20" s="226">
        <f>IF('II. Inputs, Baseline Energy Mix'!$N$15=0,0,'II. Inputs, Baseline Energy Mix'!$N$92*'II. Inputs, Baseline Energy Mix'!$N$16*BA18)</f>
        <v>0</v>
      </c>
      <c r="BB20" s="226">
        <f>IF('II. Inputs, Baseline Energy Mix'!$N$15=0,0,'II. Inputs, Baseline Energy Mix'!$N$92*'II. Inputs, Baseline Energy Mix'!$N$16*BB18)</f>
        <v>0</v>
      </c>
      <c r="BC20" s="226">
        <f>IF('II. Inputs, Baseline Energy Mix'!$N$15=0,0,'II. Inputs, Baseline Energy Mix'!$N$92*'II. Inputs, Baseline Energy Mix'!$N$16*BC18)</f>
        <v>0</v>
      </c>
      <c r="BD20" s="226">
        <f>IF('II. Inputs, Baseline Energy Mix'!$N$15=0,0,'II. Inputs, Baseline Energy Mix'!$N$92*'II. Inputs, Baseline Energy Mix'!$N$16*BD18)</f>
        <v>0</v>
      </c>
      <c r="BE20" s="227">
        <f>IF('II. Inputs, Baseline Energy Mix'!$N$15=0,0,'II. Inputs, Baseline Energy Mix'!$N$92*'II. Inputs, Baseline Energy Mix'!$N$16*BE18)</f>
        <v>0</v>
      </c>
    </row>
    <row r="21" spans="2:57" x14ac:dyDescent="0.25">
      <c r="B21" s="223"/>
      <c r="C21" s="221"/>
      <c r="D21" s="221"/>
      <c r="E21" s="225"/>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222"/>
    </row>
    <row r="22" spans="2:57" x14ac:dyDescent="0.25">
      <c r="B22" s="228" t="s">
        <v>99</v>
      </c>
      <c r="C22" s="229"/>
      <c r="D22" s="229"/>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1"/>
    </row>
    <row r="23" spans="2:57" x14ac:dyDescent="0.25">
      <c r="B23" s="223"/>
      <c r="C23" s="221"/>
      <c r="D23" s="221"/>
      <c r="E23" s="225"/>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2"/>
    </row>
    <row r="24" spans="2:57" x14ac:dyDescent="0.25">
      <c r="B24" s="223" t="s">
        <v>137</v>
      </c>
      <c r="C24" s="221"/>
      <c r="D24" s="221"/>
      <c r="E24" s="225"/>
      <c r="F24" s="225" t="s">
        <v>631</v>
      </c>
      <c r="G24" s="221"/>
      <c r="H24" s="1233">
        <f>IF('II. Inputs, Baseline Energy Mix'!$N$15=0,0,H18*'II. Inputs, Baseline Energy Mix'!$N$105*(1+'II. Inputs, Baseline Energy Mix'!$N$106)^('IV. LCOE, Baseline Energy Mix'!H$13-1))</f>
        <v>25620.437956204376</v>
      </c>
      <c r="I24" s="1233">
        <f>IF('II. Inputs, Baseline Energy Mix'!$N$15=0,0,I18*'II. Inputs, Baseline Energy Mix'!$N$105*(1+'II. Inputs, Baseline Energy Mix'!$N$106)^('IV. LCOE, Baseline Energy Mix'!I$13-1))</f>
        <v>25620.437956204376</v>
      </c>
      <c r="J24" s="1233">
        <f>IF('II. Inputs, Baseline Energy Mix'!$N$15=0,0,J18*'II. Inputs, Baseline Energy Mix'!$N$105*(1+'II. Inputs, Baseline Energy Mix'!$N$106)^('IV. LCOE, Baseline Energy Mix'!J$13-1))</f>
        <v>25620.437956204376</v>
      </c>
      <c r="K24" s="1233">
        <f>IF('II. Inputs, Baseline Energy Mix'!$N$15=0,0,K18*'II. Inputs, Baseline Energy Mix'!$N$105*(1+'II. Inputs, Baseline Energy Mix'!$N$106)^('IV. LCOE, Baseline Energy Mix'!K$13-1))</f>
        <v>25620.437956204376</v>
      </c>
      <c r="L24" s="1233">
        <f>IF('II. Inputs, Baseline Energy Mix'!$N$15=0,0,L18*'II. Inputs, Baseline Energy Mix'!$N$105*(1+'II. Inputs, Baseline Energy Mix'!$N$106)^('IV. LCOE, Baseline Energy Mix'!L$13-1))</f>
        <v>25620.437956204376</v>
      </c>
      <c r="M24" s="1233">
        <f>IF('II. Inputs, Baseline Energy Mix'!$N$15=0,0,M18*'II. Inputs, Baseline Energy Mix'!$N$105*(1+'II. Inputs, Baseline Energy Mix'!$N$106)^('IV. LCOE, Baseline Energy Mix'!M$13-1))</f>
        <v>25620.437956204376</v>
      </c>
      <c r="N24" s="1233">
        <f>IF('II. Inputs, Baseline Energy Mix'!$N$15=0,0,N18*'II. Inputs, Baseline Energy Mix'!$N$105*(1+'II. Inputs, Baseline Energy Mix'!$N$106)^('IV. LCOE, Baseline Energy Mix'!N$13-1))</f>
        <v>25620.437956204376</v>
      </c>
      <c r="O24" s="1233">
        <f>IF('II. Inputs, Baseline Energy Mix'!$N$15=0,0,O18*'II. Inputs, Baseline Energy Mix'!$N$105*(1+'II. Inputs, Baseline Energy Mix'!$N$106)^('IV. LCOE, Baseline Energy Mix'!O$13-1))</f>
        <v>25620.437956204376</v>
      </c>
      <c r="P24" s="1233">
        <f>IF('II. Inputs, Baseline Energy Mix'!$N$15=0,0,P18*'II. Inputs, Baseline Energy Mix'!$N$105*(1+'II. Inputs, Baseline Energy Mix'!$N$106)^('IV. LCOE, Baseline Energy Mix'!P$13-1))</f>
        <v>25620.437956204376</v>
      </c>
      <c r="Q24" s="1233">
        <f>IF('II. Inputs, Baseline Energy Mix'!$N$15=0,0,Q18*'II. Inputs, Baseline Energy Mix'!$N$105*(1+'II. Inputs, Baseline Energy Mix'!$N$106)^('IV. LCOE, Baseline Energy Mix'!Q$13-1))</f>
        <v>25620.437956204376</v>
      </c>
      <c r="R24" s="1233">
        <f>IF('II. Inputs, Baseline Energy Mix'!$N$15=0,0,R18*'II. Inputs, Baseline Energy Mix'!$N$105*(1+'II. Inputs, Baseline Energy Mix'!$N$106)^('IV. LCOE, Baseline Energy Mix'!R$13-1))</f>
        <v>25620.437956204376</v>
      </c>
      <c r="S24" s="1233">
        <f>IF('II. Inputs, Baseline Energy Mix'!$N$15=0,0,S18*'II. Inputs, Baseline Energy Mix'!$N$105*(1+'II. Inputs, Baseline Energy Mix'!$N$106)^('IV. LCOE, Baseline Energy Mix'!S$13-1))</f>
        <v>25620.437956204376</v>
      </c>
      <c r="T24" s="1233">
        <f>IF('II. Inputs, Baseline Energy Mix'!$N$15=0,0,T18*'II. Inputs, Baseline Energy Mix'!$N$105*(1+'II. Inputs, Baseline Energy Mix'!$N$106)^('IV. LCOE, Baseline Energy Mix'!T$13-1))</f>
        <v>25620.437956204376</v>
      </c>
      <c r="U24" s="1233">
        <f>IF('II. Inputs, Baseline Energy Mix'!$N$15=0,0,U18*'II. Inputs, Baseline Energy Mix'!$N$105*(1+'II. Inputs, Baseline Energy Mix'!$N$106)^('IV. LCOE, Baseline Energy Mix'!U$13-1))</f>
        <v>25620.437956204376</v>
      </c>
      <c r="V24" s="1233">
        <f>IF('II. Inputs, Baseline Energy Mix'!$N$15=0,0,V18*'II. Inputs, Baseline Energy Mix'!$N$105*(1+'II. Inputs, Baseline Energy Mix'!$N$106)^('IV. LCOE, Baseline Energy Mix'!V$13-1))</f>
        <v>25620.437956204376</v>
      </c>
      <c r="W24" s="1233">
        <f>IF('II. Inputs, Baseline Energy Mix'!$N$15=0,0,W18*'II. Inputs, Baseline Energy Mix'!$N$105*(1+'II. Inputs, Baseline Energy Mix'!$N$106)^('IV. LCOE, Baseline Energy Mix'!W$13-1))</f>
        <v>25620.437956204376</v>
      </c>
      <c r="X24" s="1233">
        <f>IF('II. Inputs, Baseline Energy Mix'!$N$15=0,0,X18*'II. Inputs, Baseline Energy Mix'!$N$105*(1+'II. Inputs, Baseline Energy Mix'!$N$106)^('IV. LCOE, Baseline Energy Mix'!X$13-1))</f>
        <v>25620.437956204376</v>
      </c>
      <c r="Y24" s="1233">
        <f>IF('II. Inputs, Baseline Energy Mix'!$N$15=0,0,Y18*'II. Inputs, Baseline Energy Mix'!$N$105*(1+'II. Inputs, Baseline Energy Mix'!$N$106)^('IV. LCOE, Baseline Energy Mix'!Y$13-1))</f>
        <v>25620.437956204376</v>
      </c>
      <c r="Z24" s="1233">
        <f>IF('II. Inputs, Baseline Energy Mix'!$N$15=0,0,Z18*'II. Inputs, Baseline Energy Mix'!$N$105*(1+'II. Inputs, Baseline Energy Mix'!$N$106)^('IV. LCOE, Baseline Energy Mix'!Z$13-1))</f>
        <v>25620.437956204376</v>
      </c>
      <c r="AA24" s="1233">
        <f>IF('II. Inputs, Baseline Energy Mix'!$N$15=0,0,AA18*'II. Inputs, Baseline Energy Mix'!$N$105*(1+'II. Inputs, Baseline Energy Mix'!$N$106)^('IV. LCOE, Baseline Energy Mix'!AA$13-1))</f>
        <v>25620.437956204376</v>
      </c>
      <c r="AB24" s="1233">
        <f>IF('II. Inputs, Baseline Energy Mix'!$N$15=0,0,AB18*'II. Inputs, Baseline Energy Mix'!$N$105*(1+'II. Inputs, Baseline Energy Mix'!$N$106)^('IV. LCOE, Baseline Energy Mix'!AB$13-1))</f>
        <v>25620.437956204376</v>
      </c>
      <c r="AC24" s="1233">
        <f>IF('II. Inputs, Baseline Energy Mix'!$N$15=0,0,AC18*'II. Inputs, Baseline Energy Mix'!$N$105*(1+'II. Inputs, Baseline Energy Mix'!$N$106)^('IV. LCOE, Baseline Energy Mix'!AC$13-1))</f>
        <v>25620.437956204376</v>
      </c>
      <c r="AD24" s="1233">
        <f>IF('II. Inputs, Baseline Energy Mix'!$N$15=0,0,AD18*'II. Inputs, Baseline Energy Mix'!$N$105*(1+'II. Inputs, Baseline Energy Mix'!$N$106)^('IV. LCOE, Baseline Energy Mix'!AD$13-1))</f>
        <v>25620.437956204376</v>
      </c>
      <c r="AE24" s="1233">
        <f>IF('II. Inputs, Baseline Energy Mix'!$N$15=0,0,AE18*'II. Inputs, Baseline Energy Mix'!$N$105*(1+'II. Inputs, Baseline Energy Mix'!$N$106)^('IV. LCOE, Baseline Energy Mix'!AE$13-1))</f>
        <v>25620.437956204376</v>
      </c>
      <c r="AF24" s="1233">
        <f>IF('II. Inputs, Baseline Energy Mix'!$N$15=0,0,AF18*'II. Inputs, Baseline Energy Mix'!$N$105*(1+'II. Inputs, Baseline Energy Mix'!$N$106)^('IV. LCOE, Baseline Energy Mix'!AF$13-1))</f>
        <v>25620.437956204376</v>
      </c>
      <c r="AG24" s="1233">
        <f>IF('II. Inputs, Baseline Energy Mix'!$N$15=0,0,AG18*'II. Inputs, Baseline Energy Mix'!$N$105*(1+'II. Inputs, Baseline Energy Mix'!$N$106)^('IV. LCOE, Baseline Energy Mix'!AG$13-1))</f>
        <v>0</v>
      </c>
      <c r="AH24" s="1233">
        <f>IF('II. Inputs, Baseline Energy Mix'!$N$15=0,0,AH18*'II. Inputs, Baseline Energy Mix'!$N$105*(1+'II. Inputs, Baseline Energy Mix'!$N$106)^('IV. LCOE, Baseline Energy Mix'!AH$13-1))</f>
        <v>0</v>
      </c>
      <c r="AI24" s="1233">
        <f>IF('II. Inputs, Baseline Energy Mix'!$N$15=0,0,AI18*'II. Inputs, Baseline Energy Mix'!$N$105*(1+'II. Inputs, Baseline Energy Mix'!$N$106)^('IV. LCOE, Baseline Energy Mix'!AI$13-1))</f>
        <v>0</v>
      </c>
      <c r="AJ24" s="1233">
        <f>IF('II. Inputs, Baseline Energy Mix'!$N$15=0,0,AJ18*'II. Inputs, Baseline Energy Mix'!$N$105*(1+'II. Inputs, Baseline Energy Mix'!$N$106)^('IV. LCOE, Baseline Energy Mix'!AJ$13-1))</f>
        <v>0</v>
      </c>
      <c r="AK24" s="1233">
        <f>IF('II. Inputs, Baseline Energy Mix'!$N$15=0,0,AK18*'II. Inputs, Baseline Energy Mix'!$N$105*(1+'II. Inputs, Baseline Energy Mix'!$N$106)^('IV. LCOE, Baseline Energy Mix'!AK$13-1))</f>
        <v>0</v>
      </c>
      <c r="AL24" s="1233">
        <f>IF('II. Inputs, Baseline Energy Mix'!$N$15=0,0,AL18*'II. Inputs, Baseline Energy Mix'!$N$105*(1+'II. Inputs, Baseline Energy Mix'!$N$106)^('IV. LCOE, Baseline Energy Mix'!AL$13-1))</f>
        <v>0</v>
      </c>
      <c r="AM24" s="1233">
        <f>IF('II. Inputs, Baseline Energy Mix'!$N$15=0,0,AM18*'II. Inputs, Baseline Energy Mix'!$N$105*(1+'II. Inputs, Baseline Energy Mix'!$N$106)^('IV. LCOE, Baseline Energy Mix'!AM$13-1))</f>
        <v>0</v>
      </c>
      <c r="AN24" s="1233">
        <f>IF('II. Inputs, Baseline Energy Mix'!$N$15=0,0,AN18*'II. Inputs, Baseline Energy Mix'!$N$105*(1+'II. Inputs, Baseline Energy Mix'!$N$106)^('IV. LCOE, Baseline Energy Mix'!AN$13-1))</f>
        <v>0</v>
      </c>
      <c r="AO24" s="1233">
        <f>IF('II. Inputs, Baseline Energy Mix'!$N$15=0,0,AO18*'II. Inputs, Baseline Energy Mix'!$N$105*(1+'II. Inputs, Baseline Energy Mix'!$N$106)^('IV. LCOE, Baseline Energy Mix'!AO$13-1))</f>
        <v>0</v>
      </c>
      <c r="AP24" s="1233">
        <f>IF('II. Inputs, Baseline Energy Mix'!$N$15=0,0,AP18*'II. Inputs, Baseline Energy Mix'!$N$105*(1+'II. Inputs, Baseline Energy Mix'!$N$106)^('IV. LCOE, Baseline Energy Mix'!AP$13-1))</f>
        <v>0</v>
      </c>
      <c r="AQ24" s="1233">
        <f>IF('II. Inputs, Baseline Energy Mix'!$N$15=0,0,AQ18*'II. Inputs, Baseline Energy Mix'!$N$105*(1+'II. Inputs, Baseline Energy Mix'!$N$106)^('IV. LCOE, Baseline Energy Mix'!AQ$13-1))</f>
        <v>0</v>
      </c>
      <c r="AR24" s="1233">
        <f>IF('II. Inputs, Baseline Energy Mix'!$N$15=0,0,AR18*'II. Inputs, Baseline Energy Mix'!$N$105*(1+'II. Inputs, Baseline Energy Mix'!$N$106)^('IV. LCOE, Baseline Energy Mix'!AR$13-1))</f>
        <v>0</v>
      </c>
      <c r="AS24" s="1233">
        <f>IF('II. Inputs, Baseline Energy Mix'!$N$15=0,0,AS18*'II. Inputs, Baseline Energy Mix'!$N$105*(1+'II. Inputs, Baseline Energy Mix'!$N$106)^('IV. LCOE, Baseline Energy Mix'!AS$13-1))</f>
        <v>0</v>
      </c>
      <c r="AT24" s="1233">
        <f>IF('II. Inputs, Baseline Energy Mix'!$N$15=0,0,AT18*'II. Inputs, Baseline Energy Mix'!$N$105*(1+'II. Inputs, Baseline Energy Mix'!$N$106)^('IV. LCOE, Baseline Energy Mix'!AT$13-1))</f>
        <v>0</v>
      </c>
      <c r="AU24" s="1233">
        <f>IF('II. Inputs, Baseline Energy Mix'!$N$15=0,0,AU18*'II. Inputs, Baseline Energy Mix'!$N$105*(1+'II. Inputs, Baseline Energy Mix'!$N$106)^('IV. LCOE, Baseline Energy Mix'!AU$13-1))</f>
        <v>0</v>
      </c>
      <c r="AV24" s="1233">
        <f>IF('II. Inputs, Baseline Energy Mix'!$N$15=0,0,AV18*'II. Inputs, Baseline Energy Mix'!$N$105*(1+'II. Inputs, Baseline Energy Mix'!$N$106)^('IV. LCOE, Baseline Energy Mix'!AV$13-1))</f>
        <v>0</v>
      </c>
      <c r="AW24" s="1233">
        <f>IF('II. Inputs, Baseline Energy Mix'!$N$15=0,0,AW18*'II. Inputs, Baseline Energy Mix'!$N$105*(1+'II. Inputs, Baseline Energy Mix'!$N$106)^('IV. LCOE, Baseline Energy Mix'!AW$13-1))</f>
        <v>0</v>
      </c>
      <c r="AX24" s="1233">
        <f>IF('II. Inputs, Baseline Energy Mix'!$N$15=0,0,AX18*'II. Inputs, Baseline Energy Mix'!$N$105*(1+'II. Inputs, Baseline Energy Mix'!$N$106)^('IV. LCOE, Baseline Energy Mix'!AX$13-1))</f>
        <v>0</v>
      </c>
      <c r="AY24" s="1233">
        <f>IF('II. Inputs, Baseline Energy Mix'!$N$15=0,0,AY18*'II. Inputs, Baseline Energy Mix'!$N$105*(1+'II. Inputs, Baseline Energy Mix'!$N$106)^('IV. LCOE, Baseline Energy Mix'!AY$13-1))</f>
        <v>0</v>
      </c>
      <c r="AZ24" s="1233">
        <f>IF('II. Inputs, Baseline Energy Mix'!$N$15=0,0,AZ18*'II. Inputs, Baseline Energy Mix'!$N$105*(1+'II. Inputs, Baseline Energy Mix'!$N$106)^('IV. LCOE, Baseline Energy Mix'!AZ$13-1))</f>
        <v>0</v>
      </c>
      <c r="BA24" s="1233">
        <f>IF('II. Inputs, Baseline Energy Mix'!$N$15=0,0,BA18*'II. Inputs, Baseline Energy Mix'!$N$105*(1+'II. Inputs, Baseline Energy Mix'!$N$106)^('IV. LCOE, Baseline Energy Mix'!BA$13-1))</f>
        <v>0</v>
      </c>
      <c r="BB24" s="1233">
        <f>IF('II. Inputs, Baseline Energy Mix'!$N$15=0,0,BB18*'II. Inputs, Baseline Energy Mix'!$N$105*(1+'II. Inputs, Baseline Energy Mix'!$N$106)^('IV. LCOE, Baseline Energy Mix'!BB$13-1))</f>
        <v>0</v>
      </c>
      <c r="BC24" s="1233">
        <f>IF('II. Inputs, Baseline Energy Mix'!$N$15=0,0,BC18*'II. Inputs, Baseline Energy Mix'!$N$105*(1+'II. Inputs, Baseline Energy Mix'!$N$106)^('IV. LCOE, Baseline Energy Mix'!BC$13-1))</f>
        <v>0</v>
      </c>
      <c r="BD24" s="1233">
        <f>IF('II. Inputs, Baseline Energy Mix'!$N$15=0,0,BD18*'II. Inputs, Baseline Energy Mix'!$N$105*(1+'II. Inputs, Baseline Energy Mix'!$N$106)^('IV. LCOE, Baseline Energy Mix'!BD$13-1))</f>
        <v>0</v>
      </c>
      <c r="BE24" s="1234">
        <f>IF('II. Inputs, Baseline Energy Mix'!$N$15=0,0,BE18*'II. Inputs, Baseline Energy Mix'!$N$105*(1+'II. Inputs, Baseline Energy Mix'!$N$106)^('IV. LCOE, Baseline Energy Mix'!BE$13-1))</f>
        <v>0</v>
      </c>
    </row>
    <row r="25" spans="2:57" x14ac:dyDescent="0.25">
      <c r="B25" s="223"/>
      <c r="C25" s="221"/>
      <c r="D25" s="221"/>
      <c r="E25" s="225"/>
      <c r="F25" s="225"/>
      <c r="G25" s="221"/>
      <c r="H25" s="234"/>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3"/>
    </row>
    <row r="26" spans="2:57" x14ac:dyDescent="0.25">
      <c r="B26" s="223" t="s">
        <v>38</v>
      </c>
      <c r="C26" s="221"/>
      <c r="D26" s="221"/>
      <c r="E26" s="225"/>
      <c r="F26" s="225" t="s">
        <v>632</v>
      </c>
      <c r="G26" s="221"/>
      <c r="H26" s="1235">
        <f>IF('II. Inputs, Baseline Energy Mix'!$N$96="Model Default",'IV. LCOE, Baseline Energy Mix'!H27,IF('II. Inputs, Baseline Energy Mix'!$N$96="User-defined, annually adjusted",'IV. LCOE, Baseline Energy Mix'!H28,IF('II. Inputs, Baseline Energy Mix'!$N$96="Manual Entry",'IV. LCOE, Baseline Energy Mix'!H30,H29)))</f>
        <v>20.26870163370593</v>
      </c>
      <c r="I26" s="1235">
        <f>IF('II. Inputs, Baseline Energy Mix'!$N$96="Model Default",'IV. LCOE, Baseline Energy Mix'!I27,IF('II. Inputs, Baseline Energy Mix'!$N$96="User-defined, annually adjusted",'IV. LCOE, Baseline Energy Mix'!I28,IF('II. Inputs, Baseline Energy Mix'!$N$96="Manual Entry",'IV. LCOE, Baseline Energy Mix'!I30,I29)))</f>
        <v>20.922530718664184</v>
      </c>
      <c r="J26" s="1235">
        <f>IF('II. Inputs, Baseline Energy Mix'!$N$96="Model Default",'IV. LCOE, Baseline Energy Mix'!J27,IF('II. Inputs, Baseline Energy Mix'!$N$96="User-defined, annually adjusted",'IV. LCOE, Baseline Energy Mix'!J28,IF('II. Inputs, Baseline Energy Mix'!$N$96="Manual Entry",'IV. LCOE, Baseline Energy Mix'!J30,J29)))</f>
        <v>21.358416775303024</v>
      </c>
      <c r="K26" s="1235">
        <f>IF('II. Inputs, Baseline Energy Mix'!$N$96="Model Default",'IV. LCOE, Baseline Energy Mix'!K27,IF('II. Inputs, Baseline Energy Mix'!$N$96="User-defined, annually adjusted",'IV. LCOE, Baseline Energy Mix'!K28,IF('II. Inputs, Baseline Energy Mix'!$N$96="Manual Entry",'IV. LCOE, Baseline Energy Mix'!K30,K29)))</f>
        <v>21.794302831941859</v>
      </c>
      <c r="L26" s="1235">
        <f>IF('II. Inputs, Baseline Energy Mix'!$N$96="Model Default",'IV. LCOE, Baseline Energy Mix'!L27,IF('II. Inputs, Baseline Energy Mix'!$N$96="User-defined, annually adjusted",'IV. LCOE, Baseline Energy Mix'!L28,IF('II. Inputs, Baseline Energy Mix'!$N$96="Manual Entry",'IV. LCOE, Baseline Energy Mix'!L30,L29)))</f>
        <v>22.230188888580695</v>
      </c>
      <c r="M26" s="1235">
        <f>IF('II. Inputs, Baseline Energy Mix'!$N$96="Model Default",'IV. LCOE, Baseline Energy Mix'!M27,IF('II. Inputs, Baseline Energy Mix'!$N$96="User-defined, annually adjusted",'IV. LCOE, Baseline Energy Mix'!M28,IF('II. Inputs, Baseline Energy Mix'!$N$96="Manual Entry",'IV. LCOE, Baseline Energy Mix'!M30,M29)))</f>
        <v>22.666074945219535</v>
      </c>
      <c r="N26" s="1235">
        <f>IF('II. Inputs, Baseline Energy Mix'!$N$96="Model Default",'IV. LCOE, Baseline Energy Mix'!N27,IF('II. Inputs, Baseline Energy Mix'!$N$96="User-defined, annually adjusted",'IV. LCOE, Baseline Energy Mix'!N28,IF('II. Inputs, Baseline Energy Mix'!$N$96="Manual Entry",'IV. LCOE, Baseline Energy Mix'!N30,N29)))</f>
        <v>23.101961001858374</v>
      </c>
      <c r="O26" s="1235">
        <f>IF('II. Inputs, Baseline Energy Mix'!$N$96="Model Default",'IV. LCOE, Baseline Energy Mix'!O27,IF('II. Inputs, Baseline Energy Mix'!$N$96="User-defined, annually adjusted",'IV. LCOE, Baseline Energy Mix'!O28,IF('II. Inputs, Baseline Energy Mix'!$N$96="Manual Entry",'IV. LCOE, Baseline Energy Mix'!O30,O29)))</f>
        <v>23.581435664161095</v>
      </c>
      <c r="P26" s="1235">
        <f>IF('II. Inputs, Baseline Energy Mix'!$N$96="Model Default",'IV. LCOE, Baseline Energy Mix'!P27,IF('II. Inputs, Baseline Energy Mix'!$N$96="User-defined, annually adjusted",'IV. LCOE, Baseline Energy Mix'!P28,IF('II. Inputs, Baseline Energy Mix'!$N$96="Manual Entry",'IV. LCOE, Baseline Energy Mix'!P30,P29)))</f>
        <v>24.060910326463816</v>
      </c>
      <c r="Q26" s="1235">
        <f>IF('II. Inputs, Baseline Energy Mix'!$N$96="Model Default",'IV. LCOE, Baseline Energy Mix'!Q27,IF('II. Inputs, Baseline Energy Mix'!$N$96="User-defined, annually adjusted",'IV. LCOE, Baseline Energy Mix'!Q28,IF('II. Inputs, Baseline Energy Mix'!$N$96="Manual Entry",'IV. LCOE, Baseline Energy Mix'!Q30,Q29)))</f>
        <v>24.540384988766533</v>
      </c>
      <c r="R26" s="1235">
        <f>IF('II. Inputs, Baseline Energy Mix'!$N$96="Model Default",'IV. LCOE, Baseline Energy Mix'!R27,IF('II. Inputs, Baseline Energy Mix'!$N$96="User-defined, annually adjusted",'IV. LCOE, Baseline Energy Mix'!R28,IF('II. Inputs, Baseline Energy Mix'!$N$96="Manual Entry",'IV. LCOE, Baseline Energy Mix'!R30,R29)))</f>
        <v>25.019859651069254</v>
      </c>
      <c r="S26" s="1235">
        <f>IF('II. Inputs, Baseline Energy Mix'!$N$96="Model Default",'IV. LCOE, Baseline Energy Mix'!S27,IF('II. Inputs, Baseline Energy Mix'!$N$96="User-defined, annually adjusted",'IV. LCOE, Baseline Energy Mix'!S28,IF('II. Inputs, Baseline Energy Mix'!$N$96="Manual Entry",'IV. LCOE, Baseline Energy Mix'!S30,S29)))</f>
        <v>25.499334313371978</v>
      </c>
      <c r="T26" s="1235">
        <f>IF('II. Inputs, Baseline Energy Mix'!$N$96="Model Default",'IV. LCOE, Baseline Energy Mix'!T27,IF('II. Inputs, Baseline Energy Mix'!$N$96="User-defined, annually adjusted",'IV. LCOE, Baseline Energy Mix'!T28,IF('II. Inputs, Baseline Energy Mix'!$N$96="Manual Entry",'IV. LCOE, Baseline Energy Mix'!T30,T29)))</f>
        <v>26.065986187002462</v>
      </c>
      <c r="U26" s="1235">
        <f>IF('II. Inputs, Baseline Energy Mix'!$N$96="Model Default",'IV. LCOE, Baseline Energy Mix'!U27,IF('II. Inputs, Baseline Energy Mix'!$N$96="User-defined, annually adjusted",'IV. LCOE, Baseline Energy Mix'!U28,IF('II. Inputs, Baseline Energy Mix'!$N$96="Manual Entry",'IV. LCOE, Baseline Energy Mix'!U30,U29)))</f>
        <v>26.632638060632953</v>
      </c>
      <c r="V26" s="1235">
        <f>IF('II. Inputs, Baseline Energy Mix'!$N$96="Model Default",'IV. LCOE, Baseline Energy Mix'!V27,IF('II. Inputs, Baseline Energy Mix'!$N$96="User-defined, annually adjusted",'IV. LCOE, Baseline Energy Mix'!V28,IF('II. Inputs, Baseline Energy Mix'!$N$96="Manual Entry",'IV. LCOE, Baseline Energy Mix'!V30,V29)))</f>
        <v>27.19928993426344</v>
      </c>
      <c r="W26" s="1235">
        <f>IF('II. Inputs, Baseline Energy Mix'!$N$96="Model Default",'IV. LCOE, Baseline Energy Mix'!W27,IF('II. Inputs, Baseline Energy Mix'!$N$96="User-defined, annually adjusted",'IV. LCOE, Baseline Energy Mix'!W28,IF('II. Inputs, Baseline Energy Mix'!$N$96="Manual Entry",'IV. LCOE, Baseline Energy Mix'!W30,W29)))</f>
        <v>27.765941807893931</v>
      </c>
      <c r="X26" s="1235">
        <f>IF('II. Inputs, Baseline Energy Mix'!$N$96="Model Default",'IV. LCOE, Baseline Energy Mix'!X27,IF('II. Inputs, Baseline Energy Mix'!$N$96="User-defined, annually adjusted",'IV. LCOE, Baseline Energy Mix'!X28,IF('II. Inputs, Baseline Energy Mix'!$N$96="Manual Entry",'IV. LCOE, Baseline Energy Mix'!X30,X29)))</f>
        <v>28.332593681524422</v>
      </c>
      <c r="Y26" s="1235">
        <f>IF('II. Inputs, Baseline Energy Mix'!$N$96="Model Default",'IV. LCOE, Baseline Energy Mix'!Y27,IF('II. Inputs, Baseline Energy Mix'!$N$96="User-defined, annually adjusted",'IV. LCOE, Baseline Energy Mix'!Y28,IF('II. Inputs, Baseline Energy Mix'!$N$96="Manual Entry",'IV. LCOE, Baseline Energy Mix'!Y30,Y29)))</f>
        <v>28.986422766482676</v>
      </c>
      <c r="Z26" s="1235">
        <f>IF('II. Inputs, Baseline Energy Mix'!$N$96="Model Default",'IV. LCOE, Baseline Energy Mix'!Z27,IF('II. Inputs, Baseline Energy Mix'!$N$96="User-defined, annually adjusted",'IV. LCOE, Baseline Energy Mix'!Z28,IF('II. Inputs, Baseline Energy Mix'!$N$96="Manual Entry",'IV. LCOE, Baseline Energy Mix'!Z30,Z29)))</f>
        <v>29.640251851440933</v>
      </c>
      <c r="AA26" s="1235">
        <f>IF('II. Inputs, Baseline Energy Mix'!$N$96="Model Default",'IV. LCOE, Baseline Energy Mix'!AA27,IF('II. Inputs, Baseline Energy Mix'!$N$96="User-defined, annually adjusted",'IV. LCOE, Baseline Energy Mix'!AA28,IF('II. Inputs, Baseline Energy Mix'!$N$96="Manual Entry",'IV. LCOE, Baseline Energy Mix'!AA30,AA29)))</f>
        <v>30.294080936399187</v>
      </c>
      <c r="AB26" s="1235">
        <f>IF('II. Inputs, Baseline Energy Mix'!$N$96="Model Default",'IV. LCOE, Baseline Energy Mix'!AB27,IF('II. Inputs, Baseline Energy Mix'!$N$96="User-defined, annually adjusted",'IV. LCOE, Baseline Energy Mix'!AB28,IF('II. Inputs, Baseline Energy Mix'!$N$96="Manual Entry",'IV. LCOE, Baseline Energy Mix'!AB30,AB29)))</f>
        <v>30.947910021357441</v>
      </c>
      <c r="AC26" s="1235">
        <f>IF('II. Inputs, Baseline Energy Mix'!$N$96="Model Default",'IV. LCOE, Baseline Energy Mix'!AC27,IF('II. Inputs, Baseline Energy Mix'!$N$96="User-defined, annually adjusted",'IV. LCOE, Baseline Energy Mix'!AC28,IF('II. Inputs, Baseline Energy Mix'!$N$96="Manual Entry",'IV. LCOE, Baseline Energy Mix'!AC30,AC29)))</f>
        <v>31.601739106315698</v>
      </c>
      <c r="AD26" s="1235">
        <f>IF('II. Inputs, Baseline Energy Mix'!$N$96="Model Default",'IV. LCOE, Baseline Energy Mix'!AD27,IF('II. Inputs, Baseline Energy Mix'!$N$96="User-defined, annually adjusted",'IV. LCOE, Baseline Energy Mix'!AD28,IF('II. Inputs, Baseline Energy Mix'!$N$96="Manual Entry",'IV. LCOE, Baseline Energy Mix'!AD30,AD29)))</f>
        <v>32.386334008265607</v>
      </c>
      <c r="AE26" s="1235">
        <f>IF('II. Inputs, Baseline Energy Mix'!$N$96="Model Default",'IV. LCOE, Baseline Energy Mix'!AE27,IF('II. Inputs, Baseline Energy Mix'!$N$96="User-defined, annually adjusted",'IV. LCOE, Baseline Energy Mix'!AE28,IF('II. Inputs, Baseline Energy Mix'!$N$96="Manual Entry",'IV. LCOE, Baseline Energy Mix'!AE30,AE29)))</f>
        <v>33.170928910215508</v>
      </c>
      <c r="AF26" s="1235">
        <f>IF('II. Inputs, Baseline Energy Mix'!$N$96="Model Default",'IV. LCOE, Baseline Energy Mix'!AF27,IF('II. Inputs, Baseline Energy Mix'!$N$96="User-defined, annually adjusted",'IV. LCOE, Baseline Energy Mix'!AF28,IF('II. Inputs, Baseline Energy Mix'!$N$96="Manual Entry",'IV. LCOE, Baseline Energy Mix'!AF30,AF29)))</f>
        <v>33.955523812165417</v>
      </c>
      <c r="AG26" s="1235">
        <f>IF('II. Inputs, Baseline Energy Mix'!$N$96="Model Default",'IV. LCOE, Baseline Energy Mix'!AG27,IF('II. Inputs, Baseline Energy Mix'!$N$96="User-defined, annually adjusted",'IV. LCOE, Baseline Energy Mix'!AG28,IF('II. Inputs, Baseline Energy Mix'!$N$96="Manual Entry",'IV. LCOE, Baseline Energy Mix'!AG30,AG29)))</f>
        <v>0</v>
      </c>
      <c r="AH26" s="1235">
        <f>IF('II. Inputs, Baseline Energy Mix'!$N$96="Model Default",'IV. LCOE, Baseline Energy Mix'!AH27,IF('II. Inputs, Baseline Energy Mix'!$N$96="User-defined, annually adjusted",'IV. LCOE, Baseline Energy Mix'!AH28,IF('II. Inputs, Baseline Energy Mix'!$N$96="Manual Entry",'IV. LCOE, Baseline Energy Mix'!AH30,AH29)))</f>
        <v>0</v>
      </c>
      <c r="AI26" s="1235">
        <f>IF('II. Inputs, Baseline Energy Mix'!$N$96="Model Default",'IV. LCOE, Baseline Energy Mix'!AI27,IF('II. Inputs, Baseline Energy Mix'!$N$96="User-defined, annually adjusted",'IV. LCOE, Baseline Energy Mix'!AI28,IF('II. Inputs, Baseline Energy Mix'!$N$96="Manual Entry",'IV. LCOE, Baseline Energy Mix'!AI30,AI29)))</f>
        <v>0</v>
      </c>
      <c r="AJ26" s="1235">
        <f>IF('II. Inputs, Baseline Energy Mix'!$N$96="Model Default",'IV. LCOE, Baseline Energy Mix'!AJ27,IF('II. Inputs, Baseline Energy Mix'!$N$96="User-defined, annually adjusted",'IV. LCOE, Baseline Energy Mix'!AJ28,IF('II. Inputs, Baseline Energy Mix'!$N$96="Manual Entry",'IV. LCOE, Baseline Energy Mix'!AJ30,AJ29)))</f>
        <v>0</v>
      </c>
      <c r="AK26" s="1235">
        <f>IF('II. Inputs, Baseline Energy Mix'!$N$96="Model Default",'IV. LCOE, Baseline Energy Mix'!AK27,IF('II. Inputs, Baseline Energy Mix'!$N$96="User-defined, annually adjusted",'IV. LCOE, Baseline Energy Mix'!AK28,IF('II. Inputs, Baseline Energy Mix'!$N$96="Manual Entry",'IV. LCOE, Baseline Energy Mix'!AK30,AK29)))</f>
        <v>0</v>
      </c>
      <c r="AL26" s="1235">
        <f>IF('II. Inputs, Baseline Energy Mix'!$N$96="Model Default",'IV. LCOE, Baseline Energy Mix'!AL27,IF('II. Inputs, Baseline Energy Mix'!$N$96="User-defined, annually adjusted",'IV. LCOE, Baseline Energy Mix'!AL28,IF('II. Inputs, Baseline Energy Mix'!$N$96="Manual Entry",'IV. LCOE, Baseline Energy Mix'!AL30,AL29)))</f>
        <v>0</v>
      </c>
      <c r="AM26" s="1235">
        <f>IF('II. Inputs, Baseline Energy Mix'!$N$96="Model Default",'IV. LCOE, Baseline Energy Mix'!AM27,IF('II. Inputs, Baseline Energy Mix'!$N$96="User-defined, annually adjusted",'IV. LCOE, Baseline Energy Mix'!AM28,IF('II. Inputs, Baseline Energy Mix'!$N$96="Manual Entry",'IV. LCOE, Baseline Energy Mix'!AM30,AM29)))</f>
        <v>0</v>
      </c>
      <c r="AN26" s="1235">
        <f>IF('II. Inputs, Baseline Energy Mix'!$N$96="Model Default",'IV. LCOE, Baseline Energy Mix'!AN27,IF('II. Inputs, Baseline Energy Mix'!$N$96="User-defined, annually adjusted",'IV. LCOE, Baseline Energy Mix'!AN28,IF('II. Inputs, Baseline Energy Mix'!$N$96="Manual Entry",'IV. LCOE, Baseline Energy Mix'!AN30,AN29)))</f>
        <v>0</v>
      </c>
      <c r="AO26" s="1235">
        <f>IF('II. Inputs, Baseline Energy Mix'!$N$96="Model Default",'IV. LCOE, Baseline Energy Mix'!AO27,IF('II. Inputs, Baseline Energy Mix'!$N$96="User-defined, annually adjusted",'IV. LCOE, Baseline Energy Mix'!AO28,IF('II. Inputs, Baseline Energy Mix'!$N$96="Manual Entry",'IV. LCOE, Baseline Energy Mix'!AO30,AO29)))</f>
        <v>0</v>
      </c>
      <c r="AP26" s="1235">
        <f>IF('II. Inputs, Baseline Energy Mix'!$N$96="Model Default",'IV. LCOE, Baseline Energy Mix'!AP27,IF('II. Inputs, Baseline Energy Mix'!$N$96="User-defined, annually adjusted",'IV. LCOE, Baseline Energy Mix'!AP28,IF('II. Inputs, Baseline Energy Mix'!$N$96="Manual Entry",'IV. LCOE, Baseline Energy Mix'!AP30,AP29)))</f>
        <v>0</v>
      </c>
      <c r="AQ26" s="1235">
        <f>IF('II. Inputs, Baseline Energy Mix'!$N$96="Model Default",'IV. LCOE, Baseline Energy Mix'!AQ27,IF('II. Inputs, Baseline Energy Mix'!$N$96="User-defined, annually adjusted",'IV. LCOE, Baseline Energy Mix'!AQ28,IF('II. Inputs, Baseline Energy Mix'!$N$96="Manual Entry",'IV. LCOE, Baseline Energy Mix'!AQ30,AQ29)))</f>
        <v>0</v>
      </c>
      <c r="AR26" s="1235">
        <f>IF('II. Inputs, Baseline Energy Mix'!$N$96="Model Default",'IV. LCOE, Baseline Energy Mix'!AR27,IF('II. Inputs, Baseline Energy Mix'!$N$96="User-defined, annually adjusted",'IV. LCOE, Baseline Energy Mix'!AR28,IF('II. Inputs, Baseline Energy Mix'!$N$96="Manual Entry",'IV. LCOE, Baseline Energy Mix'!AR30,AR29)))</f>
        <v>0</v>
      </c>
      <c r="AS26" s="1235">
        <f>IF('II. Inputs, Baseline Energy Mix'!$N$96="Model Default",'IV. LCOE, Baseline Energy Mix'!AS27,IF('II. Inputs, Baseline Energy Mix'!$N$96="User-defined, annually adjusted",'IV. LCOE, Baseline Energy Mix'!AS28,IF('II. Inputs, Baseline Energy Mix'!$N$96="Manual Entry",'IV. LCOE, Baseline Energy Mix'!AS30,AS29)))</f>
        <v>0</v>
      </c>
      <c r="AT26" s="1235">
        <f>IF('II. Inputs, Baseline Energy Mix'!$N$96="Model Default",'IV. LCOE, Baseline Energy Mix'!AT27,IF('II. Inputs, Baseline Energy Mix'!$N$96="User-defined, annually adjusted",'IV. LCOE, Baseline Energy Mix'!AT28,IF('II. Inputs, Baseline Energy Mix'!$N$96="Manual Entry",'IV. LCOE, Baseline Energy Mix'!AT30,AT29)))</f>
        <v>0</v>
      </c>
      <c r="AU26" s="1235">
        <f>IF('II. Inputs, Baseline Energy Mix'!$N$96="Model Default",'IV. LCOE, Baseline Energy Mix'!AU27,IF('II. Inputs, Baseline Energy Mix'!$N$96="User-defined, annually adjusted",'IV. LCOE, Baseline Energy Mix'!AU28,IF('II. Inputs, Baseline Energy Mix'!$N$96="Manual Entry",'IV. LCOE, Baseline Energy Mix'!AU30,AU29)))</f>
        <v>0</v>
      </c>
      <c r="AV26" s="1235">
        <f>IF('II. Inputs, Baseline Energy Mix'!$N$96="Model Default",'IV. LCOE, Baseline Energy Mix'!AV27,IF('II. Inputs, Baseline Energy Mix'!$N$96="User-defined, annually adjusted",'IV. LCOE, Baseline Energy Mix'!AV28,IF('II. Inputs, Baseline Energy Mix'!$N$96="Manual Entry",'IV. LCOE, Baseline Energy Mix'!AV30,AV29)))</f>
        <v>0</v>
      </c>
      <c r="AW26" s="1235">
        <f>IF('II. Inputs, Baseline Energy Mix'!$N$96="Model Default",'IV. LCOE, Baseline Energy Mix'!AW27,IF('II. Inputs, Baseline Energy Mix'!$N$96="User-defined, annually adjusted",'IV. LCOE, Baseline Energy Mix'!AW28,IF('II. Inputs, Baseline Energy Mix'!$N$96="Manual Entry",'IV. LCOE, Baseline Energy Mix'!AW30,AW29)))</f>
        <v>0</v>
      </c>
      <c r="AX26" s="1235">
        <f>IF('II. Inputs, Baseline Energy Mix'!$N$96="Model Default",'IV. LCOE, Baseline Energy Mix'!AX27,IF('II. Inputs, Baseline Energy Mix'!$N$96="User-defined, annually adjusted",'IV. LCOE, Baseline Energy Mix'!AX28,IF('II. Inputs, Baseline Energy Mix'!$N$96="Manual Entry",'IV. LCOE, Baseline Energy Mix'!AX30,AX29)))</f>
        <v>0</v>
      </c>
      <c r="AY26" s="1235">
        <f>IF('II. Inputs, Baseline Energy Mix'!$N$96="Model Default",'IV. LCOE, Baseline Energy Mix'!AY27,IF('II. Inputs, Baseline Energy Mix'!$N$96="User-defined, annually adjusted",'IV. LCOE, Baseline Energy Mix'!AY28,IF('II. Inputs, Baseline Energy Mix'!$N$96="Manual Entry",'IV. LCOE, Baseline Energy Mix'!AY30,AY29)))</f>
        <v>0</v>
      </c>
      <c r="AZ26" s="1235">
        <f>IF('II. Inputs, Baseline Energy Mix'!$N$96="Model Default",'IV. LCOE, Baseline Energy Mix'!AZ27,IF('II. Inputs, Baseline Energy Mix'!$N$96="User-defined, annually adjusted",'IV. LCOE, Baseline Energy Mix'!AZ28,IF('II. Inputs, Baseline Energy Mix'!$N$96="Manual Entry",'IV. LCOE, Baseline Energy Mix'!AZ30,AZ29)))</f>
        <v>0</v>
      </c>
      <c r="BA26" s="1235">
        <f>IF('II. Inputs, Baseline Energy Mix'!$N$96="Model Default",'IV. LCOE, Baseline Energy Mix'!BA27,IF('II. Inputs, Baseline Energy Mix'!$N$96="User-defined, annually adjusted",'IV. LCOE, Baseline Energy Mix'!BA28,IF('II. Inputs, Baseline Energy Mix'!$N$96="Manual Entry",'IV. LCOE, Baseline Energy Mix'!BA30,BA29)))</f>
        <v>0</v>
      </c>
      <c r="BB26" s="1235">
        <f>IF('II. Inputs, Baseline Energy Mix'!$N$96="Model Default",'IV. LCOE, Baseline Energy Mix'!BB27,IF('II. Inputs, Baseline Energy Mix'!$N$96="User-defined, annually adjusted",'IV. LCOE, Baseline Energy Mix'!BB28,IF('II. Inputs, Baseline Energy Mix'!$N$96="Manual Entry",'IV. LCOE, Baseline Energy Mix'!BB30,BB29)))</f>
        <v>0</v>
      </c>
      <c r="BC26" s="1235">
        <f>IF('II. Inputs, Baseline Energy Mix'!$N$96="Model Default",'IV. LCOE, Baseline Energy Mix'!BC27,IF('II. Inputs, Baseline Energy Mix'!$N$96="User-defined, annually adjusted",'IV. LCOE, Baseline Energy Mix'!BC28,IF('II. Inputs, Baseline Energy Mix'!$N$96="Manual Entry",'IV. LCOE, Baseline Energy Mix'!BC30,BC29)))</f>
        <v>0</v>
      </c>
      <c r="BD26" s="1235">
        <f>IF('II. Inputs, Baseline Energy Mix'!$N$96="Model Default",'IV. LCOE, Baseline Energy Mix'!BD27,IF('II. Inputs, Baseline Energy Mix'!$N$96="User-defined, annually adjusted",'IV. LCOE, Baseline Energy Mix'!BD28,IF('II. Inputs, Baseline Energy Mix'!$N$96="Manual Entry",'IV. LCOE, Baseline Energy Mix'!BD30,BD29)))</f>
        <v>0</v>
      </c>
      <c r="BE26" s="1236">
        <f>IF('II. Inputs, Baseline Energy Mix'!$N$96="Model Default",'IV. LCOE, Baseline Energy Mix'!BE27,IF('II. Inputs, Baseline Energy Mix'!$N$96="User-defined, annually adjusted",'IV. LCOE, Baseline Energy Mix'!BE28,IF('II. Inputs, Baseline Energy Mix'!$N$96="Manual Entry",'IV. LCOE, Baseline Energy Mix'!BE30,BE29)))</f>
        <v>0</v>
      </c>
    </row>
    <row r="27" spans="2:57" outlineLevel="1" x14ac:dyDescent="0.25">
      <c r="B27" s="223"/>
      <c r="C27" s="221" t="s">
        <v>160</v>
      </c>
      <c r="D27" s="221"/>
      <c r="E27" s="225"/>
      <c r="F27" s="225"/>
      <c r="G27" s="221"/>
      <c r="H27" s="1235">
        <f>H18*VLOOKUP('IV. LCOE, Baseline Energy Mix'!H$13,'IX. Additional Data'!$C$17:$V$66,3, FALSE)</f>
        <v>12.84051251593011</v>
      </c>
      <c r="I27" s="1235">
        <f>I18*VLOOKUP('IV. LCOE, Baseline Energy Mix'!I$13,'IX. Additional Data'!$C$17:$V$66,3, FALSE)</f>
        <v>14.145768773895165</v>
      </c>
      <c r="J27" s="1235">
        <f>J18*VLOOKUP('IV. LCOE, Baseline Energy Mix'!J$13,'IX. Additional Data'!$C$17:$V$66,3, FALSE)</f>
        <v>15.451025031860219</v>
      </c>
      <c r="K27" s="1235">
        <f>K18*VLOOKUP('IV. LCOE, Baseline Energy Mix'!K$13,'IX. Additional Data'!$C$17:$V$66,3, FALSE)</f>
        <v>16.756281289825274</v>
      </c>
      <c r="L27" s="1235">
        <f>L18*VLOOKUP('IV. LCOE, Baseline Energy Mix'!L$13,'IX. Additional Data'!$C$17:$V$66,3, FALSE)</f>
        <v>18.06153754779033</v>
      </c>
      <c r="M27" s="1235">
        <f>M18*VLOOKUP('IV. LCOE, Baseline Energy Mix'!M$13,'IX. Additional Data'!$C$17:$V$66,3, FALSE)</f>
        <v>19.366793805755385</v>
      </c>
      <c r="N27" s="1235">
        <f>N18*VLOOKUP('IV. LCOE, Baseline Energy Mix'!N$13,'IX. Additional Data'!$C$17:$V$66,3, FALSE)</f>
        <v>20.672050063720441</v>
      </c>
      <c r="O27" s="1235">
        <f>O18*VLOOKUP('IV. LCOE, Baseline Energy Mix'!O$13,'IX. Additional Data'!$C$17:$V$66,3, FALSE)</f>
        <v>21.977306321685496</v>
      </c>
      <c r="P27" s="1235">
        <f>P18*VLOOKUP('IV. LCOE, Baseline Energy Mix'!P$13,'IX. Additional Data'!$C$17:$V$66,3, FALSE)</f>
        <v>23.282562579650548</v>
      </c>
      <c r="Q27" s="1235">
        <f>Q18*VLOOKUP('IV. LCOE, Baseline Energy Mix'!Q$13,'IX. Additional Data'!$C$17:$V$66,3, FALSE)</f>
        <v>24.587818837615604</v>
      </c>
      <c r="R27" s="1235">
        <f>R18*VLOOKUP('IV. LCOE, Baseline Energy Mix'!R$13,'IX. Additional Data'!$C$17:$V$66,3, FALSE)</f>
        <v>25.893075095580659</v>
      </c>
      <c r="S27" s="1235">
        <f>S18*VLOOKUP('IV. LCOE, Baseline Energy Mix'!S$13,'IX. Additional Data'!$C$17:$V$66,3, FALSE)</f>
        <v>27.198331353545715</v>
      </c>
      <c r="T27" s="1235">
        <f>T18*VLOOKUP('IV. LCOE, Baseline Energy Mix'!T$13,'IX. Additional Data'!$C$17:$V$66,3, FALSE)</f>
        <v>28.503587611510767</v>
      </c>
      <c r="U27" s="1235">
        <f>U18*VLOOKUP('IV. LCOE, Baseline Energy Mix'!U$13,'IX. Additional Data'!$C$17:$V$66,3, FALSE)</f>
        <v>29.808843869475822</v>
      </c>
      <c r="V27" s="1235">
        <f>V18*VLOOKUP('IV. LCOE, Baseline Energy Mix'!V$13,'IX. Additional Data'!$C$17:$V$66,3, FALSE)</f>
        <v>31.114100127440878</v>
      </c>
      <c r="W27" s="1235">
        <f>W18*VLOOKUP('IV. LCOE, Baseline Energy Mix'!W$13,'IX. Additional Data'!$C$17:$V$66,3, FALSE)</f>
        <v>32.419356385405933</v>
      </c>
      <c r="X27" s="1235">
        <f>X18*VLOOKUP('IV. LCOE, Baseline Energy Mix'!X$13,'IX. Additional Data'!$C$17:$V$66,3, FALSE)</f>
        <v>33.724612643370989</v>
      </c>
      <c r="Y27" s="1235">
        <f>Y18*VLOOKUP('IV. LCOE, Baseline Energy Mix'!Y$13,'IX. Additional Data'!$C$17:$V$66,3, FALSE)</f>
        <v>35.029868901336044</v>
      </c>
      <c r="Z27" s="1235">
        <f>Z18*VLOOKUP('IV. LCOE, Baseline Energy Mix'!Z$13,'IX. Additional Data'!$C$17:$V$66,3, FALSE)</f>
        <v>36.3351251593011</v>
      </c>
      <c r="AA27" s="1235">
        <f>AA18*VLOOKUP('IV. LCOE, Baseline Energy Mix'!AA$13,'IX. Additional Data'!$C$17:$V$66,3, FALSE)</f>
        <v>37.577556476360257</v>
      </c>
      <c r="AB27" s="1235">
        <f>AB18*VLOOKUP('IV. LCOE, Baseline Energy Mix'!AB$13,'IX. Additional Data'!$C$17:$V$66,3, FALSE)</f>
        <v>38.819987793419422</v>
      </c>
      <c r="AC27" s="1235">
        <f>AC18*VLOOKUP('IV. LCOE, Baseline Energy Mix'!AC$13,'IX. Additional Data'!$C$17:$V$66,3, FALSE)</f>
        <v>40.062419110478587</v>
      </c>
      <c r="AD27" s="1235">
        <f>AD18*VLOOKUP('IV. LCOE, Baseline Energy Mix'!AD$13,'IX. Additional Data'!$C$17:$V$66,3, FALSE)</f>
        <v>41.304850427537744</v>
      </c>
      <c r="AE27" s="1235">
        <f>AE18*VLOOKUP('IV. LCOE, Baseline Energy Mix'!AE$13,'IX. Additional Data'!$C$17:$V$66,3, FALSE)</f>
        <v>42.547281744596908</v>
      </c>
      <c r="AF27" s="1235">
        <f>AF18*VLOOKUP('IV. LCOE, Baseline Energy Mix'!AF$13,'IX. Additional Data'!$C$17:$V$66,3, FALSE)</f>
        <v>43.789713061656073</v>
      </c>
      <c r="AG27" s="1235">
        <f>AG18*VLOOKUP('IV. LCOE, Baseline Energy Mix'!AG$13,'IX. Additional Data'!$C$17:$V$66,3, FALSE)</f>
        <v>0</v>
      </c>
      <c r="AH27" s="1235">
        <f>AH18*VLOOKUP('IV. LCOE, Baseline Energy Mix'!AH$13,'IX. Additional Data'!$C$17:$V$66,3, FALSE)</f>
        <v>0</v>
      </c>
      <c r="AI27" s="1235">
        <f>AI18*VLOOKUP('IV. LCOE, Baseline Energy Mix'!AI$13,'IX. Additional Data'!$C$17:$V$66,3, FALSE)</f>
        <v>0</v>
      </c>
      <c r="AJ27" s="1235">
        <f>AJ18*VLOOKUP('IV. LCOE, Baseline Energy Mix'!AJ$13,'IX. Additional Data'!$C$17:$V$66,3, FALSE)</f>
        <v>0</v>
      </c>
      <c r="AK27" s="1235">
        <f>AK18*VLOOKUP('IV. LCOE, Baseline Energy Mix'!AK$13,'IX. Additional Data'!$C$17:$V$66,3, FALSE)</f>
        <v>0</v>
      </c>
      <c r="AL27" s="1235">
        <f>AL18*VLOOKUP('IV. LCOE, Baseline Energy Mix'!AL$13,'IX. Additional Data'!$C$17:$V$66,3, FALSE)</f>
        <v>0</v>
      </c>
      <c r="AM27" s="1235">
        <f>AM18*VLOOKUP('IV. LCOE, Baseline Energy Mix'!AM$13,'IX. Additional Data'!$C$17:$V$66,3, FALSE)</f>
        <v>0</v>
      </c>
      <c r="AN27" s="1235">
        <f>AN18*VLOOKUP('IV. LCOE, Baseline Energy Mix'!AN$13,'IX. Additional Data'!$C$17:$V$66,3, FALSE)</f>
        <v>0</v>
      </c>
      <c r="AO27" s="1235">
        <f>AO18*VLOOKUP('IV. LCOE, Baseline Energy Mix'!AO$13,'IX. Additional Data'!$C$17:$V$66,3, FALSE)</f>
        <v>0</v>
      </c>
      <c r="AP27" s="1235">
        <f>AP18*VLOOKUP('IV. LCOE, Baseline Energy Mix'!AP$13,'IX. Additional Data'!$C$17:$V$66,3, FALSE)</f>
        <v>0</v>
      </c>
      <c r="AQ27" s="1235">
        <f>AQ18*VLOOKUP('IV. LCOE, Baseline Energy Mix'!AQ$13,'IX. Additional Data'!$C$17:$V$66,3, FALSE)</f>
        <v>0</v>
      </c>
      <c r="AR27" s="1235">
        <f>AR18*VLOOKUP('IV. LCOE, Baseline Energy Mix'!AR$13,'IX. Additional Data'!$C$17:$V$66,3, FALSE)</f>
        <v>0</v>
      </c>
      <c r="AS27" s="1235">
        <f>AS18*VLOOKUP('IV. LCOE, Baseline Energy Mix'!AS$13,'IX. Additional Data'!$C$17:$V$66,3, FALSE)</f>
        <v>0</v>
      </c>
      <c r="AT27" s="1235">
        <f>AT18*VLOOKUP('IV. LCOE, Baseline Energy Mix'!AT$13,'IX. Additional Data'!$C$17:$V$66,3, FALSE)</f>
        <v>0</v>
      </c>
      <c r="AU27" s="1235">
        <f>AU18*VLOOKUP('IV. LCOE, Baseline Energy Mix'!AU$13,'IX. Additional Data'!$C$17:$V$66,3, FALSE)</f>
        <v>0</v>
      </c>
      <c r="AV27" s="1235">
        <f>AV18*VLOOKUP('IV. LCOE, Baseline Energy Mix'!AV$13,'IX. Additional Data'!$C$17:$V$66,3, FALSE)</f>
        <v>0</v>
      </c>
      <c r="AW27" s="1235">
        <f>AW18*VLOOKUP('IV. LCOE, Baseline Energy Mix'!AW$13,'IX. Additional Data'!$C$17:$V$66,3, FALSE)</f>
        <v>0</v>
      </c>
      <c r="AX27" s="1235">
        <f>AX18*VLOOKUP('IV. LCOE, Baseline Energy Mix'!AX$13,'IX. Additional Data'!$C$17:$V$66,3, FALSE)</f>
        <v>0</v>
      </c>
      <c r="AY27" s="1235">
        <f>AY18*VLOOKUP('IV. LCOE, Baseline Energy Mix'!AY$13,'IX. Additional Data'!$C$17:$V$66,3, FALSE)</f>
        <v>0</v>
      </c>
      <c r="AZ27" s="1235">
        <f>AZ18*VLOOKUP('IV. LCOE, Baseline Energy Mix'!AZ$13,'IX. Additional Data'!$C$17:$V$66,3, FALSE)</f>
        <v>0</v>
      </c>
      <c r="BA27" s="1235">
        <f>BA18*VLOOKUP('IV. LCOE, Baseline Energy Mix'!BA$13,'IX. Additional Data'!$C$17:$V$66,3, FALSE)</f>
        <v>0</v>
      </c>
      <c r="BB27" s="1235">
        <f>BB18*VLOOKUP('IV. LCOE, Baseline Energy Mix'!BB$13,'IX. Additional Data'!$C$17:$V$66,3, FALSE)</f>
        <v>0</v>
      </c>
      <c r="BC27" s="1235">
        <f>BC18*VLOOKUP('IV. LCOE, Baseline Energy Mix'!BC$13,'IX. Additional Data'!$C$17:$V$66,3, FALSE)</f>
        <v>0</v>
      </c>
      <c r="BD27" s="1235">
        <f>BD18*VLOOKUP('IV. LCOE, Baseline Energy Mix'!BD$13,'IX. Additional Data'!$C$17:$V$66,3, FALSE)</f>
        <v>0</v>
      </c>
      <c r="BE27" s="1236">
        <f>BE18*VLOOKUP('IV. LCOE, Baseline Energy Mix'!BE$13,'IX. Additional Data'!$C$17:$V$66,3, FALSE)</f>
        <v>0</v>
      </c>
    </row>
    <row r="28" spans="2:57" outlineLevel="1" x14ac:dyDescent="0.25">
      <c r="B28" s="223"/>
      <c r="C28" s="221" t="s">
        <v>161</v>
      </c>
      <c r="D28" s="221"/>
      <c r="E28" s="225"/>
      <c r="F28" s="225"/>
      <c r="G28" s="221"/>
      <c r="H28" s="1235">
        <f xml:space="preserve"> H18*'II. Inputs, Baseline Energy Mix'!$N$98*(1+'II. Inputs, Baseline Energy Mix'!$N$99)^('IV. LCOE, Baseline Energy Mix'!H$13-1)</f>
        <v>0</v>
      </c>
      <c r="I28" s="1235">
        <f xml:space="preserve"> I18*'II. Inputs, Baseline Energy Mix'!$N$98*(1+'II. Inputs, Baseline Energy Mix'!$N$99)^('IV. LCOE, Baseline Energy Mix'!I$13-1)</f>
        <v>0</v>
      </c>
      <c r="J28" s="1235">
        <f xml:space="preserve"> J18*'II. Inputs, Baseline Energy Mix'!$N$98*(1+'II. Inputs, Baseline Energy Mix'!$N$99)^('IV. LCOE, Baseline Energy Mix'!J$13-1)</f>
        <v>0</v>
      </c>
      <c r="K28" s="1235">
        <f xml:space="preserve"> K18*'II. Inputs, Baseline Energy Mix'!$N$98*(1+'II. Inputs, Baseline Energy Mix'!$N$99)^('IV. LCOE, Baseline Energy Mix'!K$13-1)</f>
        <v>0</v>
      </c>
      <c r="L28" s="1235">
        <f xml:space="preserve"> L18*'II. Inputs, Baseline Energy Mix'!$N$98*(1+'II. Inputs, Baseline Energy Mix'!$N$99)^('IV. LCOE, Baseline Energy Mix'!L$13-1)</f>
        <v>0</v>
      </c>
      <c r="M28" s="1235">
        <f xml:space="preserve"> M18*'II. Inputs, Baseline Energy Mix'!$N$98*(1+'II. Inputs, Baseline Energy Mix'!$N$99)^('IV. LCOE, Baseline Energy Mix'!M$13-1)</f>
        <v>0</v>
      </c>
      <c r="N28" s="1235">
        <f xml:space="preserve"> N18*'II. Inputs, Baseline Energy Mix'!$N$98*(1+'II. Inputs, Baseline Energy Mix'!$N$99)^('IV. LCOE, Baseline Energy Mix'!N$13-1)</f>
        <v>0</v>
      </c>
      <c r="O28" s="1235">
        <f xml:space="preserve"> O18*'II. Inputs, Baseline Energy Mix'!$N$98*(1+'II. Inputs, Baseline Energy Mix'!$N$99)^('IV. LCOE, Baseline Energy Mix'!O$13-1)</f>
        <v>0</v>
      </c>
      <c r="P28" s="1235">
        <f xml:space="preserve"> P18*'II. Inputs, Baseline Energy Mix'!$N$98*(1+'II. Inputs, Baseline Energy Mix'!$N$99)^('IV. LCOE, Baseline Energy Mix'!P$13-1)</f>
        <v>0</v>
      </c>
      <c r="Q28" s="1235">
        <f xml:space="preserve"> Q18*'II. Inputs, Baseline Energy Mix'!$N$98*(1+'II. Inputs, Baseline Energy Mix'!$N$99)^('IV. LCOE, Baseline Energy Mix'!Q$13-1)</f>
        <v>0</v>
      </c>
      <c r="R28" s="1235">
        <f xml:space="preserve"> R18*'II. Inputs, Baseline Energy Mix'!$N$98*(1+'II. Inputs, Baseline Energy Mix'!$N$99)^('IV. LCOE, Baseline Energy Mix'!R$13-1)</f>
        <v>0</v>
      </c>
      <c r="S28" s="1235">
        <f xml:space="preserve"> S18*'II. Inputs, Baseline Energy Mix'!$N$98*(1+'II. Inputs, Baseline Energy Mix'!$N$99)^('IV. LCOE, Baseline Energy Mix'!S$13-1)</f>
        <v>0</v>
      </c>
      <c r="T28" s="1235">
        <f xml:space="preserve"> T18*'II. Inputs, Baseline Energy Mix'!$N$98*(1+'II. Inputs, Baseline Energy Mix'!$N$99)^('IV. LCOE, Baseline Energy Mix'!T$13-1)</f>
        <v>0</v>
      </c>
      <c r="U28" s="1235">
        <f xml:space="preserve"> U18*'II. Inputs, Baseline Energy Mix'!$N$98*(1+'II. Inputs, Baseline Energy Mix'!$N$99)^('IV. LCOE, Baseline Energy Mix'!U$13-1)</f>
        <v>0</v>
      </c>
      <c r="V28" s="1235">
        <f xml:space="preserve"> V18*'II. Inputs, Baseline Energy Mix'!$N$98*(1+'II. Inputs, Baseline Energy Mix'!$N$99)^('IV. LCOE, Baseline Energy Mix'!V$13-1)</f>
        <v>0</v>
      </c>
      <c r="W28" s="1235">
        <f xml:space="preserve"> W18*'II. Inputs, Baseline Energy Mix'!$N$98*(1+'II. Inputs, Baseline Energy Mix'!$N$99)^('IV. LCOE, Baseline Energy Mix'!W$13-1)</f>
        <v>0</v>
      </c>
      <c r="X28" s="1235">
        <f xml:space="preserve"> X18*'II. Inputs, Baseline Energy Mix'!$N$98*(1+'II. Inputs, Baseline Energy Mix'!$N$99)^('IV. LCOE, Baseline Energy Mix'!X$13-1)</f>
        <v>0</v>
      </c>
      <c r="Y28" s="1235">
        <f xml:space="preserve"> Y18*'II. Inputs, Baseline Energy Mix'!$N$98*(1+'II. Inputs, Baseline Energy Mix'!$N$99)^('IV. LCOE, Baseline Energy Mix'!Y$13-1)</f>
        <v>0</v>
      </c>
      <c r="Z28" s="1235">
        <f xml:space="preserve"> Z18*'II. Inputs, Baseline Energy Mix'!$N$98*(1+'II. Inputs, Baseline Energy Mix'!$N$99)^('IV. LCOE, Baseline Energy Mix'!Z$13-1)</f>
        <v>0</v>
      </c>
      <c r="AA28" s="1235">
        <f xml:space="preserve"> AA18*'II. Inputs, Baseline Energy Mix'!$N$98*(1+'II. Inputs, Baseline Energy Mix'!$N$99)^('IV. LCOE, Baseline Energy Mix'!AA$13-1)</f>
        <v>0</v>
      </c>
      <c r="AB28" s="1235">
        <f xml:space="preserve"> AB18*'II. Inputs, Baseline Energy Mix'!$N$98*(1+'II. Inputs, Baseline Energy Mix'!$N$99)^('IV. LCOE, Baseline Energy Mix'!AB$13-1)</f>
        <v>0</v>
      </c>
      <c r="AC28" s="1235">
        <f xml:space="preserve"> AC18*'II. Inputs, Baseline Energy Mix'!$N$98*(1+'II. Inputs, Baseline Energy Mix'!$N$99)^('IV. LCOE, Baseline Energy Mix'!AC$13-1)</f>
        <v>0</v>
      </c>
      <c r="AD28" s="1235">
        <f xml:space="preserve"> AD18*'II. Inputs, Baseline Energy Mix'!$N$98*(1+'II. Inputs, Baseline Energy Mix'!$N$99)^('IV. LCOE, Baseline Energy Mix'!AD$13-1)</f>
        <v>0</v>
      </c>
      <c r="AE28" s="1235">
        <f xml:space="preserve"> AE18*'II. Inputs, Baseline Energy Mix'!$N$98*(1+'II. Inputs, Baseline Energy Mix'!$N$99)^('IV. LCOE, Baseline Energy Mix'!AE$13-1)</f>
        <v>0</v>
      </c>
      <c r="AF28" s="1235">
        <f xml:space="preserve"> AF18*'II. Inputs, Baseline Energy Mix'!$N$98*(1+'II. Inputs, Baseline Energy Mix'!$N$99)^('IV. LCOE, Baseline Energy Mix'!AF$13-1)</f>
        <v>0</v>
      </c>
      <c r="AG28" s="1235">
        <f xml:space="preserve"> AG18*'II. Inputs, Baseline Energy Mix'!$N$98*(1+'II. Inputs, Baseline Energy Mix'!$N$99)^('IV. LCOE, Baseline Energy Mix'!AG$13-1)</f>
        <v>0</v>
      </c>
      <c r="AH28" s="1235">
        <f xml:space="preserve"> AH18*'II. Inputs, Baseline Energy Mix'!$N$98*(1+'II. Inputs, Baseline Energy Mix'!$N$99)^('IV. LCOE, Baseline Energy Mix'!AH$13-1)</f>
        <v>0</v>
      </c>
      <c r="AI28" s="1235">
        <f xml:space="preserve"> AI18*'II. Inputs, Baseline Energy Mix'!$N$98*(1+'II. Inputs, Baseline Energy Mix'!$N$99)^('IV. LCOE, Baseline Energy Mix'!AI$13-1)</f>
        <v>0</v>
      </c>
      <c r="AJ28" s="1235">
        <f xml:space="preserve"> AJ18*'II. Inputs, Baseline Energy Mix'!$N$98*(1+'II. Inputs, Baseline Energy Mix'!$N$99)^('IV. LCOE, Baseline Energy Mix'!AJ$13-1)</f>
        <v>0</v>
      </c>
      <c r="AK28" s="1235">
        <f xml:space="preserve"> AK18*'II. Inputs, Baseline Energy Mix'!$N$98*(1+'II. Inputs, Baseline Energy Mix'!$N$99)^('IV. LCOE, Baseline Energy Mix'!AK$13-1)</f>
        <v>0</v>
      </c>
      <c r="AL28" s="1235">
        <f xml:space="preserve"> AL18*'II. Inputs, Baseline Energy Mix'!$N$98*(1+'II. Inputs, Baseline Energy Mix'!$N$99)^('IV. LCOE, Baseline Energy Mix'!AL$13-1)</f>
        <v>0</v>
      </c>
      <c r="AM28" s="1235">
        <f xml:space="preserve"> AM18*'II. Inputs, Baseline Energy Mix'!$N$98*(1+'II. Inputs, Baseline Energy Mix'!$N$99)^('IV. LCOE, Baseline Energy Mix'!AM$13-1)</f>
        <v>0</v>
      </c>
      <c r="AN28" s="1235">
        <f xml:space="preserve"> AN18*'II. Inputs, Baseline Energy Mix'!$N$98*(1+'II. Inputs, Baseline Energy Mix'!$N$99)^('IV. LCOE, Baseline Energy Mix'!AN$13-1)</f>
        <v>0</v>
      </c>
      <c r="AO28" s="1235">
        <f xml:space="preserve"> AO18*'II. Inputs, Baseline Energy Mix'!$N$98*(1+'II. Inputs, Baseline Energy Mix'!$N$99)^('IV. LCOE, Baseline Energy Mix'!AO$13-1)</f>
        <v>0</v>
      </c>
      <c r="AP28" s="1235">
        <f xml:space="preserve"> AP18*'II. Inputs, Baseline Energy Mix'!$N$98*(1+'II. Inputs, Baseline Energy Mix'!$N$99)^('IV. LCOE, Baseline Energy Mix'!AP$13-1)</f>
        <v>0</v>
      </c>
      <c r="AQ28" s="1235">
        <f xml:space="preserve"> AQ18*'II. Inputs, Baseline Energy Mix'!$N$98*(1+'II. Inputs, Baseline Energy Mix'!$N$99)^('IV. LCOE, Baseline Energy Mix'!AQ$13-1)</f>
        <v>0</v>
      </c>
      <c r="AR28" s="1235">
        <f xml:space="preserve"> AR18*'II. Inputs, Baseline Energy Mix'!$N$98*(1+'II. Inputs, Baseline Energy Mix'!$N$99)^('IV. LCOE, Baseline Energy Mix'!AR$13-1)</f>
        <v>0</v>
      </c>
      <c r="AS28" s="1235">
        <f xml:space="preserve"> AS18*'II. Inputs, Baseline Energy Mix'!$N$98*(1+'II. Inputs, Baseline Energy Mix'!$N$99)^('IV. LCOE, Baseline Energy Mix'!AS$13-1)</f>
        <v>0</v>
      </c>
      <c r="AT28" s="1235">
        <f xml:space="preserve"> AT18*'II. Inputs, Baseline Energy Mix'!$N$98*(1+'II. Inputs, Baseline Energy Mix'!$N$99)^('IV. LCOE, Baseline Energy Mix'!AT$13-1)</f>
        <v>0</v>
      </c>
      <c r="AU28" s="1235">
        <f xml:space="preserve"> AU18*'II. Inputs, Baseline Energy Mix'!$N$98*(1+'II. Inputs, Baseline Energy Mix'!$N$99)^('IV. LCOE, Baseline Energy Mix'!AU$13-1)</f>
        <v>0</v>
      </c>
      <c r="AV28" s="1235">
        <f xml:space="preserve"> AV18*'II. Inputs, Baseline Energy Mix'!$N$98*(1+'II. Inputs, Baseline Energy Mix'!$N$99)^('IV. LCOE, Baseline Energy Mix'!AV$13-1)</f>
        <v>0</v>
      </c>
      <c r="AW28" s="1235">
        <f xml:space="preserve"> AW18*'II. Inputs, Baseline Energy Mix'!$N$98*(1+'II. Inputs, Baseline Energy Mix'!$N$99)^('IV. LCOE, Baseline Energy Mix'!AW$13-1)</f>
        <v>0</v>
      </c>
      <c r="AX28" s="1235">
        <f xml:space="preserve"> AX18*'II. Inputs, Baseline Energy Mix'!$N$98*(1+'II. Inputs, Baseline Energy Mix'!$N$99)^('IV. LCOE, Baseline Energy Mix'!AX$13-1)</f>
        <v>0</v>
      </c>
      <c r="AY28" s="1235">
        <f xml:space="preserve"> AY18*'II. Inputs, Baseline Energy Mix'!$N$98*(1+'II. Inputs, Baseline Energy Mix'!$N$99)^('IV. LCOE, Baseline Energy Mix'!AY$13-1)</f>
        <v>0</v>
      </c>
      <c r="AZ28" s="1235">
        <f xml:space="preserve"> AZ18*'II. Inputs, Baseline Energy Mix'!$N$98*(1+'II. Inputs, Baseline Energy Mix'!$N$99)^('IV. LCOE, Baseline Energy Mix'!AZ$13-1)</f>
        <v>0</v>
      </c>
      <c r="BA28" s="1235">
        <f xml:space="preserve"> BA18*'II. Inputs, Baseline Energy Mix'!$N$98*(1+'II. Inputs, Baseline Energy Mix'!$N$99)^('IV. LCOE, Baseline Energy Mix'!BA$13-1)</f>
        <v>0</v>
      </c>
      <c r="BB28" s="1235">
        <f xml:space="preserve"> BB18*'II. Inputs, Baseline Energy Mix'!$N$98*(1+'II. Inputs, Baseline Energy Mix'!$N$99)^('IV. LCOE, Baseline Energy Mix'!BB$13-1)</f>
        <v>0</v>
      </c>
      <c r="BC28" s="1235">
        <f xml:space="preserve"> BC18*'II. Inputs, Baseline Energy Mix'!$N$98*(1+'II. Inputs, Baseline Energy Mix'!$N$99)^('IV. LCOE, Baseline Energy Mix'!BC$13-1)</f>
        <v>0</v>
      </c>
      <c r="BD28" s="1235">
        <f xml:space="preserve"> BD18*'II. Inputs, Baseline Energy Mix'!$N$98*(1+'II. Inputs, Baseline Energy Mix'!$N$99)^('IV. LCOE, Baseline Energy Mix'!BD$13-1)</f>
        <v>0</v>
      </c>
      <c r="BE28" s="1236">
        <f xml:space="preserve"> BE18*'II. Inputs, Baseline Energy Mix'!$N$98*(1+'II. Inputs, Baseline Energy Mix'!$N$99)^('IV. LCOE, Baseline Energy Mix'!BE$13-1)</f>
        <v>0</v>
      </c>
    </row>
    <row r="29" spans="2:57" outlineLevel="1" x14ac:dyDescent="0.25">
      <c r="B29" s="223"/>
      <c r="C29" s="221" t="s">
        <v>162</v>
      </c>
      <c r="D29" s="221"/>
      <c r="E29" s="225"/>
      <c r="F29" s="225"/>
      <c r="G29" s="221"/>
      <c r="H29" s="1235">
        <f xml:space="preserve"> H18*VLOOKUP('IV. LCOE, Baseline Energy Mix'!H$13,'IX. Additional Data'!$C$17:$V$66,9, FALSE)</f>
        <v>0</v>
      </c>
      <c r="I29" s="1235">
        <f xml:space="preserve"> I18*VLOOKUP('IV. LCOE, Baseline Energy Mix'!I$13,'IX. Additional Data'!$C$17:$V$66,9, FALSE)</f>
        <v>0</v>
      </c>
      <c r="J29" s="1235">
        <f xml:space="preserve"> J18*VLOOKUP('IV. LCOE, Baseline Energy Mix'!J$13,'IX. Additional Data'!$C$17:$V$66,9, FALSE)</f>
        <v>0</v>
      </c>
      <c r="K29" s="1235">
        <f xml:space="preserve"> K18*VLOOKUP('IV. LCOE, Baseline Energy Mix'!K$13,'IX. Additional Data'!$C$17:$V$66,9, FALSE)</f>
        <v>0</v>
      </c>
      <c r="L29" s="1235">
        <f xml:space="preserve"> L18*VLOOKUP('IV. LCOE, Baseline Energy Mix'!L$13,'IX. Additional Data'!$C$17:$V$66,9, FALSE)</f>
        <v>0</v>
      </c>
      <c r="M29" s="1235">
        <f xml:space="preserve"> M18*VLOOKUP('IV. LCOE, Baseline Energy Mix'!M$13,'IX. Additional Data'!$C$17:$V$66,9, FALSE)</f>
        <v>0</v>
      </c>
      <c r="N29" s="1235">
        <f xml:space="preserve"> N18*VLOOKUP('IV. LCOE, Baseline Energy Mix'!N$13,'IX. Additional Data'!$C$17:$V$66,9, FALSE)</f>
        <v>0</v>
      </c>
      <c r="O29" s="1235">
        <f xml:space="preserve"> O18*VLOOKUP('IV. LCOE, Baseline Energy Mix'!O$13,'IX. Additional Data'!$C$17:$V$66,9, FALSE)</f>
        <v>0</v>
      </c>
      <c r="P29" s="1235">
        <f xml:space="preserve"> P18*VLOOKUP('IV. LCOE, Baseline Energy Mix'!P$13,'IX. Additional Data'!$C$17:$V$66,9, FALSE)</f>
        <v>0</v>
      </c>
      <c r="Q29" s="1235">
        <f xml:space="preserve"> Q18*VLOOKUP('IV. LCOE, Baseline Energy Mix'!Q$13,'IX. Additional Data'!$C$17:$V$66,9, FALSE)</f>
        <v>0</v>
      </c>
      <c r="R29" s="1235">
        <f xml:space="preserve"> R18*VLOOKUP('IV. LCOE, Baseline Energy Mix'!R$13,'IX. Additional Data'!$C$17:$V$66,9, FALSE)</f>
        <v>0</v>
      </c>
      <c r="S29" s="1235">
        <f xml:space="preserve"> S18*VLOOKUP('IV. LCOE, Baseline Energy Mix'!S$13,'IX. Additional Data'!$C$17:$V$66,9, FALSE)</f>
        <v>0</v>
      </c>
      <c r="T29" s="1235">
        <f xml:space="preserve"> T18*VLOOKUP('IV. LCOE, Baseline Energy Mix'!T$13,'IX. Additional Data'!$C$17:$V$66,9, FALSE)</f>
        <v>0</v>
      </c>
      <c r="U29" s="1235">
        <f xml:space="preserve"> U18*VLOOKUP('IV. LCOE, Baseline Energy Mix'!U$13,'IX. Additional Data'!$C$17:$V$66,9, FALSE)</f>
        <v>0</v>
      </c>
      <c r="V29" s="1235">
        <f xml:space="preserve"> V18*VLOOKUP('IV. LCOE, Baseline Energy Mix'!V$13,'IX. Additional Data'!$C$17:$V$66,9, FALSE)</f>
        <v>0</v>
      </c>
      <c r="W29" s="1235">
        <f xml:space="preserve"> W18*VLOOKUP('IV. LCOE, Baseline Energy Mix'!W$13,'IX. Additional Data'!$C$17:$V$66,9, FALSE)</f>
        <v>0</v>
      </c>
      <c r="X29" s="1235">
        <f xml:space="preserve"> X18*VLOOKUP('IV. LCOE, Baseline Energy Mix'!X$13,'IX. Additional Data'!$C$17:$V$66,9, FALSE)</f>
        <v>0</v>
      </c>
      <c r="Y29" s="1235">
        <f xml:space="preserve"> Y18*VLOOKUP('IV. LCOE, Baseline Energy Mix'!Y$13,'IX. Additional Data'!$C$17:$V$66,9, FALSE)</f>
        <v>0</v>
      </c>
      <c r="Z29" s="1235">
        <f xml:space="preserve"> Z18*VLOOKUP('IV. LCOE, Baseline Energy Mix'!Z$13,'IX. Additional Data'!$C$17:$V$66,9, FALSE)</f>
        <v>0</v>
      </c>
      <c r="AA29" s="1235">
        <f xml:space="preserve"> AA18*VLOOKUP('IV. LCOE, Baseline Energy Mix'!AA$13,'IX. Additional Data'!$C$17:$V$66,9, FALSE)</f>
        <v>0</v>
      </c>
      <c r="AB29" s="1235">
        <f xml:space="preserve"> AB18*VLOOKUP('IV. LCOE, Baseline Energy Mix'!AB$13,'IX. Additional Data'!$C$17:$V$66,9, FALSE)</f>
        <v>0</v>
      </c>
      <c r="AC29" s="1235">
        <f xml:space="preserve"> AC18*VLOOKUP('IV. LCOE, Baseline Energy Mix'!AC$13,'IX. Additional Data'!$C$17:$V$66,9, FALSE)</f>
        <v>0</v>
      </c>
      <c r="AD29" s="1235">
        <f xml:space="preserve"> AD18*VLOOKUP('IV. LCOE, Baseline Energy Mix'!AD$13,'IX. Additional Data'!$C$17:$V$66,9, FALSE)</f>
        <v>0</v>
      </c>
      <c r="AE29" s="1235">
        <f xml:space="preserve"> AE18*VLOOKUP('IV. LCOE, Baseline Energy Mix'!AE$13,'IX. Additional Data'!$C$17:$V$66,9, FALSE)</f>
        <v>0</v>
      </c>
      <c r="AF29" s="1235">
        <f xml:space="preserve"> AF18*VLOOKUP('IV. LCOE, Baseline Energy Mix'!AF$13,'IX. Additional Data'!$C$17:$V$66,9, FALSE)</f>
        <v>0</v>
      </c>
      <c r="AG29" s="1235">
        <f xml:space="preserve"> AG18*VLOOKUP('IV. LCOE, Baseline Energy Mix'!AG$13,'IX. Additional Data'!$C$17:$V$66,9, FALSE)</f>
        <v>0</v>
      </c>
      <c r="AH29" s="1235">
        <f xml:space="preserve"> AH18*VLOOKUP('IV. LCOE, Baseline Energy Mix'!AH$13,'IX. Additional Data'!$C$17:$V$66,9, FALSE)</f>
        <v>0</v>
      </c>
      <c r="AI29" s="1235">
        <f xml:space="preserve"> AI18*VLOOKUP('IV. LCOE, Baseline Energy Mix'!AI$13,'IX. Additional Data'!$C$17:$V$66,9, FALSE)</f>
        <v>0</v>
      </c>
      <c r="AJ29" s="1235">
        <f xml:space="preserve"> AJ18*VLOOKUP('IV. LCOE, Baseline Energy Mix'!AJ$13,'IX. Additional Data'!$C$17:$V$66,9, FALSE)</f>
        <v>0</v>
      </c>
      <c r="AK29" s="1235">
        <f xml:space="preserve"> AK18*VLOOKUP('IV. LCOE, Baseline Energy Mix'!AK$13,'IX. Additional Data'!$C$17:$V$66,9, FALSE)</f>
        <v>0</v>
      </c>
      <c r="AL29" s="1235">
        <f xml:space="preserve"> AL18*VLOOKUP('IV. LCOE, Baseline Energy Mix'!AL$13,'IX. Additional Data'!$C$17:$V$66,9, FALSE)</f>
        <v>0</v>
      </c>
      <c r="AM29" s="1235">
        <f xml:space="preserve"> AM18*VLOOKUP('IV. LCOE, Baseline Energy Mix'!AM$13,'IX. Additional Data'!$C$17:$V$66,9, FALSE)</f>
        <v>0</v>
      </c>
      <c r="AN29" s="1235">
        <f xml:space="preserve"> AN18*VLOOKUP('IV. LCOE, Baseline Energy Mix'!AN$13,'IX. Additional Data'!$C$17:$V$66,9, FALSE)</f>
        <v>0</v>
      </c>
      <c r="AO29" s="1235">
        <f xml:space="preserve"> AO18*VLOOKUP('IV. LCOE, Baseline Energy Mix'!AO$13,'IX. Additional Data'!$C$17:$V$66,9, FALSE)</f>
        <v>0</v>
      </c>
      <c r="AP29" s="1235">
        <f xml:space="preserve"> AP18*VLOOKUP('IV. LCOE, Baseline Energy Mix'!AP$13,'IX. Additional Data'!$C$17:$V$66,9, FALSE)</f>
        <v>0</v>
      </c>
      <c r="AQ29" s="1235">
        <f xml:space="preserve"> AQ18*VLOOKUP('IV. LCOE, Baseline Energy Mix'!AQ$13,'IX. Additional Data'!$C$17:$V$66,9, FALSE)</f>
        <v>0</v>
      </c>
      <c r="AR29" s="1235">
        <f xml:space="preserve"> AR18*VLOOKUP('IV. LCOE, Baseline Energy Mix'!AR$13,'IX. Additional Data'!$C$17:$V$66,9, FALSE)</f>
        <v>0</v>
      </c>
      <c r="AS29" s="1235">
        <f xml:space="preserve"> AS18*VLOOKUP('IV. LCOE, Baseline Energy Mix'!AS$13,'IX. Additional Data'!$C$17:$V$66,9, FALSE)</f>
        <v>0</v>
      </c>
      <c r="AT29" s="1235">
        <f xml:space="preserve"> AT18*VLOOKUP('IV. LCOE, Baseline Energy Mix'!AT$13,'IX. Additional Data'!$C$17:$V$66,9, FALSE)</f>
        <v>0</v>
      </c>
      <c r="AU29" s="1235">
        <f xml:space="preserve"> AU18*VLOOKUP('IV. LCOE, Baseline Energy Mix'!AU$13,'IX. Additional Data'!$C$17:$V$66,9, FALSE)</f>
        <v>0</v>
      </c>
      <c r="AV29" s="1235">
        <f xml:space="preserve"> AV18*VLOOKUP('IV. LCOE, Baseline Energy Mix'!AV$13,'IX. Additional Data'!$C$17:$V$66,9, FALSE)</f>
        <v>0</v>
      </c>
      <c r="AW29" s="1235">
        <f xml:space="preserve"> AW18*VLOOKUP('IV. LCOE, Baseline Energy Mix'!AW$13,'IX. Additional Data'!$C$17:$V$66,9, FALSE)</f>
        <v>0</v>
      </c>
      <c r="AX29" s="1235">
        <f xml:space="preserve"> AX18*VLOOKUP('IV. LCOE, Baseline Energy Mix'!AX$13,'IX. Additional Data'!$C$17:$V$66,9, FALSE)</f>
        <v>0</v>
      </c>
      <c r="AY29" s="1235">
        <f xml:space="preserve"> AY18*VLOOKUP('IV. LCOE, Baseline Energy Mix'!AY$13,'IX. Additional Data'!$C$17:$V$66,9, FALSE)</f>
        <v>0</v>
      </c>
      <c r="AZ29" s="1235">
        <f xml:space="preserve"> AZ18*VLOOKUP('IV. LCOE, Baseline Energy Mix'!AZ$13,'IX. Additional Data'!$C$17:$V$66,9, FALSE)</f>
        <v>0</v>
      </c>
      <c r="BA29" s="1235">
        <f xml:space="preserve"> BA18*VLOOKUP('IV. LCOE, Baseline Energy Mix'!BA$13,'IX. Additional Data'!$C$17:$V$66,9, FALSE)</f>
        <v>0</v>
      </c>
      <c r="BB29" s="1235">
        <f xml:space="preserve"> BB18*VLOOKUP('IV. LCOE, Baseline Energy Mix'!BB$13,'IX. Additional Data'!$C$17:$V$66,9, FALSE)</f>
        <v>0</v>
      </c>
      <c r="BC29" s="1235">
        <f xml:space="preserve"> BC18*VLOOKUP('IV. LCOE, Baseline Energy Mix'!BC$13,'IX. Additional Data'!$C$17:$V$66,9, FALSE)</f>
        <v>0</v>
      </c>
      <c r="BD29" s="1235">
        <f xml:space="preserve"> BD18*VLOOKUP('IV. LCOE, Baseline Energy Mix'!BD$13,'IX. Additional Data'!$C$17:$V$66,9, FALSE)</f>
        <v>0</v>
      </c>
      <c r="BE29" s="1236">
        <f xml:space="preserve"> BE18*VLOOKUP('IV. LCOE, Baseline Energy Mix'!BE$13,'IX. Additional Data'!$C$17:$V$66,9, FALSE)</f>
        <v>0</v>
      </c>
    </row>
    <row r="30" spans="2:57" outlineLevel="1" x14ac:dyDescent="0.25">
      <c r="B30" s="223"/>
      <c r="C30" s="221" t="s">
        <v>163</v>
      </c>
      <c r="D30" s="221"/>
      <c r="E30" s="225"/>
      <c r="F30" s="225"/>
      <c r="G30" s="221"/>
      <c r="H30" s="1235">
        <f xml:space="preserve"> H18*VLOOKUP('IV. LCOE, Baseline Energy Mix'!H$13,'IX. Additional Data'!$C$17:$V$66,15, FALSE)</f>
        <v>20.26870163370593</v>
      </c>
      <c r="I30" s="1235">
        <f xml:space="preserve"> I18*VLOOKUP('IV. LCOE, Baseline Energy Mix'!I$13,'IX. Additional Data'!$C$17:$V$66,15, FALSE)</f>
        <v>20.922530718664184</v>
      </c>
      <c r="J30" s="1235">
        <f xml:space="preserve"> J18*VLOOKUP('IV. LCOE, Baseline Energy Mix'!J$13,'IX. Additional Data'!$C$17:$V$66,15, FALSE)</f>
        <v>21.358416775303024</v>
      </c>
      <c r="K30" s="1235">
        <f xml:space="preserve"> K18*VLOOKUP('IV. LCOE, Baseline Energy Mix'!K$13,'IX. Additional Data'!$C$17:$V$66,15, FALSE)</f>
        <v>21.794302831941859</v>
      </c>
      <c r="L30" s="1235">
        <f xml:space="preserve"> L18*VLOOKUP('IV. LCOE, Baseline Energy Mix'!L$13,'IX. Additional Data'!$C$17:$V$66,15, FALSE)</f>
        <v>22.230188888580695</v>
      </c>
      <c r="M30" s="1235">
        <f xml:space="preserve"> M18*VLOOKUP('IV. LCOE, Baseline Energy Mix'!M$13,'IX. Additional Data'!$C$17:$V$66,15, FALSE)</f>
        <v>22.666074945219535</v>
      </c>
      <c r="N30" s="1235">
        <f xml:space="preserve"> N18*VLOOKUP('IV. LCOE, Baseline Energy Mix'!N$13,'IX. Additional Data'!$C$17:$V$66,15, FALSE)</f>
        <v>23.101961001858374</v>
      </c>
      <c r="O30" s="1235">
        <f xml:space="preserve"> O18*VLOOKUP('IV. LCOE, Baseline Energy Mix'!O$13,'IX. Additional Data'!$C$17:$V$66,15, FALSE)</f>
        <v>23.581435664161095</v>
      </c>
      <c r="P30" s="1235">
        <f xml:space="preserve"> P18*VLOOKUP('IV. LCOE, Baseline Energy Mix'!P$13,'IX. Additional Data'!$C$17:$V$66,15, FALSE)</f>
        <v>24.060910326463816</v>
      </c>
      <c r="Q30" s="1235">
        <f xml:space="preserve"> Q18*VLOOKUP('IV. LCOE, Baseline Energy Mix'!Q$13,'IX. Additional Data'!$C$17:$V$66,15, FALSE)</f>
        <v>24.540384988766533</v>
      </c>
      <c r="R30" s="1235">
        <f xml:space="preserve"> R18*VLOOKUP('IV. LCOE, Baseline Energy Mix'!R$13,'IX. Additional Data'!$C$17:$V$66,15, FALSE)</f>
        <v>25.019859651069254</v>
      </c>
      <c r="S30" s="1235">
        <f xml:space="preserve"> S18*VLOOKUP('IV. LCOE, Baseline Energy Mix'!S$13,'IX. Additional Data'!$C$17:$V$66,15, FALSE)</f>
        <v>25.499334313371978</v>
      </c>
      <c r="T30" s="1235">
        <f xml:space="preserve"> T18*VLOOKUP('IV. LCOE, Baseline Energy Mix'!T$13,'IX. Additional Data'!$C$17:$V$66,15, FALSE)</f>
        <v>26.065986187002462</v>
      </c>
      <c r="U30" s="1235">
        <f xml:space="preserve"> U18*VLOOKUP('IV. LCOE, Baseline Energy Mix'!U$13,'IX. Additional Data'!$C$17:$V$66,15, FALSE)</f>
        <v>26.632638060632953</v>
      </c>
      <c r="V30" s="1235">
        <f xml:space="preserve"> V18*VLOOKUP('IV. LCOE, Baseline Energy Mix'!V$13,'IX. Additional Data'!$C$17:$V$66,15, FALSE)</f>
        <v>27.19928993426344</v>
      </c>
      <c r="W30" s="1235">
        <f xml:space="preserve"> W18*VLOOKUP('IV. LCOE, Baseline Energy Mix'!W$13,'IX. Additional Data'!$C$17:$V$66,15, FALSE)</f>
        <v>27.765941807893931</v>
      </c>
      <c r="X30" s="1235">
        <f xml:space="preserve"> X18*VLOOKUP('IV. LCOE, Baseline Energy Mix'!X$13,'IX. Additional Data'!$C$17:$V$66,15, FALSE)</f>
        <v>28.332593681524422</v>
      </c>
      <c r="Y30" s="1235">
        <f xml:space="preserve"> Y18*VLOOKUP('IV. LCOE, Baseline Energy Mix'!Y$13,'IX. Additional Data'!$C$17:$V$66,15, FALSE)</f>
        <v>28.986422766482676</v>
      </c>
      <c r="Z30" s="1235">
        <f xml:space="preserve"> Z18*VLOOKUP('IV. LCOE, Baseline Energy Mix'!Z$13,'IX. Additional Data'!$C$17:$V$66,15, FALSE)</f>
        <v>29.640251851440933</v>
      </c>
      <c r="AA30" s="1235">
        <f xml:space="preserve"> AA18*VLOOKUP('IV. LCOE, Baseline Energy Mix'!AA$13,'IX. Additional Data'!$C$17:$V$66,15, FALSE)</f>
        <v>30.294080936399187</v>
      </c>
      <c r="AB30" s="1235">
        <f xml:space="preserve"> AB18*VLOOKUP('IV. LCOE, Baseline Energy Mix'!AB$13,'IX. Additional Data'!$C$17:$V$66,15, FALSE)</f>
        <v>30.947910021357441</v>
      </c>
      <c r="AC30" s="1235">
        <f xml:space="preserve"> AC18*VLOOKUP('IV. LCOE, Baseline Energy Mix'!AC$13,'IX. Additional Data'!$C$17:$V$66,15, FALSE)</f>
        <v>31.601739106315698</v>
      </c>
      <c r="AD30" s="1235">
        <f xml:space="preserve"> AD18*VLOOKUP('IV. LCOE, Baseline Energy Mix'!AD$13,'IX. Additional Data'!$C$17:$V$66,15, FALSE)</f>
        <v>32.386334008265607</v>
      </c>
      <c r="AE30" s="1235">
        <f xml:space="preserve"> AE18*VLOOKUP('IV. LCOE, Baseline Energy Mix'!AE$13,'IX. Additional Data'!$C$17:$V$66,15, FALSE)</f>
        <v>33.170928910215508</v>
      </c>
      <c r="AF30" s="1235">
        <f xml:space="preserve"> AF18*VLOOKUP('IV. LCOE, Baseline Energy Mix'!AF$13,'IX. Additional Data'!$C$17:$V$66,15, FALSE)</f>
        <v>33.955523812165417</v>
      </c>
      <c r="AG30" s="1235">
        <f xml:space="preserve"> AG18*VLOOKUP('IV. LCOE, Baseline Energy Mix'!AG$13,'IX. Additional Data'!$C$17:$V$66,15, FALSE)</f>
        <v>0</v>
      </c>
      <c r="AH30" s="1235">
        <f xml:space="preserve"> AH18*VLOOKUP('IV. LCOE, Baseline Energy Mix'!AH$13,'IX. Additional Data'!$C$17:$V$66,15, FALSE)</f>
        <v>0</v>
      </c>
      <c r="AI30" s="1235">
        <f xml:space="preserve"> AI18*VLOOKUP('IV. LCOE, Baseline Energy Mix'!AI$13,'IX. Additional Data'!$C$17:$V$66,15, FALSE)</f>
        <v>0</v>
      </c>
      <c r="AJ30" s="1235">
        <f xml:space="preserve"> AJ18*VLOOKUP('IV. LCOE, Baseline Energy Mix'!AJ$13,'IX. Additional Data'!$C$17:$V$66,15, FALSE)</f>
        <v>0</v>
      </c>
      <c r="AK30" s="1235">
        <f xml:space="preserve"> AK18*VLOOKUP('IV. LCOE, Baseline Energy Mix'!AK$13,'IX. Additional Data'!$C$17:$V$66,15, FALSE)</f>
        <v>0</v>
      </c>
      <c r="AL30" s="1235">
        <f xml:space="preserve"> AL18*VLOOKUP('IV. LCOE, Baseline Energy Mix'!AL$13,'IX. Additional Data'!$C$17:$V$66,15, FALSE)</f>
        <v>0</v>
      </c>
      <c r="AM30" s="1235">
        <f xml:space="preserve"> AM18*VLOOKUP('IV. LCOE, Baseline Energy Mix'!AM$13,'IX. Additional Data'!$C$17:$V$66,15, FALSE)</f>
        <v>0</v>
      </c>
      <c r="AN30" s="1235">
        <f xml:space="preserve"> AN18*VLOOKUP('IV. LCOE, Baseline Energy Mix'!AN$13,'IX. Additional Data'!$C$17:$V$66,15, FALSE)</f>
        <v>0</v>
      </c>
      <c r="AO30" s="1235">
        <f xml:space="preserve"> AO18*VLOOKUP('IV. LCOE, Baseline Energy Mix'!AO$13,'IX. Additional Data'!$C$17:$V$66,15, FALSE)</f>
        <v>0</v>
      </c>
      <c r="AP30" s="1235">
        <f xml:space="preserve"> AP18*VLOOKUP('IV. LCOE, Baseline Energy Mix'!AP$13,'IX. Additional Data'!$C$17:$V$66,15, FALSE)</f>
        <v>0</v>
      </c>
      <c r="AQ30" s="1235">
        <f xml:space="preserve"> AQ18*VLOOKUP('IV. LCOE, Baseline Energy Mix'!AQ$13,'IX. Additional Data'!$C$17:$V$66,15, FALSE)</f>
        <v>0</v>
      </c>
      <c r="AR30" s="1235">
        <f xml:space="preserve"> AR18*VLOOKUP('IV. LCOE, Baseline Energy Mix'!AR$13,'IX. Additional Data'!$C$17:$V$66,15, FALSE)</f>
        <v>0</v>
      </c>
      <c r="AS30" s="1235">
        <f xml:space="preserve"> AS18*VLOOKUP('IV. LCOE, Baseline Energy Mix'!AS$13,'IX. Additional Data'!$C$17:$V$66,15, FALSE)</f>
        <v>0</v>
      </c>
      <c r="AT30" s="1235">
        <f xml:space="preserve"> AT18*VLOOKUP('IV. LCOE, Baseline Energy Mix'!AT$13,'IX. Additional Data'!$C$17:$V$66,15, FALSE)</f>
        <v>0</v>
      </c>
      <c r="AU30" s="1235">
        <f xml:space="preserve"> AU18*VLOOKUP('IV. LCOE, Baseline Energy Mix'!AU$13,'IX. Additional Data'!$C$17:$V$66,15, FALSE)</f>
        <v>0</v>
      </c>
      <c r="AV30" s="1235">
        <f xml:space="preserve"> AV18*VLOOKUP('IV. LCOE, Baseline Energy Mix'!AV$13,'IX. Additional Data'!$C$17:$V$66,15, FALSE)</f>
        <v>0</v>
      </c>
      <c r="AW30" s="1235">
        <f xml:space="preserve"> AW18*VLOOKUP('IV. LCOE, Baseline Energy Mix'!AW$13,'IX. Additional Data'!$C$17:$V$66,15, FALSE)</f>
        <v>0</v>
      </c>
      <c r="AX30" s="1235">
        <f xml:space="preserve"> AX18*VLOOKUP('IV. LCOE, Baseline Energy Mix'!AX$13,'IX. Additional Data'!$C$17:$V$66,15, FALSE)</f>
        <v>0</v>
      </c>
      <c r="AY30" s="1235">
        <f xml:space="preserve"> AY18*VLOOKUP('IV. LCOE, Baseline Energy Mix'!AY$13,'IX. Additional Data'!$C$17:$V$66,15, FALSE)</f>
        <v>0</v>
      </c>
      <c r="AZ30" s="1235">
        <f xml:space="preserve"> AZ18*VLOOKUP('IV. LCOE, Baseline Energy Mix'!AZ$13,'IX. Additional Data'!$C$17:$V$66,15, FALSE)</f>
        <v>0</v>
      </c>
      <c r="BA30" s="1235">
        <f xml:space="preserve"> BA18*VLOOKUP('IV. LCOE, Baseline Energy Mix'!BA$13,'IX. Additional Data'!$C$17:$V$66,15, FALSE)</f>
        <v>0</v>
      </c>
      <c r="BB30" s="1235">
        <f xml:space="preserve"> BB18*VLOOKUP('IV. LCOE, Baseline Energy Mix'!BB$13,'IX. Additional Data'!$C$17:$V$66,15, FALSE)</f>
        <v>0</v>
      </c>
      <c r="BC30" s="1235">
        <f xml:space="preserve"> BC18*VLOOKUP('IV. LCOE, Baseline Energy Mix'!BC$13,'IX. Additional Data'!$C$17:$V$66,15, FALSE)</f>
        <v>0</v>
      </c>
      <c r="BD30" s="1235">
        <f xml:space="preserve"> BD18*VLOOKUP('IV. LCOE, Baseline Energy Mix'!BD$13,'IX. Additional Data'!$C$17:$V$66,15, FALSE)</f>
        <v>0</v>
      </c>
      <c r="BE30" s="1236">
        <f xml:space="preserve"> BE18*VLOOKUP('IV. LCOE, Baseline Energy Mix'!BE$13,'IX. Additional Data'!$C$17:$V$66,15, FALSE)</f>
        <v>0</v>
      </c>
    </row>
    <row r="31" spans="2:57" outlineLevel="1" x14ac:dyDescent="0.25">
      <c r="B31" s="223"/>
      <c r="C31" s="221"/>
      <c r="D31" s="221"/>
      <c r="E31" s="225"/>
      <c r="F31" s="225"/>
      <c r="G31" s="221"/>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6"/>
    </row>
    <row r="32" spans="2:57" x14ac:dyDescent="0.25">
      <c r="B32" s="223" t="s">
        <v>138</v>
      </c>
      <c r="C32" s="221"/>
      <c r="D32" s="221"/>
      <c r="E32" s="225"/>
      <c r="F32" s="225" t="s">
        <v>631</v>
      </c>
      <c r="G32" s="221"/>
      <c r="H32" s="1237">
        <f>H26*H20*H18/'II. Inputs, Baseline Energy Mix'!$N$91</f>
        <v>269223.74086516415</v>
      </c>
      <c r="I32" s="1237">
        <f>I26*I20*I18/'II. Inputs, Baseline Energy Mix'!$N$91</f>
        <v>277908.37766726624</v>
      </c>
      <c r="J32" s="1237">
        <f>J26*J20*J18/'II. Inputs, Baseline Energy Mix'!$N$91</f>
        <v>283698.1355353343</v>
      </c>
      <c r="K32" s="1237">
        <f>K26*K20*K18/'II. Inputs, Baseline Energy Mix'!$N$91</f>
        <v>289487.8934034023</v>
      </c>
      <c r="L32" s="1237">
        <f>L26*L20*L18/'II. Inputs, Baseline Energy Mix'!$N$91</f>
        <v>295277.65127147036</v>
      </c>
      <c r="M32" s="1237">
        <f>M26*M20*M18/'II. Inputs, Baseline Energy Mix'!$N$91</f>
        <v>301067.40913953842</v>
      </c>
      <c r="N32" s="1237">
        <f>N26*N20*N18/'II. Inputs, Baseline Energy Mix'!$N$91</f>
        <v>306857.16700760648</v>
      </c>
      <c r="O32" s="1237">
        <f>O26*O20*O18/'II. Inputs, Baseline Energy Mix'!$N$91</f>
        <v>313225.90066248132</v>
      </c>
      <c r="P32" s="1237">
        <f>P26*P20*P18/'II. Inputs, Baseline Energy Mix'!$N$91</f>
        <v>319594.63431735616</v>
      </c>
      <c r="Q32" s="1237">
        <f>Q26*Q20*Q18/'II. Inputs, Baseline Energy Mix'!$N$91</f>
        <v>325963.367972231</v>
      </c>
      <c r="R32" s="1237">
        <f>R26*R20*R18/'II. Inputs, Baseline Energy Mix'!$N$91</f>
        <v>332332.10162710579</v>
      </c>
      <c r="S32" s="1237">
        <f>S26*S20*S18/'II. Inputs, Baseline Energy Mix'!$N$91</f>
        <v>338700.83528198075</v>
      </c>
      <c r="T32" s="1237">
        <f>T26*T20*T18/'II. Inputs, Baseline Energy Mix'!$N$91</f>
        <v>346227.52051046916</v>
      </c>
      <c r="U32" s="1237">
        <f>U26*U20*U18/'II. Inputs, Baseline Energy Mix'!$N$91</f>
        <v>353754.20573895762</v>
      </c>
      <c r="V32" s="1237">
        <f>V26*V20*V18/'II. Inputs, Baseline Energy Mix'!$N$91</f>
        <v>361280.89096744603</v>
      </c>
      <c r="W32" s="1237">
        <f>W26*W20*W18/'II. Inputs, Baseline Energy Mix'!$N$91</f>
        <v>368807.57619593455</v>
      </c>
      <c r="X32" s="1237">
        <f>X26*X20*X18/'II. Inputs, Baseline Energy Mix'!$N$91</f>
        <v>376334.26142442302</v>
      </c>
      <c r="Y32" s="1237">
        <f>Y26*Y20*Y18/'II. Inputs, Baseline Energy Mix'!$N$91</f>
        <v>385018.89822652505</v>
      </c>
      <c r="Z32" s="1237">
        <f>Z26*Z20*Z18/'II. Inputs, Baseline Energy Mix'!$N$91</f>
        <v>393703.53502862714</v>
      </c>
      <c r="AA32" s="1237">
        <f>AA26*AA20*AA18/'II. Inputs, Baseline Energy Mix'!$N$91</f>
        <v>402388.17183072923</v>
      </c>
      <c r="AB32" s="1237">
        <f>AB26*AB20*AB18/'II. Inputs, Baseline Energy Mix'!$N$91</f>
        <v>411072.80863283126</v>
      </c>
      <c r="AC32" s="1237">
        <f>AC26*AC20*AC18/'II. Inputs, Baseline Energy Mix'!$N$91</f>
        <v>419757.44543493335</v>
      </c>
      <c r="AD32" s="1237">
        <f>AD26*AD20*AD18/'II. Inputs, Baseline Energy Mix'!$N$91</f>
        <v>430179.00959745585</v>
      </c>
      <c r="AE32" s="1237">
        <f>AE26*AE20*AE18/'II. Inputs, Baseline Energy Mix'!$N$91</f>
        <v>440600.57375997829</v>
      </c>
      <c r="AF32" s="1237">
        <f>AF26*AF20*AF18/'II. Inputs, Baseline Energy Mix'!$N$91</f>
        <v>451022.13792250078</v>
      </c>
      <c r="AG32" s="1237">
        <f>AG26*AG20*AG18/'II. Inputs, Baseline Energy Mix'!$N$91</f>
        <v>0</v>
      </c>
      <c r="AH32" s="1237">
        <f>AH26*AH20*AH18/'II. Inputs, Baseline Energy Mix'!$N$91</f>
        <v>0</v>
      </c>
      <c r="AI32" s="1237">
        <f>AI26*AI20*AI18/'II. Inputs, Baseline Energy Mix'!$N$91</f>
        <v>0</v>
      </c>
      <c r="AJ32" s="1237">
        <f>AJ26*AJ20*AJ18/'II. Inputs, Baseline Energy Mix'!$N$91</f>
        <v>0</v>
      </c>
      <c r="AK32" s="1237">
        <f>AK26*AK20*AK18/'II. Inputs, Baseline Energy Mix'!$N$91</f>
        <v>0</v>
      </c>
      <c r="AL32" s="1237">
        <f>AL26*AL20*AL18/'II. Inputs, Baseline Energy Mix'!$N$91</f>
        <v>0</v>
      </c>
      <c r="AM32" s="1237">
        <f>AM26*AM20*AM18/'II. Inputs, Baseline Energy Mix'!$N$91</f>
        <v>0</v>
      </c>
      <c r="AN32" s="1237">
        <f>AN26*AN20*AN18/'II. Inputs, Baseline Energy Mix'!$N$91</f>
        <v>0</v>
      </c>
      <c r="AO32" s="1237">
        <f>AO26*AO20*AO18/'II. Inputs, Baseline Energy Mix'!$N$91</f>
        <v>0</v>
      </c>
      <c r="AP32" s="1237">
        <f>AP26*AP20*AP18/'II. Inputs, Baseline Energy Mix'!$N$91</f>
        <v>0</v>
      </c>
      <c r="AQ32" s="1237">
        <f>AQ26*AQ20*AQ18/'II. Inputs, Baseline Energy Mix'!$N$91</f>
        <v>0</v>
      </c>
      <c r="AR32" s="1237">
        <f>AR26*AR20*AR18/'II. Inputs, Baseline Energy Mix'!$N$91</f>
        <v>0</v>
      </c>
      <c r="AS32" s="1237">
        <f>AS26*AS20*AS18/'II. Inputs, Baseline Energy Mix'!$N$91</f>
        <v>0</v>
      </c>
      <c r="AT32" s="1237">
        <f>AT26*AT20*AT18/'II. Inputs, Baseline Energy Mix'!$N$91</f>
        <v>0</v>
      </c>
      <c r="AU32" s="1237">
        <f>AU26*AU20*AU18/'II. Inputs, Baseline Energy Mix'!$N$91</f>
        <v>0</v>
      </c>
      <c r="AV32" s="1237">
        <f>AV26*AV20*AV18/'II. Inputs, Baseline Energy Mix'!$N$91</f>
        <v>0</v>
      </c>
      <c r="AW32" s="1237">
        <f>AW26*AW20*AW18/'II. Inputs, Baseline Energy Mix'!$N$91</f>
        <v>0</v>
      </c>
      <c r="AX32" s="1237">
        <f>AX26*AX20*AX18/'II. Inputs, Baseline Energy Mix'!$N$91</f>
        <v>0</v>
      </c>
      <c r="AY32" s="1237">
        <f>AY26*AY20*AY18/'II. Inputs, Baseline Energy Mix'!$N$91</f>
        <v>0</v>
      </c>
      <c r="AZ32" s="1237">
        <f>AZ26*AZ20*AZ18/'II. Inputs, Baseline Energy Mix'!$N$91</f>
        <v>0</v>
      </c>
      <c r="BA32" s="1237">
        <f>BA26*BA20*BA18/'II. Inputs, Baseline Energy Mix'!$N$91</f>
        <v>0</v>
      </c>
      <c r="BB32" s="1237">
        <f>BB26*BB20*BB18/'II. Inputs, Baseline Energy Mix'!$N$91</f>
        <v>0</v>
      </c>
      <c r="BC32" s="1237">
        <f>BC26*BC20*BC18/'II. Inputs, Baseline Energy Mix'!$N$91</f>
        <v>0</v>
      </c>
      <c r="BD32" s="1237">
        <f>BD26*BD20*BD18/'II. Inputs, Baseline Energy Mix'!$N$91</f>
        <v>0</v>
      </c>
      <c r="BE32" s="1238">
        <f>BE26*BE20*BE18/'II. Inputs, Baseline Energy Mix'!$N$91</f>
        <v>0</v>
      </c>
    </row>
    <row r="33" spans="2:57" x14ac:dyDescent="0.25">
      <c r="B33" s="223"/>
      <c r="C33" s="221"/>
      <c r="D33" s="221"/>
      <c r="E33" s="225"/>
      <c r="F33" s="225"/>
      <c r="G33" s="221"/>
      <c r="H33" s="1237"/>
      <c r="I33" s="1239"/>
      <c r="J33" s="1239"/>
      <c r="K33" s="1239"/>
      <c r="L33" s="1239"/>
      <c r="M33" s="1239"/>
      <c r="N33" s="1239"/>
      <c r="O33" s="1239"/>
      <c r="P33" s="1239"/>
      <c r="Q33" s="1239"/>
      <c r="R33" s="1239"/>
      <c r="S33" s="1239"/>
      <c r="T33" s="1239"/>
      <c r="U33" s="1239"/>
      <c r="V33" s="1239"/>
      <c r="W33" s="1239"/>
      <c r="X33" s="1239"/>
      <c r="Y33" s="1239"/>
      <c r="Z33" s="1239"/>
      <c r="AA33" s="1239"/>
      <c r="AB33" s="1239"/>
      <c r="AC33" s="1239"/>
      <c r="AD33" s="1239"/>
      <c r="AE33" s="1239"/>
      <c r="AF33" s="1239"/>
      <c r="AG33" s="1239"/>
      <c r="AH33" s="1239"/>
      <c r="AI33" s="1239"/>
      <c r="AJ33" s="1239"/>
      <c r="AK33" s="1239"/>
      <c r="AL33" s="1239"/>
      <c r="AM33" s="1239"/>
      <c r="AN33" s="1239"/>
      <c r="AO33" s="1239"/>
      <c r="AP33" s="1239"/>
      <c r="AQ33" s="1239"/>
      <c r="AR33" s="1239"/>
      <c r="AS33" s="1239"/>
      <c r="AT33" s="1239"/>
      <c r="AU33" s="1239"/>
      <c r="AV33" s="1239"/>
      <c r="AW33" s="1239"/>
      <c r="AX33" s="1239"/>
      <c r="AY33" s="1239"/>
      <c r="AZ33" s="1239"/>
      <c r="BA33" s="1239"/>
      <c r="BB33" s="1239"/>
      <c r="BC33" s="1239"/>
      <c r="BD33" s="1239"/>
      <c r="BE33" s="1240"/>
    </row>
    <row r="34" spans="2:57" x14ac:dyDescent="0.25">
      <c r="B34" s="223" t="s">
        <v>101</v>
      </c>
      <c r="C34" s="221"/>
      <c r="D34" s="221"/>
      <c r="E34" s="225"/>
      <c r="F34" s="225" t="s">
        <v>631</v>
      </c>
      <c r="G34" s="221"/>
      <c r="H34" s="1239">
        <f>H776</f>
        <v>26569.343065693429</v>
      </c>
      <c r="I34" s="1239">
        <f t="shared" ref="I34:O34" si="0">I776</f>
        <v>26569.343065693429</v>
      </c>
      <c r="J34" s="1239">
        <f t="shared" si="0"/>
        <v>26569.343065693429</v>
      </c>
      <c r="K34" s="1239">
        <f t="shared" si="0"/>
        <v>26569.343065693429</v>
      </c>
      <c r="L34" s="1239">
        <f t="shared" si="0"/>
        <v>26569.343065693429</v>
      </c>
      <c r="M34" s="1239">
        <f t="shared" si="0"/>
        <v>26569.343065693429</v>
      </c>
      <c r="N34" s="1239">
        <f t="shared" si="0"/>
        <v>26569.343065693429</v>
      </c>
      <c r="O34" s="1239">
        <f t="shared" si="0"/>
        <v>26569.343065693429</v>
      </c>
      <c r="P34" s="1239">
        <f t="shared" ref="P34:BE34" si="1">P776</f>
        <v>26569.343065693429</v>
      </c>
      <c r="Q34" s="1239">
        <f t="shared" si="1"/>
        <v>26569.343065693429</v>
      </c>
      <c r="R34" s="1239">
        <f t="shared" si="1"/>
        <v>26569.343065693429</v>
      </c>
      <c r="S34" s="1239">
        <f t="shared" si="1"/>
        <v>26569.343065693429</v>
      </c>
      <c r="T34" s="1239">
        <f t="shared" si="1"/>
        <v>26569.343065693429</v>
      </c>
      <c r="U34" s="1239">
        <f t="shared" si="1"/>
        <v>26569.343065693429</v>
      </c>
      <c r="V34" s="1239">
        <f t="shared" si="1"/>
        <v>26569.343065693429</v>
      </c>
      <c r="W34" s="1239">
        <f t="shared" si="1"/>
        <v>26569.343065693429</v>
      </c>
      <c r="X34" s="1239">
        <f t="shared" si="1"/>
        <v>26569.343065693429</v>
      </c>
      <c r="Y34" s="1239">
        <f t="shared" si="1"/>
        <v>26569.343065693429</v>
      </c>
      <c r="Z34" s="1239">
        <f t="shared" si="1"/>
        <v>26569.343065693429</v>
      </c>
      <c r="AA34" s="1239">
        <f t="shared" si="1"/>
        <v>26569.343065693429</v>
      </c>
      <c r="AB34" s="1239">
        <f t="shared" si="1"/>
        <v>26569.343065693429</v>
      </c>
      <c r="AC34" s="1239">
        <f t="shared" si="1"/>
        <v>26569.343065693429</v>
      </c>
      <c r="AD34" s="1239">
        <f t="shared" si="1"/>
        <v>26569.343065693429</v>
      </c>
      <c r="AE34" s="1239">
        <f t="shared" si="1"/>
        <v>26569.343065693429</v>
      </c>
      <c r="AF34" s="1239">
        <f t="shared" si="1"/>
        <v>26569.343065693429</v>
      </c>
      <c r="AG34" s="1239">
        <f t="shared" si="1"/>
        <v>0</v>
      </c>
      <c r="AH34" s="1239">
        <f t="shared" si="1"/>
        <v>0</v>
      </c>
      <c r="AI34" s="1239">
        <f t="shared" si="1"/>
        <v>0</v>
      </c>
      <c r="AJ34" s="1239">
        <f t="shared" si="1"/>
        <v>0</v>
      </c>
      <c r="AK34" s="1239">
        <f t="shared" si="1"/>
        <v>0</v>
      </c>
      <c r="AL34" s="1239">
        <f t="shared" si="1"/>
        <v>0</v>
      </c>
      <c r="AM34" s="1239">
        <f t="shared" si="1"/>
        <v>0</v>
      </c>
      <c r="AN34" s="1239">
        <f t="shared" si="1"/>
        <v>0</v>
      </c>
      <c r="AO34" s="1239">
        <f t="shared" si="1"/>
        <v>0</v>
      </c>
      <c r="AP34" s="1239">
        <f t="shared" si="1"/>
        <v>0</v>
      </c>
      <c r="AQ34" s="1239">
        <f t="shared" si="1"/>
        <v>0</v>
      </c>
      <c r="AR34" s="1239">
        <f t="shared" si="1"/>
        <v>0</v>
      </c>
      <c r="AS34" s="1239">
        <f t="shared" si="1"/>
        <v>0</v>
      </c>
      <c r="AT34" s="1239">
        <f t="shared" si="1"/>
        <v>0</v>
      </c>
      <c r="AU34" s="1239">
        <f t="shared" si="1"/>
        <v>0</v>
      </c>
      <c r="AV34" s="1239">
        <f t="shared" si="1"/>
        <v>0</v>
      </c>
      <c r="AW34" s="1239">
        <f t="shared" si="1"/>
        <v>0</v>
      </c>
      <c r="AX34" s="1239">
        <f t="shared" si="1"/>
        <v>0</v>
      </c>
      <c r="AY34" s="1239">
        <f t="shared" si="1"/>
        <v>0</v>
      </c>
      <c r="AZ34" s="1239">
        <f t="shared" si="1"/>
        <v>0</v>
      </c>
      <c r="BA34" s="1239">
        <f t="shared" si="1"/>
        <v>0</v>
      </c>
      <c r="BB34" s="1239">
        <f t="shared" si="1"/>
        <v>0</v>
      </c>
      <c r="BC34" s="1239">
        <f t="shared" si="1"/>
        <v>0</v>
      </c>
      <c r="BD34" s="1239">
        <f t="shared" si="1"/>
        <v>0</v>
      </c>
      <c r="BE34" s="1240">
        <f t="shared" si="1"/>
        <v>0</v>
      </c>
    </row>
    <row r="35" spans="2:57" x14ac:dyDescent="0.25">
      <c r="B35" s="223"/>
      <c r="C35" s="221"/>
      <c r="D35" s="221"/>
      <c r="E35" s="225"/>
      <c r="F35" s="225"/>
      <c r="G35" s="221"/>
      <c r="H35" s="1239"/>
      <c r="I35" s="1239"/>
      <c r="J35" s="1239"/>
      <c r="K35" s="1239"/>
      <c r="L35" s="1239"/>
      <c r="M35" s="1239"/>
      <c r="N35" s="1239"/>
      <c r="O35" s="1239"/>
      <c r="P35" s="1239"/>
      <c r="Q35" s="1239"/>
      <c r="R35" s="1239"/>
      <c r="S35" s="1239"/>
      <c r="T35" s="1239"/>
      <c r="U35" s="1239"/>
      <c r="V35" s="1239"/>
      <c r="W35" s="1239"/>
      <c r="X35" s="1239"/>
      <c r="Y35" s="1239"/>
      <c r="Z35" s="1239"/>
      <c r="AA35" s="1239"/>
      <c r="AB35" s="1239"/>
      <c r="AC35" s="1239"/>
      <c r="AD35" s="1239"/>
      <c r="AE35" s="1239"/>
      <c r="AF35" s="1239"/>
      <c r="AG35" s="1239"/>
      <c r="AH35" s="1239"/>
      <c r="AI35" s="1239"/>
      <c r="AJ35" s="1239"/>
      <c r="AK35" s="1239"/>
      <c r="AL35" s="1239"/>
      <c r="AM35" s="1239"/>
      <c r="AN35" s="1239"/>
      <c r="AO35" s="1239"/>
      <c r="AP35" s="1239"/>
      <c r="AQ35" s="1239"/>
      <c r="AR35" s="1239"/>
      <c r="AS35" s="1239"/>
      <c r="AT35" s="1239"/>
      <c r="AU35" s="1239"/>
      <c r="AV35" s="1239"/>
      <c r="AW35" s="1239"/>
      <c r="AX35" s="1239"/>
      <c r="AY35" s="1239"/>
      <c r="AZ35" s="1239"/>
      <c r="BA35" s="1239"/>
      <c r="BB35" s="1239"/>
      <c r="BC35" s="1239"/>
      <c r="BD35" s="1239"/>
      <c r="BE35" s="1240"/>
    </row>
    <row r="36" spans="2:57" x14ac:dyDescent="0.25">
      <c r="B36" s="223" t="s">
        <v>257</v>
      </c>
      <c r="C36" s="221"/>
      <c r="D36" s="221"/>
      <c r="E36" s="225"/>
      <c r="F36" s="225" t="s">
        <v>631</v>
      </c>
      <c r="G36" s="221"/>
      <c r="H36" s="1239">
        <f t="shared" ref="H36:P36" si="2">H309</f>
        <v>0</v>
      </c>
      <c r="I36" s="1239">
        <f t="shared" si="2"/>
        <v>0</v>
      </c>
      <c r="J36" s="1239">
        <f t="shared" si="2"/>
        <v>0</v>
      </c>
      <c r="K36" s="1239">
        <f t="shared" si="2"/>
        <v>0</v>
      </c>
      <c r="L36" s="1239">
        <f t="shared" si="2"/>
        <v>0</v>
      </c>
      <c r="M36" s="1239">
        <f t="shared" si="2"/>
        <v>0</v>
      </c>
      <c r="N36" s="1239">
        <f t="shared" si="2"/>
        <v>0</v>
      </c>
      <c r="O36" s="1239">
        <f t="shared" si="2"/>
        <v>0</v>
      </c>
      <c r="P36" s="1239">
        <f t="shared" si="2"/>
        <v>0</v>
      </c>
      <c r="Q36" s="1239">
        <f t="shared" ref="Q36:BE36" si="3">Q309</f>
        <v>0</v>
      </c>
      <c r="R36" s="1239">
        <f t="shared" si="3"/>
        <v>0</v>
      </c>
      <c r="S36" s="1239">
        <f t="shared" si="3"/>
        <v>0</v>
      </c>
      <c r="T36" s="1239">
        <f t="shared" si="3"/>
        <v>0</v>
      </c>
      <c r="U36" s="1239">
        <f t="shared" si="3"/>
        <v>0</v>
      </c>
      <c r="V36" s="1239">
        <f t="shared" si="3"/>
        <v>0</v>
      </c>
      <c r="W36" s="1239">
        <f t="shared" si="3"/>
        <v>0</v>
      </c>
      <c r="X36" s="1239">
        <f t="shared" si="3"/>
        <v>0</v>
      </c>
      <c r="Y36" s="1239">
        <f t="shared" si="3"/>
        <v>0</v>
      </c>
      <c r="Z36" s="1239">
        <f t="shared" si="3"/>
        <v>0</v>
      </c>
      <c r="AA36" s="1239">
        <f t="shared" si="3"/>
        <v>0</v>
      </c>
      <c r="AB36" s="1239">
        <f t="shared" si="3"/>
        <v>0</v>
      </c>
      <c r="AC36" s="1239">
        <f t="shared" si="3"/>
        <v>0</v>
      </c>
      <c r="AD36" s="1239">
        <f t="shared" si="3"/>
        <v>0</v>
      </c>
      <c r="AE36" s="1239">
        <f t="shared" si="3"/>
        <v>0</v>
      </c>
      <c r="AF36" s="1239">
        <f t="shared" si="3"/>
        <v>0</v>
      </c>
      <c r="AG36" s="1239">
        <f t="shared" si="3"/>
        <v>0</v>
      </c>
      <c r="AH36" s="1239">
        <f t="shared" si="3"/>
        <v>0</v>
      </c>
      <c r="AI36" s="1239">
        <f t="shared" si="3"/>
        <v>0</v>
      </c>
      <c r="AJ36" s="1239">
        <f t="shared" si="3"/>
        <v>0</v>
      </c>
      <c r="AK36" s="1239">
        <f t="shared" si="3"/>
        <v>0</v>
      </c>
      <c r="AL36" s="1239">
        <f t="shared" si="3"/>
        <v>0</v>
      </c>
      <c r="AM36" s="1239">
        <f t="shared" si="3"/>
        <v>0</v>
      </c>
      <c r="AN36" s="1239">
        <f t="shared" si="3"/>
        <v>0</v>
      </c>
      <c r="AO36" s="1239">
        <f t="shared" si="3"/>
        <v>0</v>
      </c>
      <c r="AP36" s="1239">
        <f t="shared" si="3"/>
        <v>0</v>
      </c>
      <c r="AQ36" s="1239">
        <f t="shared" si="3"/>
        <v>0</v>
      </c>
      <c r="AR36" s="1239">
        <f t="shared" si="3"/>
        <v>0</v>
      </c>
      <c r="AS36" s="1239">
        <f t="shared" si="3"/>
        <v>0</v>
      </c>
      <c r="AT36" s="1239">
        <f t="shared" si="3"/>
        <v>0</v>
      </c>
      <c r="AU36" s="1239">
        <f t="shared" si="3"/>
        <v>0</v>
      </c>
      <c r="AV36" s="1239">
        <f t="shared" si="3"/>
        <v>0</v>
      </c>
      <c r="AW36" s="1239">
        <f t="shared" si="3"/>
        <v>0</v>
      </c>
      <c r="AX36" s="1239">
        <f t="shared" si="3"/>
        <v>0</v>
      </c>
      <c r="AY36" s="1239">
        <f t="shared" si="3"/>
        <v>0</v>
      </c>
      <c r="AZ36" s="1239">
        <f t="shared" si="3"/>
        <v>0</v>
      </c>
      <c r="BA36" s="1239">
        <f t="shared" si="3"/>
        <v>0</v>
      </c>
      <c r="BB36" s="1239">
        <f t="shared" si="3"/>
        <v>0</v>
      </c>
      <c r="BC36" s="1239">
        <f t="shared" si="3"/>
        <v>0</v>
      </c>
      <c r="BD36" s="1239">
        <f t="shared" si="3"/>
        <v>0</v>
      </c>
      <c r="BE36" s="1240">
        <f t="shared" si="3"/>
        <v>0</v>
      </c>
    </row>
    <row r="37" spans="2:57" x14ac:dyDescent="0.25">
      <c r="B37" s="223" t="s">
        <v>189</v>
      </c>
      <c r="C37" s="221"/>
      <c r="D37" s="221"/>
      <c r="E37" s="225"/>
      <c r="F37" s="225" t="s">
        <v>631</v>
      </c>
      <c r="G37" s="221"/>
      <c r="H37" s="1239">
        <f t="shared" ref="H37:P37" si="4">+H330</f>
        <v>0</v>
      </c>
      <c r="I37" s="1239">
        <f t="shared" si="4"/>
        <v>0</v>
      </c>
      <c r="J37" s="1239">
        <f t="shared" si="4"/>
        <v>0</v>
      </c>
      <c r="K37" s="1239">
        <f t="shared" si="4"/>
        <v>0</v>
      </c>
      <c r="L37" s="1239">
        <f t="shared" si="4"/>
        <v>0</v>
      </c>
      <c r="M37" s="1239">
        <f t="shared" si="4"/>
        <v>0</v>
      </c>
      <c r="N37" s="1239">
        <f t="shared" si="4"/>
        <v>0</v>
      </c>
      <c r="O37" s="1239">
        <f t="shared" si="4"/>
        <v>0</v>
      </c>
      <c r="P37" s="1239">
        <f t="shared" si="4"/>
        <v>0</v>
      </c>
      <c r="Q37" s="1239">
        <f t="shared" ref="Q37:BE37" si="5">+Q330</f>
        <v>0</v>
      </c>
      <c r="R37" s="1239">
        <f t="shared" si="5"/>
        <v>0</v>
      </c>
      <c r="S37" s="1239">
        <f t="shared" si="5"/>
        <v>0</v>
      </c>
      <c r="T37" s="1239">
        <f t="shared" si="5"/>
        <v>0</v>
      </c>
      <c r="U37" s="1239">
        <f t="shared" si="5"/>
        <v>0</v>
      </c>
      <c r="V37" s="1239">
        <f t="shared" si="5"/>
        <v>0</v>
      </c>
      <c r="W37" s="1239">
        <f t="shared" si="5"/>
        <v>0</v>
      </c>
      <c r="X37" s="1239">
        <f t="shared" si="5"/>
        <v>0</v>
      </c>
      <c r="Y37" s="1239">
        <f t="shared" si="5"/>
        <v>0</v>
      </c>
      <c r="Z37" s="1239">
        <f t="shared" si="5"/>
        <v>0</v>
      </c>
      <c r="AA37" s="1239">
        <f t="shared" si="5"/>
        <v>0</v>
      </c>
      <c r="AB37" s="1239">
        <f t="shared" si="5"/>
        <v>0</v>
      </c>
      <c r="AC37" s="1239">
        <f t="shared" si="5"/>
        <v>0</v>
      </c>
      <c r="AD37" s="1239">
        <f t="shared" si="5"/>
        <v>0</v>
      </c>
      <c r="AE37" s="1239">
        <f t="shared" si="5"/>
        <v>0</v>
      </c>
      <c r="AF37" s="1239">
        <f t="shared" si="5"/>
        <v>0</v>
      </c>
      <c r="AG37" s="1239">
        <f t="shared" si="5"/>
        <v>0</v>
      </c>
      <c r="AH37" s="1239">
        <f t="shared" si="5"/>
        <v>0</v>
      </c>
      <c r="AI37" s="1239">
        <f t="shared" si="5"/>
        <v>0</v>
      </c>
      <c r="AJ37" s="1239">
        <f t="shared" si="5"/>
        <v>0</v>
      </c>
      <c r="AK37" s="1239">
        <f t="shared" si="5"/>
        <v>0</v>
      </c>
      <c r="AL37" s="1239">
        <f t="shared" si="5"/>
        <v>0</v>
      </c>
      <c r="AM37" s="1239">
        <f t="shared" si="5"/>
        <v>0</v>
      </c>
      <c r="AN37" s="1239">
        <f t="shared" si="5"/>
        <v>0</v>
      </c>
      <c r="AO37" s="1239">
        <f t="shared" si="5"/>
        <v>0</v>
      </c>
      <c r="AP37" s="1239">
        <f t="shared" si="5"/>
        <v>0</v>
      </c>
      <c r="AQ37" s="1239">
        <f t="shared" si="5"/>
        <v>0</v>
      </c>
      <c r="AR37" s="1239">
        <f t="shared" si="5"/>
        <v>0</v>
      </c>
      <c r="AS37" s="1239">
        <f t="shared" si="5"/>
        <v>0</v>
      </c>
      <c r="AT37" s="1239">
        <f t="shared" si="5"/>
        <v>0</v>
      </c>
      <c r="AU37" s="1239">
        <f t="shared" si="5"/>
        <v>0</v>
      </c>
      <c r="AV37" s="1239">
        <f t="shared" si="5"/>
        <v>0</v>
      </c>
      <c r="AW37" s="1239">
        <f t="shared" si="5"/>
        <v>0</v>
      </c>
      <c r="AX37" s="1239">
        <f t="shared" si="5"/>
        <v>0</v>
      </c>
      <c r="AY37" s="1239">
        <f t="shared" si="5"/>
        <v>0</v>
      </c>
      <c r="AZ37" s="1239">
        <f t="shared" si="5"/>
        <v>0</v>
      </c>
      <c r="BA37" s="1239">
        <f t="shared" si="5"/>
        <v>0</v>
      </c>
      <c r="BB37" s="1239">
        <f t="shared" si="5"/>
        <v>0</v>
      </c>
      <c r="BC37" s="1239">
        <f t="shared" si="5"/>
        <v>0</v>
      </c>
      <c r="BD37" s="1239">
        <f t="shared" si="5"/>
        <v>0</v>
      </c>
      <c r="BE37" s="1240">
        <f t="shared" si="5"/>
        <v>0</v>
      </c>
    </row>
    <row r="38" spans="2:57" x14ac:dyDescent="0.25">
      <c r="B38" s="223" t="s">
        <v>190</v>
      </c>
      <c r="C38" s="221"/>
      <c r="D38" s="221"/>
      <c r="E38" s="225"/>
      <c r="F38" s="225" t="s">
        <v>631</v>
      </c>
      <c r="G38" s="221"/>
      <c r="H38" s="1239">
        <f t="shared" ref="H38:P38" si="6">+H351</f>
        <v>27524.178832116784</v>
      </c>
      <c r="I38" s="1239">
        <f t="shared" si="6"/>
        <v>25937.763604722077</v>
      </c>
      <c r="J38" s="1239">
        <f t="shared" si="6"/>
        <v>24263.698936013803</v>
      </c>
      <c r="K38" s="1239">
        <f t="shared" si="6"/>
        <v>22497.1421943594</v>
      </c>
      <c r="L38" s="1239">
        <f t="shared" si="6"/>
        <v>20632.983192728592</v>
      </c>
      <c r="M38" s="1239">
        <f t="shared" si="6"/>
        <v>18665.829406257682</v>
      </c>
      <c r="N38" s="1239">
        <f t="shared" si="6"/>
        <v>16589.990373084252</v>
      </c>
      <c r="O38" s="1239">
        <f t="shared" si="6"/>
        <v>14399.461233327986</v>
      </c>
      <c r="P38" s="1239">
        <f t="shared" si="6"/>
        <v>12087.905358600196</v>
      </c>
      <c r="Q38" s="1239">
        <f t="shared" ref="Q38:BE38" si="7">+Q351</f>
        <v>9648.636021793689</v>
      </c>
      <c r="R38" s="1239">
        <f t="shared" si="7"/>
        <v>7074.5970541286233</v>
      </c>
      <c r="S38" s="1239">
        <f t="shared" si="7"/>
        <v>4358.3424335000655</v>
      </c>
      <c r="T38" s="1239">
        <f t="shared" si="7"/>
        <v>0</v>
      </c>
      <c r="U38" s="1239">
        <f t="shared" si="7"/>
        <v>0</v>
      </c>
      <c r="V38" s="1239">
        <f t="shared" si="7"/>
        <v>0</v>
      </c>
      <c r="W38" s="1239">
        <f t="shared" si="7"/>
        <v>0</v>
      </c>
      <c r="X38" s="1239">
        <f t="shared" si="7"/>
        <v>0</v>
      </c>
      <c r="Y38" s="1239">
        <f t="shared" si="7"/>
        <v>0</v>
      </c>
      <c r="Z38" s="1239">
        <f t="shared" si="7"/>
        <v>0</v>
      </c>
      <c r="AA38" s="1239">
        <f t="shared" si="7"/>
        <v>0</v>
      </c>
      <c r="AB38" s="1239">
        <f t="shared" si="7"/>
        <v>0</v>
      </c>
      <c r="AC38" s="1239">
        <f t="shared" si="7"/>
        <v>0</v>
      </c>
      <c r="AD38" s="1239">
        <f t="shared" si="7"/>
        <v>0</v>
      </c>
      <c r="AE38" s="1239">
        <f t="shared" si="7"/>
        <v>0</v>
      </c>
      <c r="AF38" s="1239">
        <f t="shared" si="7"/>
        <v>0</v>
      </c>
      <c r="AG38" s="1239">
        <f t="shared" si="7"/>
        <v>0</v>
      </c>
      <c r="AH38" s="1239">
        <f t="shared" si="7"/>
        <v>0</v>
      </c>
      <c r="AI38" s="1239">
        <f t="shared" si="7"/>
        <v>0</v>
      </c>
      <c r="AJ38" s="1239">
        <f t="shared" si="7"/>
        <v>0</v>
      </c>
      <c r="AK38" s="1239">
        <f t="shared" si="7"/>
        <v>0</v>
      </c>
      <c r="AL38" s="1239">
        <f t="shared" si="7"/>
        <v>0</v>
      </c>
      <c r="AM38" s="1239">
        <f t="shared" si="7"/>
        <v>0</v>
      </c>
      <c r="AN38" s="1239">
        <f t="shared" si="7"/>
        <v>0</v>
      </c>
      <c r="AO38" s="1239">
        <f t="shared" si="7"/>
        <v>0</v>
      </c>
      <c r="AP38" s="1239">
        <f t="shared" si="7"/>
        <v>0</v>
      </c>
      <c r="AQ38" s="1239">
        <f t="shared" si="7"/>
        <v>0</v>
      </c>
      <c r="AR38" s="1239">
        <f t="shared" si="7"/>
        <v>0</v>
      </c>
      <c r="AS38" s="1239">
        <f t="shared" si="7"/>
        <v>0</v>
      </c>
      <c r="AT38" s="1239">
        <f t="shared" si="7"/>
        <v>0</v>
      </c>
      <c r="AU38" s="1239">
        <f t="shared" si="7"/>
        <v>0</v>
      </c>
      <c r="AV38" s="1239">
        <f t="shared" si="7"/>
        <v>0</v>
      </c>
      <c r="AW38" s="1239">
        <f t="shared" si="7"/>
        <v>0</v>
      </c>
      <c r="AX38" s="1239">
        <f t="shared" si="7"/>
        <v>0</v>
      </c>
      <c r="AY38" s="1239">
        <f t="shared" si="7"/>
        <v>0</v>
      </c>
      <c r="AZ38" s="1239">
        <f t="shared" si="7"/>
        <v>0</v>
      </c>
      <c r="BA38" s="1239">
        <f t="shared" si="7"/>
        <v>0</v>
      </c>
      <c r="BB38" s="1239">
        <f t="shared" si="7"/>
        <v>0</v>
      </c>
      <c r="BC38" s="1239">
        <f t="shared" si="7"/>
        <v>0</v>
      </c>
      <c r="BD38" s="1239">
        <f t="shared" si="7"/>
        <v>0</v>
      </c>
      <c r="BE38" s="1240">
        <f t="shared" si="7"/>
        <v>0</v>
      </c>
    </row>
    <row r="39" spans="2:57" x14ac:dyDescent="0.25">
      <c r="B39" s="223" t="s">
        <v>132</v>
      </c>
      <c r="C39" s="221"/>
      <c r="D39" s="221"/>
      <c r="E39" s="225"/>
      <c r="F39" s="225" t="s">
        <v>631</v>
      </c>
      <c r="G39" s="221"/>
      <c r="H39" s="1239">
        <f t="shared" ref="H39:P39" si="8">(H320+H341+H362)</f>
        <v>0</v>
      </c>
      <c r="I39" s="1239">
        <f t="shared" si="8"/>
        <v>0</v>
      </c>
      <c r="J39" s="1239">
        <f t="shared" si="8"/>
        <v>0</v>
      </c>
      <c r="K39" s="1239">
        <f t="shared" si="8"/>
        <v>0</v>
      </c>
      <c r="L39" s="1239">
        <f t="shared" si="8"/>
        <v>0</v>
      </c>
      <c r="M39" s="1239">
        <f t="shared" si="8"/>
        <v>0</v>
      </c>
      <c r="N39" s="1239">
        <f t="shared" si="8"/>
        <v>0</v>
      </c>
      <c r="O39" s="1239">
        <f t="shared" si="8"/>
        <v>0</v>
      </c>
      <c r="P39" s="1239">
        <f t="shared" si="8"/>
        <v>0</v>
      </c>
      <c r="Q39" s="1239">
        <f t="shared" ref="Q39:BE39" si="9">(Q320+Q341+Q362)</f>
        <v>0</v>
      </c>
      <c r="R39" s="1239">
        <f t="shared" si="9"/>
        <v>0</v>
      </c>
      <c r="S39" s="1239">
        <f t="shared" si="9"/>
        <v>0</v>
      </c>
      <c r="T39" s="1239">
        <f t="shared" si="9"/>
        <v>0</v>
      </c>
      <c r="U39" s="1239">
        <f t="shared" si="9"/>
        <v>0</v>
      </c>
      <c r="V39" s="1239">
        <f t="shared" si="9"/>
        <v>0</v>
      </c>
      <c r="W39" s="1239">
        <f t="shared" si="9"/>
        <v>0</v>
      </c>
      <c r="X39" s="1239">
        <f t="shared" si="9"/>
        <v>0</v>
      </c>
      <c r="Y39" s="1239">
        <f t="shared" si="9"/>
        <v>0</v>
      </c>
      <c r="Z39" s="1239">
        <f t="shared" si="9"/>
        <v>0</v>
      </c>
      <c r="AA39" s="1239">
        <f t="shared" si="9"/>
        <v>0</v>
      </c>
      <c r="AB39" s="1239">
        <f t="shared" si="9"/>
        <v>0</v>
      </c>
      <c r="AC39" s="1239">
        <f t="shared" si="9"/>
        <v>0</v>
      </c>
      <c r="AD39" s="1239">
        <f t="shared" si="9"/>
        <v>0</v>
      </c>
      <c r="AE39" s="1239">
        <f t="shared" si="9"/>
        <v>0</v>
      </c>
      <c r="AF39" s="1239">
        <f t="shared" si="9"/>
        <v>0</v>
      </c>
      <c r="AG39" s="1239">
        <f t="shared" si="9"/>
        <v>0</v>
      </c>
      <c r="AH39" s="1239">
        <f t="shared" si="9"/>
        <v>0</v>
      </c>
      <c r="AI39" s="1239">
        <f t="shared" si="9"/>
        <v>0</v>
      </c>
      <c r="AJ39" s="1239">
        <f t="shared" si="9"/>
        <v>0</v>
      </c>
      <c r="AK39" s="1239">
        <f t="shared" si="9"/>
        <v>0</v>
      </c>
      <c r="AL39" s="1239">
        <f t="shared" si="9"/>
        <v>0</v>
      </c>
      <c r="AM39" s="1239">
        <f t="shared" si="9"/>
        <v>0</v>
      </c>
      <c r="AN39" s="1239">
        <f t="shared" si="9"/>
        <v>0</v>
      </c>
      <c r="AO39" s="1239">
        <f t="shared" si="9"/>
        <v>0</v>
      </c>
      <c r="AP39" s="1239">
        <f t="shared" si="9"/>
        <v>0</v>
      </c>
      <c r="AQ39" s="1239">
        <f t="shared" si="9"/>
        <v>0</v>
      </c>
      <c r="AR39" s="1239">
        <f t="shared" si="9"/>
        <v>0</v>
      </c>
      <c r="AS39" s="1239">
        <f t="shared" si="9"/>
        <v>0</v>
      </c>
      <c r="AT39" s="1239">
        <f t="shared" si="9"/>
        <v>0</v>
      </c>
      <c r="AU39" s="1239">
        <f t="shared" si="9"/>
        <v>0</v>
      </c>
      <c r="AV39" s="1239">
        <f t="shared" si="9"/>
        <v>0</v>
      </c>
      <c r="AW39" s="1239">
        <f t="shared" si="9"/>
        <v>0</v>
      </c>
      <c r="AX39" s="1239">
        <f t="shared" si="9"/>
        <v>0</v>
      </c>
      <c r="AY39" s="1239">
        <f t="shared" si="9"/>
        <v>0</v>
      </c>
      <c r="AZ39" s="1239">
        <f t="shared" si="9"/>
        <v>0</v>
      </c>
      <c r="BA39" s="1239">
        <f t="shared" si="9"/>
        <v>0</v>
      </c>
      <c r="BB39" s="1239">
        <f t="shared" si="9"/>
        <v>0</v>
      </c>
      <c r="BC39" s="1239">
        <f t="shared" si="9"/>
        <v>0</v>
      </c>
      <c r="BD39" s="1239">
        <f t="shared" si="9"/>
        <v>0</v>
      </c>
      <c r="BE39" s="1240">
        <f t="shared" si="9"/>
        <v>0</v>
      </c>
    </row>
    <row r="40" spans="2:57" x14ac:dyDescent="0.25">
      <c r="B40" s="223" t="s">
        <v>191</v>
      </c>
      <c r="C40" s="221"/>
      <c r="D40" s="221"/>
      <c r="E40" s="225"/>
      <c r="F40" s="225" t="s">
        <v>631</v>
      </c>
      <c r="G40" s="221"/>
      <c r="H40" s="1239">
        <f t="shared" ref="H40:P40" si="10">(H342+H343)</f>
        <v>0</v>
      </c>
      <c r="I40" s="1239">
        <f t="shared" si="10"/>
        <v>0</v>
      </c>
      <c r="J40" s="1239">
        <f t="shared" si="10"/>
        <v>0</v>
      </c>
      <c r="K40" s="1239">
        <f t="shared" si="10"/>
        <v>0</v>
      </c>
      <c r="L40" s="1239">
        <f t="shared" si="10"/>
        <v>0</v>
      </c>
      <c r="M40" s="1239">
        <f t="shared" si="10"/>
        <v>0</v>
      </c>
      <c r="N40" s="1239">
        <f t="shared" si="10"/>
        <v>0</v>
      </c>
      <c r="O40" s="1239">
        <f t="shared" si="10"/>
        <v>0</v>
      </c>
      <c r="P40" s="1239">
        <f t="shared" si="10"/>
        <v>0</v>
      </c>
      <c r="Q40" s="1239">
        <f t="shared" ref="Q40:BE40" si="11">(Q342+Q343)</f>
        <v>0</v>
      </c>
      <c r="R40" s="1239">
        <f t="shared" si="11"/>
        <v>0</v>
      </c>
      <c r="S40" s="1239">
        <f t="shared" si="11"/>
        <v>0</v>
      </c>
      <c r="T40" s="1239">
        <f t="shared" si="11"/>
        <v>0</v>
      </c>
      <c r="U40" s="1239">
        <f t="shared" si="11"/>
        <v>0</v>
      </c>
      <c r="V40" s="1239">
        <f t="shared" si="11"/>
        <v>0</v>
      </c>
      <c r="W40" s="1239">
        <f t="shared" si="11"/>
        <v>0</v>
      </c>
      <c r="X40" s="1239">
        <f t="shared" si="11"/>
        <v>0</v>
      </c>
      <c r="Y40" s="1239">
        <f t="shared" si="11"/>
        <v>0</v>
      </c>
      <c r="Z40" s="1239">
        <f t="shared" si="11"/>
        <v>0</v>
      </c>
      <c r="AA40" s="1239">
        <f t="shared" si="11"/>
        <v>0</v>
      </c>
      <c r="AB40" s="1239">
        <f t="shared" si="11"/>
        <v>0</v>
      </c>
      <c r="AC40" s="1239">
        <f t="shared" si="11"/>
        <v>0</v>
      </c>
      <c r="AD40" s="1239">
        <f t="shared" si="11"/>
        <v>0</v>
      </c>
      <c r="AE40" s="1239">
        <f t="shared" si="11"/>
        <v>0</v>
      </c>
      <c r="AF40" s="1239">
        <f t="shared" si="11"/>
        <v>0</v>
      </c>
      <c r="AG40" s="1239">
        <f t="shared" si="11"/>
        <v>0</v>
      </c>
      <c r="AH40" s="1239">
        <f t="shared" si="11"/>
        <v>0</v>
      </c>
      <c r="AI40" s="1239">
        <f t="shared" si="11"/>
        <v>0</v>
      </c>
      <c r="AJ40" s="1239">
        <f t="shared" si="11"/>
        <v>0</v>
      </c>
      <c r="AK40" s="1239">
        <f t="shared" si="11"/>
        <v>0</v>
      </c>
      <c r="AL40" s="1239">
        <f t="shared" si="11"/>
        <v>0</v>
      </c>
      <c r="AM40" s="1239">
        <f t="shared" si="11"/>
        <v>0</v>
      </c>
      <c r="AN40" s="1239">
        <f t="shared" si="11"/>
        <v>0</v>
      </c>
      <c r="AO40" s="1239">
        <f t="shared" si="11"/>
        <v>0</v>
      </c>
      <c r="AP40" s="1239">
        <f t="shared" si="11"/>
        <v>0</v>
      </c>
      <c r="AQ40" s="1239">
        <f t="shared" si="11"/>
        <v>0</v>
      </c>
      <c r="AR40" s="1239">
        <f t="shared" si="11"/>
        <v>0</v>
      </c>
      <c r="AS40" s="1239">
        <f t="shared" si="11"/>
        <v>0</v>
      </c>
      <c r="AT40" s="1239">
        <f t="shared" si="11"/>
        <v>0</v>
      </c>
      <c r="AU40" s="1239">
        <f t="shared" si="11"/>
        <v>0</v>
      </c>
      <c r="AV40" s="1239">
        <f t="shared" si="11"/>
        <v>0</v>
      </c>
      <c r="AW40" s="1239">
        <f t="shared" si="11"/>
        <v>0</v>
      </c>
      <c r="AX40" s="1239">
        <f t="shared" si="11"/>
        <v>0</v>
      </c>
      <c r="AY40" s="1239">
        <f t="shared" si="11"/>
        <v>0</v>
      </c>
      <c r="AZ40" s="1239">
        <f t="shared" si="11"/>
        <v>0</v>
      </c>
      <c r="BA40" s="1239">
        <f t="shared" si="11"/>
        <v>0</v>
      </c>
      <c r="BB40" s="1239">
        <f t="shared" si="11"/>
        <v>0</v>
      </c>
      <c r="BC40" s="1239">
        <f t="shared" si="11"/>
        <v>0</v>
      </c>
      <c r="BD40" s="1239">
        <f t="shared" si="11"/>
        <v>0</v>
      </c>
      <c r="BE40" s="1240">
        <f t="shared" si="11"/>
        <v>0</v>
      </c>
    </row>
    <row r="41" spans="2:57" x14ac:dyDescent="0.25">
      <c r="B41" s="223" t="s">
        <v>134</v>
      </c>
      <c r="C41" s="221"/>
      <c r="D41" s="221"/>
      <c r="E41" s="225"/>
      <c r="F41" s="225" t="s">
        <v>631</v>
      </c>
      <c r="G41" s="221"/>
      <c r="H41" s="1239">
        <f t="shared" ref="H41:P41" si="12">(H372+H373)</f>
        <v>0</v>
      </c>
      <c r="I41" s="1239">
        <f t="shared" si="12"/>
        <v>0</v>
      </c>
      <c r="J41" s="1239">
        <f t="shared" si="12"/>
        <v>0</v>
      </c>
      <c r="K41" s="1239">
        <f t="shared" si="12"/>
        <v>0</v>
      </c>
      <c r="L41" s="1239">
        <f t="shared" si="12"/>
        <v>0</v>
      </c>
      <c r="M41" s="1239">
        <f t="shared" si="12"/>
        <v>0</v>
      </c>
      <c r="N41" s="1239">
        <f t="shared" si="12"/>
        <v>0</v>
      </c>
      <c r="O41" s="1239">
        <f t="shared" si="12"/>
        <v>0</v>
      </c>
      <c r="P41" s="1239">
        <f t="shared" si="12"/>
        <v>0</v>
      </c>
      <c r="Q41" s="1239">
        <f t="shared" ref="Q41:BE41" si="13">(Q372+Q373)</f>
        <v>0</v>
      </c>
      <c r="R41" s="1239">
        <f t="shared" si="13"/>
        <v>0</v>
      </c>
      <c r="S41" s="1239">
        <f t="shared" si="13"/>
        <v>0</v>
      </c>
      <c r="T41" s="1239">
        <f t="shared" si="13"/>
        <v>0</v>
      </c>
      <c r="U41" s="1239">
        <f t="shared" si="13"/>
        <v>0</v>
      </c>
      <c r="V41" s="1239">
        <f t="shared" si="13"/>
        <v>0</v>
      </c>
      <c r="W41" s="1239">
        <f t="shared" si="13"/>
        <v>0</v>
      </c>
      <c r="X41" s="1239">
        <f t="shared" si="13"/>
        <v>0</v>
      </c>
      <c r="Y41" s="1239">
        <f t="shared" si="13"/>
        <v>0</v>
      </c>
      <c r="Z41" s="1239">
        <f t="shared" si="13"/>
        <v>0</v>
      </c>
      <c r="AA41" s="1239">
        <f t="shared" si="13"/>
        <v>0</v>
      </c>
      <c r="AB41" s="1239">
        <f t="shared" si="13"/>
        <v>0</v>
      </c>
      <c r="AC41" s="1239">
        <f t="shared" si="13"/>
        <v>0</v>
      </c>
      <c r="AD41" s="1239">
        <f t="shared" si="13"/>
        <v>0</v>
      </c>
      <c r="AE41" s="1239">
        <f t="shared" si="13"/>
        <v>0</v>
      </c>
      <c r="AF41" s="1239">
        <f t="shared" si="13"/>
        <v>0</v>
      </c>
      <c r="AG41" s="1239">
        <f t="shared" si="13"/>
        <v>0</v>
      </c>
      <c r="AH41" s="1239">
        <f t="shared" si="13"/>
        <v>0</v>
      </c>
      <c r="AI41" s="1239">
        <f t="shared" si="13"/>
        <v>0</v>
      </c>
      <c r="AJ41" s="1239">
        <f t="shared" si="13"/>
        <v>0</v>
      </c>
      <c r="AK41" s="1239">
        <f t="shared" si="13"/>
        <v>0</v>
      </c>
      <c r="AL41" s="1239">
        <f t="shared" si="13"/>
        <v>0</v>
      </c>
      <c r="AM41" s="1239">
        <f t="shared" si="13"/>
        <v>0</v>
      </c>
      <c r="AN41" s="1239">
        <f t="shared" si="13"/>
        <v>0</v>
      </c>
      <c r="AO41" s="1239">
        <f t="shared" si="13"/>
        <v>0</v>
      </c>
      <c r="AP41" s="1239">
        <f t="shared" si="13"/>
        <v>0</v>
      </c>
      <c r="AQ41" s="1239">
        <f t="shared" si="13"/>
        <v>0</v>
      </c>
      <c r="AR41" s="1239">
        <f t="shared" si="13"/>
        <v>0</v>
      </c>
      <c r="AS41" s="1239">
        <f t="shared" si="13"/>
        <v>0</v>
      </c>
      <c r="AT41" s="1239">
        <f t="shared" si="13"/>
        <v>0</v>
      </c>
      <c r="AU41" s="1239">
        <f t="shared" si="13"/>
        <v>0</v>
      </c>
      <c r="AV41" s="1239">
        <f t="shared" si="13"/>
        <v>0</v>
      </c>
      <c r="AW41" s="1239">
        <f t="shared" si="13"/>
        <v>0</v>
      </c>
      <c r="AX41" s="1239">
        <f t="shared" si="13"/>
        <v>0</v>
      </c>
      <c r="AY41" s="1239">
        <f t="shared" si="13"/>
        <v>0</v>
      </c>
      <c r="AZ41" s="1239">
        <f t="shared" si="13"/>
        <v>0</v>
      </c>
      <c r="BA41" s="1239">
        <f t="shared" si="13"/>
        <v>0</v>
      </c>
      <c r="BB41" s="1239">
        <f t="shared" si="13"/>
        <v>0</v>
      </c>
      <c r="BC41" s="1239">
        <f t="shared" si="13"/>
        <v>0</v>
      </c>
      <c r="BD41" s="1239">
        <f t="shared" si="13"/>
        <v>0</v>
      </c>
      <c r="BE41" s="1240">
        <f t="shared" si="13"/>
        <v>0</v>
      </c>
    </row>
    <row r="42" spans="2:57" x14ac:dyDescent="0.25">
      <c r="B42" s="223"/>
      <c r="C42" s="221"/>
      <c r="D42" s="221"/>
      <c r="E42" s="225"/>
      <c r="F42" s="225"/>
      <c r="G42" s="221"/>
      <c r="H42" s="1239"/>
      <c r="I42" s="1239"/>
      <c r="J42" s="1239"/>
      <c r="K42" s="1239"/>
      <c r="L42" s="1239"/>
      <c r="M42" s="1239"/>
      <c r="N42" s="1239"/>
      <c r="O42" s="1239"/>
      <c r="P42" s="1239"/>
      <c r="Q42" s="1239"/>
      <c r="R42" s="1239"/>
      <c r="S42" s="1239"/>
      <c r="T42" s="1239"/>
      <c r="U42" s="1239"/>
      <c r="V42" s="1239"/>
      <c r="W42" s="1239"/>
      <c r="X42" s="1239"/>
      <c r="Y42" s="1239"/>
      <c r="Z42" s="1239"/>
      <c r="AA42" s="1239"/>
      <c r="AB42" s="1239"/>
      <c r="AC42" s="1239"/>
      <c r="AD42" s="1239"/>
      <c r="AE42" s="1239"/>
      <c r="AF42" s="1239"/>
      <c r="AG42" s="1239"/>
      <c r="AH42" s="1239"/>
      <c r="AI42" s="1239"/>
      <c r="AJ42" s="1239"/>
      <c r="AK42" s="1239"/>
      <c r="AL42" s="1239"/>
      <c r="AM42" s="1239"/>
      <c r="AN42" s="1239"/>
      <c r="AO42" s="1239"/>
      <c r="AP42" s="1239"/>
      <c r="AQ42" s="1239"/>
      <c r="AR42" s="1239"/>
      <c r="AS42" s="1239"/>
      <c r="AT42" s="1239"/>
      <c r="AU42" s="1239"/>
      <c r="AV42" s="1239"/>
      <c r="AW42" s="1239"/>
      <c r="AX42" s="1239"/>
      <c r="AY42" s="1239"/>
      <c r="AZ42" s="1239"/>
      <c r="BA42" s="1239"/>
      <c r="BB42" s="1239"/>
      <c r="BC42" s="1239"/>
      <c r="BD42" s="1239"/>
      <c r="BE42" s="1240"/>
    </row>
    <row r="43" spans="2:57" x14ac:dyDescent="0.25">
      <c r="B43" s="223"/>
      <c r="C43" s="221"/>
      <c r="D43" s="221"/>
      <c r="E43" s="225"/>
      <c r="F43" s="225"/>
      <c r="G43" s="221"/>
      <c r="H43" s="1239"/>
      <c r="I43" s="1239"/>
      <c r="J43" s="1239"/>
      <c r="K43" s="1239"/>
      <c r="L43" s="1239"/>
      <c r="M43" s="1239"/>
      <c r="N43" s="1239"/>
      <c r="O43" s="1239"/>
      <c r="P43" s="1239"/>
      <c r="Q43" s="1239"/>
      <c r="R43" s="1239"/>
      <c r="S43" s="1239"/>
      <c r="T43" s="1239"/>
      <c r="U43" s="1239"/>
      <c r="V43" s="1239"/>
      <c r="W43" s="1239"/>
      <c r="X43" s="1239"/>
      <c r="Y43" s="1239"/>
      <c r="Z43" s="1239"/>
      <c r="AA43" s="1239"/>
      <c r="AB43" s="1239"/>
      <c r="AC43" s="1239"/>
      <c r="AD43" s="1239"/>
      <c r="AE43" s="1239"/>
      <c r="AF43" s="1239"/>
      <c r="AG43" s="1239"/>
      <c r="AH43" s="1239"/>
      <c r="AI43" s="1239"/>
      <c r="AJ43" s="1239"/>
      <c r="AK43" s="1239"/>
      <c r="AL43" s="1239"/>
      <c r="AM43" s="1239"/>
      <c r="AN43" s="1239"/>
      <c r="AO43" s="1239"/>
      <c r="AP43" s="1239"/>
      <c r="AQ43" s="1239"/>
      <c r="AR43" s="1239"/>
      <c r="AS43" s="1239"/>
      <c r="AT43" s="1239"/>
      <c r="AU43" s="1239"/>
      <c r="AV43" s="1239"/>
      <c r="AW43" s="1239"/>
      <c r="AX43" s="1239"/>
      <c r="AY43" s="1239"/>
      <c r="AZ43" s="1239"/>
      <c r="BA43" s="1239"/>
      <c r="BB43" s="1239"/>
      <c r="BC43" s="1239"/>
      <c r="BD43" s="1239"/>
      <c r="BE43" s="1240"/>
    </row>
    <row r="44" spans="2:57" x14ac:dyDescent="0.25">
      <c r="B44" s="220" t="s">
        <v>133</v>
      </c>
      <c r="C44" s="221"/>
      <c r="D44" s="221"/>
      <c r="E44" s="225"/>
      <c r="F44" s="225"/>
      <c r="G44" s="221"/>
      <c r="H44" s="1239"/>
      <c r="I44" s="1239"/>
      <c r="J44" s="1239"/>
      <c r="K44" s="1239"/>
      <c r="L44" s="1239"/>
      <c r="M44" s="1239"/>
      <c r="N44" s="1239"/>
      <c r="O44" s="1239"/>
      <c r="P44" s="1239"/>
      <c r="Q44" s="1239"/>
      <c r="R44" s="1239"/>
      <c r="S44" s="1239"/>
      <c r="T44" s="1239"/>
      <c r="U44" s="1239"/>
      <c r="V44" s="1239"/>
      <c r="W44" s="1239"/>
      <c r="X44" s="1239"/>
      <c r="Y44" s="1239"/>
      <c r="Z44" s="1239"/>
      <c r="AA44" s="1239"/>
      <c r="AB44" s="1239"/>
      <c r="AC44" s="1239"/>
      <c r="AD44" s="1239"/>
      <c r="AE44" s="1239"/>
      <c r="AF44" s="1239"/>
      <c r="AG44" s="1239"/>
      <c r="AH44" s="1239"/>
      <c r="AI44" s="1239"/>
      <c r="AJ44" s="1239"/>
      <c r="AK44" s="1239"/>
      <c r="AL44" s="1239"/>
      <c r="AM44" s="1239"/>
      <c r="AN44" s="1239"/>
      <c r="AO44" s="1239"/>
      <c r="AP44" s="1239"/>
      <c r="AQ44" s="1239"/>
      <c r="AR44" s="1239"/>
      <c r="AS44" s="1239"/>
      <c r="AT44" s="1239"/>
      <c r="AU44" s="1239"/>
      <c r="AV44" s="1239"/>
      <c r="AW44" s="1239"/>
      <c r="AX44" s="1239"/>
      <c r="AY44" s="1239"/>
      <c r="AZ44" s="1239"/>
      <c r="BA44" s="1239"/>
      <c r="BB44" s="1239"/>
      <c r="BC44" s="1239"/>
      <c r="BD44" s="1239"/>
      <c r="BE44" s="1240"/>
    </row>
    <row r="45" spans="2:57" x14ac:dyDescent="0.25">
      <c r="B45" s="223"/>
      <c r="C45" s="221"/>
      <c r="D45" s="221"/>
      <c r="E45" s="225"/>
      <c r="F45" s="225"/>
      <c r="G45" s="221"/>
      <c r="H45" s="1239"/>
      <c r="I45" s="1239"/>
      <c r="J45" s="1239"/>
      <c r="K45" s="1239"/>
      <c r="L45" s="1239"/>
      <c r="M45" s="1239"/>
      <c r="N45" s="1239"/>
      <c r="O45" s="1239"/>
      <c r="P45" s="1239"/>
      <c r="Q45" s="1239"/>
      <c r="R45" s="1239"/>
      <c r="S45" s="1239"/>
      <c r="T45" s="1239"/>
      <c r="U45" s="1239"/>
      <c r="V45" s="1239"/>
      <c r="W45" s="1239"/>
      <c r="X45" s="1239"/>
      <c r="Y45" s="1239"/>
      <c r="Z45" s="1239"/>
      <c r="AA45" s="1239"/>
      <c r="AB45" s="1239"/>
      <c r="AC45" s="1239"/>
      <c r="AD45" s="1239"/>
      <c r="AE45" s="1239"/>
      <c r="AF45" s="1239"/>
      <c r="AG45" s="1239"/>
      <c r="AH45" s="1239"/>
      <c r="AI45" s="1239"/>
      <c r="AJ45" s="1239"/>
      <c r="AK45" s="1239"/>
      <c r="AL45" s="1239"/>
      <c r="AM45" s="1239"/>
      <c r="AN45" s="1239"/>
      <c r="AO45" s="1239"/>
      <c r="AP45" s="1239"/>
      <c r="AQ45" s="1239"/>
      <c r="AR45" s="1239"/>
      <c r="AS45" s="1239"/>
      <c r="AT45" s="1239"/>
      <c r="AU45" s="1239"/>
      <c r="AV45" s="1239"/>
      <c r="AW45" s="1239"/>
      <c r="AX45" s="1239"/>
      <c r="AY45" s="1239"/>
      <c r="AZ45" s="1239"/>
      <c r="BA45" s="1239"/>
      <c r="BB45" s="1239"/>
      <c r="BC45" s="1239"/>
      <c r="BD45" s="1239"/>
      <c r="BE45" s="1240"/>
    </row>
    <row r="46" spans="2:57" x14ac:dyDescent="0.25">
      <c r="B46" s="223" t="str">
        <f>B24</f>
        <v>Operations &amp; Maintenance Expenses, excluding fuel cost</v>
      </c>
      <c r="C46" s="221"/>
      <c r="D46" s="221"/>
      <c r="E46" s="225"/>
      <c r="F46" s="225" t="s">
        <v>631</v>
      </c>
      <c r="G46" s="221"/>
      <c r="H46" s="1239">
        <f t="shared" ref="H46:AM46" si="14">-H24</f>
        <v>-25620.437956204376</v>
      </c>
      <c r="I46" s="1239">
        <f t="shared" si="14"/>
        <v>-25620.437956204376</v>
      </c>
      <c r="J46" s="1239">
        <f t="shared" si="14"/>
        <v>-25620.437956204376</v>
      </c>
      <c r="K46" s="1239">
        <f t="shared" si="14"/>
        <v>-25620.437956204376</v>
      </c>
      <c r="L46" s="1239">
        <f t="shared" si="14"/>
        <v>-25620.437956204376</v>
      </c>
      <c r="M46" s="1239">
        <f t="shared" si="14"/>
        <v>-25620.437956204376</v>
      </c>
      <c r="N46" s="1239">
        <f t="shared" si="14"/>
        <v>-25620.437956204376</v>
      </c>
      <c r="O46" s="1239">
        <f t="shared" si="14"/>
        <v>-25620.437956204376</v>
      </c>
      <c r="P46" s="1239">
        <f t="shared" si="14"/>
        <v>-25620.437956204376</v>
      </c>
      <c r="Q46" s="1239">
        <f t="shared" si="14"/>
        <v>-25620.437956204376</v>
      </c>
      <c r="R46" s="1239">
        <f t="shared" si="14"/>
        <v>-25620.437956204376</v>
      </c>
      <c r="S46" s="1239">
        <f t="shared" si="14"/>
        <v>-25620.437956204376</v>
      </c>
      <c r="T46" s="1239">
        <f t="shared" si="14"/>
        <v>-25620.437956204376</v>
      </c>
      <c r="U46" s="1239">
        <f t="shared" si="14"/>
        <v>-25620.437956204376</v>
      </c>
      <c r="V46" s="1239">
        <f t="shared" si="14"/>
        <v>-25620.437956204376</v>
      </c>
      <c r="W46" s="1239">
        <f t="shared" si="14"/>
        <v>-25620.437956204376</v>
      </c>
      <c r="X46" s="1239">
        <f t="shared" si="14"/>
        <v>-25620.437956204376</v>
      </c>
      <c r="Y46" s="1239">
        <f t="shared" si="14"/>
        <v>-25620.437956204376</v>
      </c>
      <c r="Z46" s="1239">
        <f t="shared" si="14"/>
        <v>-25620.437956204376</v>
      </c>
      <c r="AA46" s="1239">
        <f t="shared" si="14"/>
        <v>-25620.437956204376</v>
      </c>
      <c r="AB46" s="1239">
        <f t="shared" si="14"/>
        <v>-25620.437956204376</v>
      </c>
      <c r="AC46" s="1239">
        <f t="shared" si="14"/>
        <v>-25620.437956204376</v>
      </c>
      <c r="AD46" s="1239">
        <f t="shared" si="14"/>
        <v>-25620.437956204376</v>
      </c>
      <c r="AE46" s="1239">
        <f t="shared" si="14"/>
        <v>-25620.437956204376</v>
      </c>
      <c r="AF46" s="1239">
        <f t="shared" si="14"/>
        <v>-25620.437956204376</v>
      </c>
      <c r="AG46" s="1239">
        <f t="shared" si="14"/>
        <v>0</v>
      </c>
      <c r="AH46" s="1239">
        <f t="shared" si="14"/>
        <v>0</v>
      </c>
      <c r="AI46" s="1239">
        <f t="shared" si="14"/>
        <v>0</v>
      </c>
      <c r="AJ46" s="1239">
        <f t="shared" si="14"/>
        <v>0</v>
      </c>
      <c r="AK46" s="1239">
        <f t="shared" si="14"/>
        <v>0</v>
      </c>
      <c r="AL46" s="1239">
        <f t="shared" si="14"/>
        <v>0</v>
      </c>
      <c r="AM46" s="1239">
        <f t="shared" si="14"/>
        <v>0</v>
      </c>
      <c r="AN46" s="1239">
        <f t="shared" ref="AN46:BE46" si="15">-AN24</f>
        <v>0</v>
      </c>
      <c r="AO46" s="1239">
        <f t="shared" si="15"/>
        <v>0</v>
      </c>
      <c r="AP46" s="1239">
        <f t="shared" si="15"/>
        <v>0</v>
      </c>
      <c r="AQ46" s="1239">
        <f t="shared" si="15"/>
        <v>0</v>
      </c>
      <c r="AR46" s="1239">
        <f t="shared" si="15"/>
        <v>0</v>
      </c>
      <c r="AS46" s="1239">
        <f t="shared" si="15"/>
        <v>0</v>
      </c>
      <c r="AT46" s="1239">
        <f t="shared" si="15"/>
        <v>0</v>
      </c>
      <c r="AU46" s="1239">
        <f t="shared" si="15"/>
        <v>0</v>
      </c>
      <c r="AV46" s="1239">
        <f t="shared" si="15"/>
        <v>0</v>
      </c>
      <c r="AW46" s="1239">
        <f t="shared" si="15"/>
        <v>0</v>
      </c>
      <c r="AX46" s="1239">
        <f t="shared" si="15"/>
        <v>0</v>
      </c>
      <c r="AY46" s="1239">
        <f t="shared" si="15"/>
        <v>0</v>
      </c>
      <c r="AZ46" s="1239">
        <f t="shared" si="15"/>
        <v>0</v>
      </c>
      <c r="BA46" s="1239">
        <f t="shared" si="15"/>
        <v>0</v>
      </c>
      <c r="BB46" s="1239">
        <f t="shared" si="15"/>
        <v>0</v>
      </c>
      <c r="BC46" s="1239">
        <f t="shared" si="15"/>
        <v>0</v>
      </c>
      <c r="BD46" s="1239">
        <f t="shared" si="15"/>
        <v>0</v>
      </c>
      <c r="BE46" s="1240">
        <f t="shared" si="15"/>
        <v>0</v>
      </c>
    </row>
    <row r="47" spans="2:57" x14ac:dyDescent="0.25">
      <c r="B47" s="223" t="s">
        <v>41</v>
      </c>
      <c r="C47" s="221"/>
      <c r="D47" s="221"/>
      <c r="E47" s="225"/>
      <c r="F47" s="225" t="s">
        <v>631</v>
      </c>
      <c r="G47" s="221"/>
      <c r="H47" s="1239">
        <f>-H32</f>
        <v>-269223.74086516415</v>
      </c>
      <c r="I47" s="1239">
        <f t="shared" ref="I47:BE47" si="16">-I32</f>
        <v>-277908.37766726624</v>
      </c>
      <c r="J47" s="1239">
        <f t="shared" si="16"/>
        <v>-283698.1355353343</v>
      </c>
      <c r="K47" s="1239">
        <f t="shared" si="16"/>
        <v>-289487.8934034023</v>
      </c>
      <c r="L47" s="1239">
        <f t="shared" si="16"/>
        <v>-295277.65127147036</v>
      </c>
      <c r="M47" s="1239">
        <f t="shared" si="16"/>
        <v>-301067.40913953842</v>
      </c>
      <c r="N47" s="1239">
        <f t="shared" si="16"/>
        <v>-306857.16700760648</v>
      </c>
      <c r="O47" s="1239">
        <f t="shared" si="16"/>
        <v>-313225.90066248132</v>
      </c>
      <c r="P47" s="1239">
        <f t="shared" si="16"/>
        <v>-319594.63431735616</v>
      </c>
      <c r="Q47" s="1239">
        <f t="shared" si="16"/>
        <v>-325963.367972231</v>
      </c>
      <c r="R47" s="1239">
        <f t="shared" si="16"/>
        <v>-332332.10162710579</v>
      </c>
      <c r="S47" s="1239">
        <f t="shared" si="16"/>
        <v>-338700.83528198075</v>
      </c>
      <c r="T47" s="1239">
        <f t="shared" si="16"/>
        <v>-346227.52051046916</v>
      </c>
      <c r="U47" s="1239">
        <f t="shared" si="16"/>
        <v>-353754.20573895762</v>
      </c>
      <c r="V47" s="1239">
        <f t="shared" si="16"/>
        <v>-361280.89096744603</v>
      </c>
      <c r="W47" s="1239">
        <f t="shared" si="16"/>
        <v>-368807.57619593455</v>
      </c>
      <c r="X47" s="1239">
        <f t="shared" si="16"/>
        <v>-376334.26142442302</v>
      </c>
      <c r="Y47" s="1239">
        <f t="shared" si="16"/>
        <v>-385018.89822652505</v>
      </c>
      <c r="Z47" s="1239">
        <f t="shared" si="16"/>
        <v>-393703.53502862714</v>
      </c>
      <c r="AA47" s="1239">
        <f t="shared" si="16"/>
        <v>-402388.17183072923</v>
      </c>
      <c r="AB47" s="1239">
        <f t="shared" si="16"/>
        <v>-411072.80863283126</v>
      </c>
      <c r="AC47" s="1239">
        <f t="shared" si="16"/>
        <v>-419757.44543493335</v>
      </c>
      <c r="AD47" s="1239">
        <f t="shared" si="16"/>
        <v>-430179.00959745585</v>
      </c>
      <c r="AE47" s="1239">
        <f t="shared" si="16"/>
        <v>-440600.57375997829</v>
      </c>
      <c r="AF47" s="1239">
        <f t="shared" si="16"/>
        <v>-451022.13792250078</v>
      </c>
      <c r="AG47" s="1239">
        <f t="shared" si="16"/>
        <v>0</v>
      </c>
      <c r="AH47" s="1239">
        <f t="shared" si="16"/>
        <v>0</v>
      </c>
      <c r="AI47" s="1239">
        <f t="shared" si="16"/>
        <v>0</v>
      </c>
      <c r="AJ47" s="1239">
        <f t="shared" si="16"/>
        <v>0</v>
      </c>
      <c r="AK47" s="1239">
        <f t="shared" si="16"/>
        <v>0</v>
      </c>
      <c r="AL47" s="1239">
        <f t="shared" si="16"/>
        <v>0</v>
      </c>
      <c r="AM47" s="1239">
        <f t="shared" si="16"/>
        <v>0</v>
      </c>
      <c r="AN47" s="1239">
        <f t="shared" si="16"/>
        <v>0</v>
      </c>
      <c r="AO47" s="1239">
        <f t="shared" si="16"/>
        <v>0</v>
      </c>
      <c r="AP47" s="1239">
        <f t="shared" si="16"/>
        <v>0</v>
      </c>
      <c r="AQ47" s="1239">
        <f t="shared" si="16"/>
        <v>0</v>
      </c>
      <c r="AR47" s="1239">
        <f t="shared" si="16"/>
        <v>0</v>
      </c>
      <c r="AS47" s="1239">
        <f t="shared" si="16"/>
        <v>0</v>
      </c>
      <c r="AT47" s="1239">
        <f t="shared" si="16"/>
        <v>0</v>
      </c>
      <c r="AU47" s="1239">
        <f t="shared" si="16"/>
        <v>0</v>
      </c>
      <c r="AV47" s="1239">
        <f t="shared" si="16"/>
        <v>0</v>
      </c>
      <c r="AW47" s="1239">
        <f t="shared" si="16"/>
        <v>0</v>
      </c>
      <c r="AX47" s="1239">
        <f t="shared" si="16"/>
        <v>0</v>
      </c>
      <c r="AY47" s="1239">
        <f t="shared" si="16"/>
        <v>0</v>
      </c>
      <c r="AZ47" s="1239">
        <f t="shared" si="16"/>
        <v>0</v>
      </c>
      <c r="BA47" s="1239">
        <f t="shared" si="16"/>
        <v>0</v>
      </c>
      <c r="BB47" s="1239">
        <f t="shared" si="16"/>
        <v>0</v>
      </c>
      <c r="BC47" s="1239">
        <f t="shared" si="16"/>
        <v>0</v>
      </c>
      <c r="BD47" s="1239">
        <f t="shared" si="16"/>
        <v>0</v>
      </c>
      <c r="BE47" s="1240">
        <f t="shared" si="16"/>
        <v>0</v>
      </c>
    </row>
    <row r="48" spans="2:57" x14ac:dyDescent="0.25">
      <c r="B48" s="223" t="str">
        <f>B39</f>
        <v xml:space="preserve">Front-end Fees </v>
      </c>
      <c r="C48" s="221"/>
      <c r="D48" s="221"/>
      <c r="E48" s="225"/>
      <c r="F48" s="225" t="s">
        <v>631</v>
      </c>
      <c r="G48" s="221"/>
      <c r="H48" s="1239">
        <f t="shared" ref="H48:P48" si="17">-H39</f>
        <v>0</v>
      </c>
      <c r="I48" s="1239">
        <f t="shared" si="17"/>
        <v>0</v>
      </c>
      <c r="J48" s="1239">
        <f t="shared" si="17"/>
        <v>0</v>
      </c>
      <c r="K48" s="1239">
        <f t="shared" si="17"/>
        <v>0</v>
      </c>
      <c r="L48" s="1239">
        <f t="shared" si="17"/>
        <v>0</v>
      </c>
      <c r="M48" s="1239">
        <f t="shared" si="17"/>
        <v>0</v>
      </c>
      <c r="N48" s="1239">
        <f t="shared" si="17"/>
        <v>0</v>
      </c>
      <c r="O48" s="1239">
        <f t="shared" si="17"/>
        <v>0</v>
      </c>
      <c r="P48" s="1239">
        <f t="shared" si="17"/>
        <v>0</v>
      </c>
      <c r="Q48" s="1239">
        <f t="shared" ref="Q48:BE48" si="18">-Q39</f>
        <v>0</v>
      </c>
      <c r="R48" s="1239">
        <f t="shared" si="18"/>
        <v>0</v>
      </c>
      <c r="S48" s="1239">
        <f t="shared" si="18"/>
        <v>0</v>
      </c>
      <c r="T48" s="1239">
        <f t="shared" si="18"/>
        <v>0</v>
      </c>
      <c r="U48" s="1239">
        <f t="shared" si="18"/>
        <v>0</v>
      </c>
      <c r="V48" s="1239">
        <f t="shared" si="18"/>
        <v>0</v>
      </c>
      <c r="W48" s="1239">
        <f t="shared" si="18"/>
        <v>0</v>
      </c>
      <c r="X48" s="1239">
        <f t="shared" si="18"/>
        <v>0</v>
      </c>
      <c r="Y48" s="1239">
        <f t="shared" si="18"/>
        <v>0</v>
      </c>
      <c r="Z48" s="1239">
        <f t="shared" si="18"/>
        <v>0</v>
      </c>
      <c r="AA48" s="1239">
        <f t="shared" si="18"/>
        <v>0</v>
      </c>
      <c r="AB48" s="1239">
        <f t="shared" si="18"/>
        <v>0</v>
      </c>
      <c r="AC48" s="1239">
        <f t="shared" si="18"/>
        <v>0</v>
      </c>
      <c r="AD48" s="1239">
        <f t="shared" si="18"/>
        <v>0</v>
      </c>
      <c r="AE48" s="1239">
        <f t="shared" si="18"/>
        <v>0</v>
      </c>
      <c r="AF48" s="1239">
        <f t="shared" si="18"/>
        <v>0</v>
      </c>
      <c r="AG48" s="1239">
        <f t="shared" si="18"/>
        <v>0</v>
      </c>
      <c r="AH48" s="1239">
        <f t="shared" si="18"/>
        <v>0</v>
      </c>
      <c r="AI48" s="1239">
        <f t="shared" si="18"/>
        <v>0</v>
      </c>
      <c r="AJ48" s="1239">
        <f t="shared" si="18"/>
        <v>0</v>
      </c>
      <c r="AK48" s="1239">
        <f t="shared" si="18"/>
        <v>0</v>
      </c>
      <c r="AL48" s="1239">
        <f t="shared" si="18"/>
        <v>0</v>
      </c>
      <c r="AM48" s="1239">
        <f t="shared" si="18"/>
        <v>0</v>
      </c>
      <c r="AN48" s="1239">
        <f t="shared" si="18"/>
        <v>0</v>
      </c>
      <c r="AO48" s="1239">
        <f t="shared" si="18"/>
        <v>0</v>
      </c>
      <c r="AP48" s="1239">
        <f t="shared" si="18"/>
        <v>0</v>
      </c>
      <c r="AQ48" s="1239">
        <f t="shared" si="18"/>
        <v>0</v>
      </c>
      <c r="AR48" s="1239">
        <f t="shared" si="18"/>
        <v>0</v>
      </c>
      <c r="AS48" s="1239">
        <f t="shared" si="18"/>
        <v>0</v>
      </c>
      <c r="AT48" s="1239">
        <f t="shared" si="18"/>
        <v>0</v>
      </c>
      <c r="AU48" s="1239">
        <f t="shared" si="18"/>
        <v>0</v>
      </c>
      <c r="AV48" s="1239">
        <f t="shared" si="18"/>
        <v>0</v>
      </c>
      <c r="AW48" s="1239">
        <f t="shared" si="18"/>
        <v>0</v>
      </c>
      <c r="AX48" s="1239">
        <f t="shared" si="18"/>
        <v>0</v>
      </c>
      <c r="AY48" s="1239">
        <f t="shared" si="18"/>
        <v>0</v>
      </c>
      <c r="AZ48" s="1239">
        <f t="shared" si="18"/>
        <v>0</v>
      </c>
      <c r="BA48" s="1239">
        <f t="shared" si="18"/>
        <v>0</v>
      </c>
      <c r="BB48" s="1239">
        <f t="shared" si="18"/>
        <v>0</v>
      </c>
      <c r="BC48" s="1239">
        <f t="shared" si="18"/>
        <v>0</v>
      </c>
      <c r="BD48" s="1239">
        <f t="shared" si="18"/>
        <v>0</v>
      </c>
      <c r="BE48" s="1240">
        <f t="shared" si="18"/>
        <v>0</v>
      </c>
    </row>
    <row r="49" spans="2:16384" x14ac:dyDescent="0.25">
      <c r="B49" s="223" t="str">
        <f>B40</f>
        <v xml:space="preserve">Public Guarantee Fees </v>
      </c>
      <c r="C49" s="221"/>
      <c r="D49" s="221"/>
      <c r="E49" s="225"/>
      <c r="F49" s="225" t="s">
        <v>631</v>
      </c>
      <c r="G49" s="221"/>
      <c r="H49" s="1239">
        <f t="shared" ref="H49:P49" si="19">-H40</f>
        <v>0</v>
      </c>
      <c r="I49" s="1239">
        <f t="shared" si="19"/>
        <v>0</v>
      </c>
      <c r="J49" s="1239">
        <f t="shared" si="19"/>
        <v>0</v>
      </c>
      <c r="K49" s="1239">
        <f t="shared" si="19"/>
        <v>0</v>
      </c>
      <c r="L49" s="1239">
        <f t="shared" si="19"/>
        <v>0</v>
      </c>
      <c r="M49" s="1239">
        <f t="shared" si="19"/>
        <v>0</v>
      </c>
      <c r="N49" s="1239">
        <f t="shared" si="19"/>
        <v>0</v>
      </c>
      <c r="O49" s="1239">
        <f t="shared" si="19"/>
        <v>0</v>
      </c>
      <c r="P49" s="1239">
        <f t="shared" si="19"/>
        <v>0</v>
      </c>
      <c r="Q49" s="1239">
        <f t="shared" ref="Q49:BE49" si="20">-Q40</f>
        <v>0</v>
      </c>
      <c r="R49" s="1239">
        <f t="shared" si="20"/>
        <v>0</v>
      </c>
      <c r="S49" s="1239">
        <f t="shared" si="20"/>
        <v>0</v>
      </c>
      <c r="T49" s="1239">
        <f t="shared" si="20"/>
        <v>0</v>
      </c>
      <c r="U49" s="1239">
        <f t="shared" si="20"/>
        <v>0</v>
      </c>
      <c r="V49" s="1239">
        <f t="shared" si="20"/>
        <v>0</v>
      </c>
      <c r="W49" s="1239">
        <f t="shared" si="20"/>
        <v>0</v>
      </c>
      <c r="X49" s="1239">
        <f t="shared" si="20"/>
        <v>0</v>
      </c>
      <c r="Y49" s="1239">
        <f t="shared" si="20"/>
        <v>0</v>
      </c>
      <c r="Z49" s="1239">
        <f t="shared" si="20"/>
        <v>0</v>
      </c>
      <c r="AA49" s="1239">
        <f t="shared" si="20"/>
        <v>0</v>
      </c>
      <c r="AB49" s="1239">
        <f t="shared" si="20"/>
        <v>0</v>
      </c>
      <c r="AC49" s="1239">
        <f t="shared" si="20"/>
        <v>0</v>
      </c>
      <c r="AD49" s="1239">
        <f t="shared" si="20"/>
        <v>0</v>
      </c>
      <c r="AE49" s="1239">
        <f t="shared" si="20"/>
        <v>0</v>
      </c>
      <c r="AF49" s="1239">
        <f t="shared" si="20"/>
        <v>0</v>
      </c>
      <c r="AG49" s="1239">
        <f t="shared" si="20"/>
        <v>0</v>
      </c>
      <c r="AH49" s="1239">
        <f t="shared" si="20"/>
        <v>0</v>
      </c>
      <c r="AI49" s="1239">
        <f t="shared" si="20"/>
        <v>0</v>
      </c>
      <c r="AJ49" s="1239">
        <f t="shared" si="20"/>
        <v>0</v>
      </c>
      <c r="AK49" s="1239">
        <f t="shared" si="20"/>
        <v>0</v>
      </c>
      <c r="AL49" s="1239">
        <f t="shared" si="20"/>
        <v>0</v>
      </c>
      <c r="AM49" s="1239">
        <f t="shared" si="20"/>
        <v>0</v>
      </c>
      <c r="AN49" s="1239">
        <f t="shared" si="20"/>
        <v>0</v>
      </c>
      <c r="AO49" s="1239">
        <f t="shared" si="20"/>
        <v>0</v>
      </c>
      <c r="AP49" s="1239">
        <f t="shared" si="20"/>
        <v>0</v>
      </c>
      <c r="AQ49" s="1239">
        <f t="shared" si="20"/>
        <v>0</v>
      </c>
      <c r="AR49" s="1239">
        <f t="shared" si="20"/>
        <v>0</v>
      </c>
      <c r="AS49" s="1239">
        <f t="shared" si="20"/>
        <v>0</v>
      </c>
      <c r="AT49" s="1239">
        <f t="shared" si="20"/>
        <v>0</v>
      </c>
      <c r="AU49" s="1239">
        <f t="shared" si="20"/>
        <v>0</v>
      </c>
      <c r="AV49" s="1239">
        <f t="shared" si="20"/>
        <v>0</v>
      </c>
      <c r="AW49" s="1239">
        <f t="shared" si="20"/>
        <v>0</v>
      </c>
      <c r="AX49" s="1239">
        <f t="shared" si="20"/>
        <v>0</v>
      </c>
      <c r="AY49" s="1239">
        <f t="shared" si="20"/>
        <v>0</v>
      </c>
      <c r="AZ49" s="1239">
        <f t="shared" si="20"/>
        <v>0</v>
      </c>
      <c r="BA49" s="1239">
        <f t="shared" si="20"/>
        <v>0</v>
      </c>
      <c r="BB49" s="1239">
        <f t="shared" si="20"/>
        <v>0</v>
      </c>
      <c r="BC49" s="1239">
        <f t="shared" si="20"/>
        <v>0</v>
      </c>
      <c r="BD49" s="1239">
        <f t="shared" si="20"/>
        <v>0</v>
      </c>
      <c r="BE49" s="1240">
        <f t="shared" si="20"/>
        <v>0</v>
      </c>
    </row>
    <row r="50" spans="2:16384" x14ac:dyDescent="0.25">
      <c r="B50" s="223" t="str">
        <f>B41</f>
        <v>Political Risk Insurance - Fees &amp; Annual Premium Payments</v>
      </c>
      <c r="C50" s="221"/>
      <c r="D50" s="221"/>
      <c r="E50" s="225"/>
      <c r="F50" s="225" t="s">
        <v>631</v>
      </c>
      <c r="G50" s="221"/>
      <c r="H50" s="1239">
        <f t="shared" ref="H50:P50" si="21">-H41</f>
        <v>0</v>
      </c>
      <c r="I50" s="1239">
        <f t="shared" si="21"/>
        <v>0</v>
      </c>
      <c r="J50" s="1239">
        <f t="shared" si="21"/>
        <v>0</v>
      </c>
      <c r="K50" s="1239">
        <f t="shared" si="21"/>
        <v>0</v>
      </c>
      <c r="L50" s="1239">
        <f t="shared" si="21"/>
        <v>0</v>
      </c>
      <c r="M50" s="1239">
        <f t="shared" si="21"/>
        <v>0</v>
      </c>
      <c r="N50" s="1239">
        <f t="shared" si="21"/>
        <v>0</v>
      </c>
      <c r="O50" s="1239">
        <f t="shared" si="21"/>
        <v>0</v>
      </c>
      <c r="P50" s="1239">
        <f t="shared" si="21"/>
        <v>0</v>
      </c>
      <c r="Q50" s="1239">
        <f t="shared" ref="Q50:BE50" si="22">-Q41</f>
        <v>0</v>
      </c>
      <c r="R50" s="1239">
        <f t="shared" si="22"/>
        <v>0</v>
      </c>
      <c r="S50" s="1239">
        <f t="shared" si="22"/>
        <v>0</v>
      </c>
      <c r="T50" s="1239">
        <f t="shared" si="22"/>
        <v>0</v>
      </c>
      <c r="U50" s="1239">
        <f t="shared" si="22"/>
        <v>0</v>
      </c>
      <c r="V50" s="1239">
        <f t="shared" si="22"/>
        <v>0</v>
      </c>
      <c r="W50" s="1239">
        <f t="shared" si="22"/>
        <v>0</v>
      </c>
      <c r="X50" s="1239">
        <f t="shared" si="22"/>
        <v>0</v>
      </c>
      <c r="Y50" s="1239">
        <f t="shared" si="22"/>
        <v>0</v>
      </c>
      <c r="Z50" s="1239">
        <f t="shared" si="22"/>
        <v>0</v>
      </c>
      <c r="AA50" s="1239">
        <f t="shared" si="22"/>
        <v>0</v>
      </c>
      <c r="AB50" s="1239">
        <f t="shared" si="22"/>
        <v>0</v>
      </c>
      <c r="AC50" s="1239">
        <f t="shared" si="22"/>
        <v>0</v>
      </c>
      <c r="AD50" s="1239">
        <f t="shared" si="22"/>
        <v>0</v>
      </c>
      <c r="AE50" s="1239">
        <f t="shared" si="22"/>
        <v>0</v>
      </c>
      <c r="AF50" s="1239">
        <f t="shared" si="22"/>
        <v>0</v>
      </c>
      <c r="AG50" s="1239">
        <f t="shared" si="22"/>
        <v>0</v>
      </c>
      <c r="AH50" s="1239">
        <f t="shared" si="22"/>
        <v>0</v>
      </c>
      <c r="AI50" s="1239">
        <f t="shared" si="22"/>
        <v>0</v>
      </c>
      <c r="AJ50" s="1239">
        <f t="shared" si="22"/>
        <v>0</v>
      </c>
      <c r="AK50" s="1239">
        <f t="shared" si="22"/>
        <v>0</v>
      </c>
      <c r="AL50" s="1239">
        <f t="shared" si="22"/>
        <v>0</v>
      </c>
      <c r="AM50" s="1239">
        <f t="shared" si="22"/>
        <v>0</v>
      </c>
      <c r="AN50" s="1239">
        <f t="shared" si="22"/>
        <v>0</v>
      </c>
      <c r="AO50" s="1239">
        <f t="shared" si="22"/>
        <v>0</v>
      </c>
      <c r="AP50" s="1239">
        <f t="shared" si="22"/>
        <v>0</v>
      </c>
      <c r="AQ50" s="1239">
        <f t="shared" si="22"/>
        <v>0</v>
      </c>
      <c r="AR50" s="1239">
        <f t="shared" si="22"/>
        <v>0</v>
      </c>
      <c r="AS50" s="1239">
        <f t="shared" si="22"/>
        <v>0</v>
      </c>
      <c r="AT50" s="1239">
        <f t="shared" si="22"/>
        <v>0</v>
      </c>
      <c r="AU50" s="1239">
        <f t="shared" si="22"/>
        <v>0</v>
      </c>
      <c r="AV50" s="1239">
        <f t="shared" si="22"/>
        <v>0</v>
      </c>
      <c r="AW50" s="1239">
        <f t="shared" si="22"/>
        <v>0</v>
      </c>
      <c r="AX50" s="1239">
        <f t="shared" si="22"/>
        <v>0</v>
      </c>
      <c r="AY50" s="1239">
        <f t="shared" si="22"/>
        <v>0</v>
      </c>
      <c r="AZ50" s="1239">
        <f t="shared" si="22"/>
        <v>0</v>
      </c>
      <c r="BA50" s="1239">
        <f t="shared" si="22"/>
        <v>0</v>
      </c>
      <c r="BB50" s="1239">
        <f t="shared" si="22"/>
        <v>0</v>
      </c>
      <c r="BC50" s="1239">
        <f t="shared" si="22"/>
        <v>0</v>
      </c>
      <c r="BD50" s="1239">
        <f t="shared" si="22"/>
        <v>0</v>
      </c>
      <c r="BE50" s="1240">
        <f t="shared" si="22"/>
        <v>0</v>
      </c>
    </row>
    <row r="51" spans="2:16384" x14ac:dyDescent="0.25">
      <c r="B51" s="223" t="s">
        <v>102</v>
      </c>
      <c r="C51" s="221"/>
      <c r="D51" s="221"/>
      <c r="E51" s="225"/>
      <c r="F51" s="225" t="s">
        <v>631</v>
      </c>
      <c r="G51" s="221"/>
      <c r="H51" s="1239">
        <f t="shared" ref="H51:P51" si="23">-(H311+H332+H353)</f>
        <v>-56237.576613016572</v>
      </c>
      <c r="I51" s="1239">
        <f t="shared" si="23"/>
        <v>-56237.576613016587</v>
      </c>
      <c r="J51" s="1239">
        <f t="shared" si="23"/>
        <v>-56237.576613016579</v>
      </c>
      <c r="K51" s="1239">
        <f t="shared" si="23"/>
        <v>-56237.576613016587</v>
      </c>
      <c r="L51" s="1239">
        <f t="shared" si="23"/>
        <v>-56237.576613016587</v>
      </c>
      <c r="M51" s="1239">
        <f t="shared" si="23"/>
        <v>-56237.576613016579</v>
      </c>
      <c r="N51" s="1239">
        <f t="shared" si="23"/>
        <v>-56237.576613016587</v>
      </c>
      <c r="O51" s="1239">
        <f t="shared" si="23"/>
        <v>-56237.576613016579</v>
      </c>
      <c r="P51" s="1239">
        <f t="shared" si="23"/>
        <v>-56237.576613016587</v>
      </c>
      <c r="Q51" s="1239">
        <f t="shared" ref="Q51:BE51" si="24">-(Q311+Q332+Q353)</f>
        <v>-56237.576613016579</v>
      </c>
      <c r="R51" s="1239">
        <f t="shared" si="24"/>
        <v>-56237.576613016579</v>
      </c>
      <c r="S51" s="1239">
        <f t="shared" si="24"/>
        <v>-56237.576613016587</v>
      </c>
      <c r="T51" s="1239">
        <f t="shared" si="24"/>
        <v>0</v>
      </c>
      <c r="U51" s="1239">
        <f t="shared" si="24"/>
        <v>0</v>
      </c>
      <c r="V51" s="1239">
        <f t="shared" si="24"/>
        <v>0</v>
      </c>
      <c r="W51" s="1239">
        <f t="shared" si="24"/>
        <v>0</v>
      </c>
      <c r="X51" s="1239">
        <f t="shared" si="24"/>
        <v>0</v>
      </c>
      <c r="Y51" s="1239">
        <f t="shared" si="24"/>
        <v>0</v>
      </c>
      <c r="Z51" s="1239">
        <f t="shared" si="24"/>
        <v>0</v>
      </c>
      <c r="AA51" s="1239">
        <f t="shared" si="24"/>
        <v>0</v>
      </c>
      <c r="AB51" s="1239">
        <f t="shared" si="24"/>
        <v>0</v>
      </c>
      <c r="AC51" s="1239">
        <f t="shared" si="24"/>
        <v>0</v>
      </c>
      <c r="AD51" s="1239">
        <f t="shared" si="24"/>
        <v>0</v>
      </c>
      <c r="AE51" s="1239">
        <f t="shared" si="24"/>
        <v>0</v>
      </c>
      <c r="AF51" s="1239">
        <f t="shared" si="24"/>
        <v>0</v>
      </c>
      <c r="AG51" s="1239">
        <f t="shared" si="24"/>
        <v>0</v>
      </c>
      <c r="AH51" s="1239">
        <f t="shared" si="24"/>
        <v>0</v>
      </c>
      <c r="AI51" s="1239">
        <f t="shared" si="24"/>
        <v>0</v>
      </c>
      <c r="AJ51" s="1239">
        <f t="shared" si="24"/>
        <v>0</v>
      </c>
      <c r="AK51" s="1239">
        <f t="shared" si="24"/>
        <v>0</v>
      </c>
      <c r="AL51" s="1239">
        <f t="shared" si="24"/>
        <v>0</v>
      </c>
      <c r="AM51" s="1239">
        <f t="shared" si="24"/>
        <v>0</v>
      </c>
      <c r="AN51" s="1239">
        <f t="shared" si="24"/>
        <v>0</v>
      </c>
      <c r="AO51" s="1239">
        <f t="shared" si="24"/>
        <v>0</v>
      </c>
      <c r="AP51" s="1239">
        <f t="shared" si="24"/>
        <v>0</v>
      </c>
      <c r="AQ51" s="1239">
        <f t="shared" si="24"/>
        <v>0</v>
      </c>
      <c r="AR51" s="1239">
        <f t="shared" si="24"/>
        <v>0</v>
      </c>
      <c r="AS51" s="1239">
        <f t="shared" si="24"/>
        <v>0</v>
      </c>
      <c r="AT51" s="1239">
        <f t="shared" si="24"/>
        <v>0</v>
      </c>
      <c r="AU51" s="1239">
        <f t="shared" si="24"/>
        <v>0</v>
      </c>
      <c r="AV51" s="1239">
        <f t="shared" si="24"/>
        <v>0</v>
      </c>
      <c r="AW51" s="1239">
        <f t="shared" si="24"/>
        <v>0</v>
      </c>
      <c r="AX51" s="1239">
        <f t="shared" si="24"/>
        <v>0</v>
      </c>
      <c r="AY51" s="1239">
        <f t="shared" si="24"/>
        <v>0</v>
      </c>
      <c r="AZ51" s="1239">
        <f t="shared" si="24"/>
        <v>0</v>
      </c>
      <c r="BA51" s="1239">
        <f t="shared" si="24"/>
        <v>0</v>
      </c>
      <c r="BB51" s="1239">
        <f t="shared" si="24"/>
        <v>0</v>
      </c>
      <c r="BC51" s="1239">
        <f t="shared" si="24"/>
        <v>0</v>
      </c>
      <c r="BD51" s="1239">
        <f t="shared" si="24"/>
        <v>0</v>
      </c>
      <c r="BE51" s="1240">
        <f t="shared" si="24"/>
        <v>0</v>
      </c>
    </row>
    <row r="52" spans="2:16384" x14ac:dyDescent="0.25">
      <c r="B52" s="238" t="s">
        <v>103</v>
      </c>
      <c r="C52" s="229"/>
      <c r="D52" s="229"/>
      <c r="E52" s="230"/>
      <c r="F52" s="230" t="s">
        <v>631</v>
      </c>
      <c r="G52" s="229"/>
      <c r="H52" s="1241">
        <f>(H24+H32+H34+H39+H40+H41+H36+H37+H38)*'II. Inputs, Baseline Energy Mix'!$N$19</f>
        <v>104681.31021575361</v>
      </c>
      <c r="I52" s="1241">
        <f>(I24+I32+I34+I39+I40+I41+I36+I37+I38)*'II. Inputs, Baseline Energy Mix'!$N$19</f>
        <v>106810.77668816583</v>
      </c>
      <c r="J52" s="1241">
        <f>(J24+J32+J34+J39+J40+J41+J36+J37+J38)*'II. Inputs, Baseline Energy Mix'!$N$19</f>
        <v>108045.48464797376</v>
      </c>
      <c r="K52" s="1241">
        <f>(K24+K32+K34+K39+K40+K41+K36+K37+K38)*'II. Inputs, Baseline Energy Mix'!$N$19</f>
        <v>109252.44498589786</v>
      </c>
      <c r="L52" s="1241">
        <f>(L24+L32+L34+L39+L40+L41+L36+L37+L38)*'II. Inputs, Baseline Energy Mix'!$N$19</f>
        <v>110430.12464582904</v>
      </c>
      <c r="M52" s="1241">
        <f>(M24+M32+M34+M39+M40+M41+M36+M37+M38)*'II. Inputs, Baseline Energy Mix'!$N$19</f>
        <v>111576.90587030818</v>
      </c>
      <c r="N52" s="1241">
        <f>(N24+N32+N34+N39+N40+N41+N36+N37+N38)*'II. Inputs, Baseline Energy Mix'!$N$19</f>
        <v>112691.08152077657</v>
      </c>
      <c r="O52" s="1241">
        <f>(O24+O32+O34+O39+O40+O41+O36+O37+O38)*'II. Inputs, Baseline Energy Mix'!$N$19</f>
        <v>113944.54287531214</v>
      </c>
      <c r="P52" s="1241">
        <f>(P24+P32+P34+P39+P40+P41+P36+P37+P38)*'II. Inputs, Baseline Energy Mix'!$N$19</f>
        <v>115161.69620935626</v>
      </c>
      <c r="Q52" s="1241">
        <f>(Q24+Q32+Q34+Q39+Q40+Q41+Q36+Q37+Q38)*'II. Inputs, Baseline Energy Mix'!$N$19</f>
        <v>116340.53550477677</v>
      </c>
      <c r="R52" s="1241">
        <f>(R24+R32+R34+R39+R40+R41+R36+R37+R38)*'II. Inputs, Baseline Energy Mix'!$N$19</f>
        <v>117478.94391093966</v>
      </c>
      <c r="S52" s="1241">
        <f>(S24+S32+S34+S39+S40+S41+S36+S37+S38)*'II. Inputs, Baseline Energy Mix'!$N$19</f>
        <v>118574.68762121357</v>
      </c>
      <c r="T52" s="1241">
        <f>(T24+T32+T34+T39+T40+T41+T36+T37+T38)*'II. Inputs, Baseline Energy Mix'!$N$19</f>
        <v>119525.19045971008</v>
      </c>
      <c r="U52" s="1241">
        <f>(U24+U32+U34+U39+U40+U41+U36+U37+U38)*'II. Inputs, Baseline Energy Mix'!$N$19</f>
        <v>121783.19602825664</v>
      </c>
      <c r="V52" s="1241">
        <f>(V24+V32+V34+V39+V40+V41+V36+V37+V38)*'II. Inputs, Baseline Energy Mix'!$N$19</f>
        <v>124041.20159680316</v>
      </c>
      <c r="W52" s="1241">
        <f>(W24+W32+W34+W39+W40+W41+W36+W37+W38)*'II. Inputs, Baseline Energy Mix'!$N$19</f>
        <v>126299.20716534971</v>
      </c>
      <c r="X52" s="1241">
        <f>(X24+X32+X34+X39+X40+X41+X36+X37+X38)*'II. Inputs, Baseline Energy Mix'!$N$19</f>
        <v>128557.21273389625</v>
      </c>
      <c r="Y52" s="1241">
        <f>(Y24+Y32+Y34+Y39+Y40+Y41+Y36+Y37+Y38)*'II. Inputs, Baseline Energy Mix'!$N$19</f>
        <v>131162.60377452685</v>
      </c>
      <c r="Z52" s="1241">
        <f>(Z24+Z32+Z34+Z39+Z40+Z41+Z36+Z37+Z38)*'II. Inputs, Baseline Energy Mix'!$N$19</f>
        <v>133767.99481515749</v>
      </c>
      <c r="AA52" s="1241">
        <f>(AA24+AA32+AA34+AA39+AA40+AA41+AA36+AA37+AA38)*'II. Inputs, Baseline Energy Mix'!$N$19</f>
        <v>136373.38585578813</v>
      </c>
      <c r="AB52" s="1241">
        <f>(AB24+AB32+AB34+AB39+AB40+AB41+AB36+AB37+AB38)*'II. Inputs, Baseline Energy Mix'!$N$19</f>
        <v>138978.77689641871</v>
      </c>
      <c r="AC52" s="1241">
        <f>(AC24+AC32+AC34+AC39+AC40+AC41+AC36+AC37+AC38)*'II. Inputs, Baseline Energy Mix'!$N$19</f>
        <v>141584.16793704935</v>
      </c>
      <c r="AD52" s="1241">
        <f>(AD24+AD32+AD34+AD39+AD40+AD41+AD36+AD37+AD38)*'II. Inputs, Baseline Energy Mix'!$N$19</f>
        <v>144710.63718580612</v>
      </c>
      <c r="AE52" s="1241">
        <f>(AE24+AE32+AE34+AE39+AE40+AE41+AE36+AE37+AE38)*'II. Inputs, Baseline Energy Mix'!$N$19</f>
        <v>147837.10643456283</v>
      </c>
      <c r="AF52" s="1241">
        <f>(AF24+AF32+AF34+AF39+AF40+AF41+AF36+AF37+AF38)*'II. Inputs, Baseline Energy Mix'!$N$19</f>
        <v>150963.57568331956</v>
      </c>
      <c r="AG52" s="1241">
        <f>(AG24+AG32+AG34+AG39+AG40+AG41+AG36+AG37+AG38)*'II. Inputs, Baseline Energy Mix'!$N$19</f>
        <v>0</v>
      </c>
      <c r="AH52" s="1241">
        <f>(AH24+AH32+AH34+AH39+AH40+AH41+AH36+AH37+AH38)*'II. Inputs, Baseline Energy Mix'!$N$19</f>
        <v>0</v>
      </c>
      <c r="AI52" s="1241">
        <f>(AI24+AI32+AI34+AI39+AI40+AI41+AI36+AI37+AI38)*'II. Inputs, Baseline Energy Mix'!$N$19</f>
        <v>0</v>
      </c>
      <c r="AJ52" s="1241">
        <f>(AJ24+AJ32+AJ34+AJ39+AJ40+AJ41+AJ36+AJ37+AJ38)*'II. Inputs, Baseline Energy Mix'!$N$19</f>
        <v>0</v>
      </c>
      <c r="AK52" s="1241">
        <f>(AK24+AK32+AK34+AK39+AK40+AK41+AK36+AK37+AK38)*'II. Inputs, Baseline Energy Mix'!$N$19</f>
        <v>0</v>
      </c>
      <c r="AL52" s="1241">
        <f>(AL24+AL32+AL34+AL39+AL40+AL41+AL36+AL37+AL38)*'II. Inputs, Baseline Energy Mix'!$N$19</f>
        <v>0</v>
      </c>
      <c r="AM52" s="1241">
        <f>(AM24+AM32+AM34+AM39+AM40+AM41+AM36+AM37+AM38)*'II. Inputs, Baseline Energy Mix'!$N$19</f>
        <v>0</v>
      </c>
      <c r="AN52" s="1241">
        <f>(AN24+AN32+AN34+AN39+AN40+AN41+AN36+AN37+AN38)*'II. Inputs, Baseline Energy Mix'!$N$19</f>
        <v>0</v>
      </c>
      <c r="AO52" s="1241">
        <f>(AO24+AO32+AO34+AO39+AO40+AO41+AO36+AO37+AO38)*'II. Inputs, Baseline Energy Mix'!$N$19</f>
        <v>0</v>
      </c>
      <c r="AP52" s="1241">
        <f>(AP24+AP32+AP34+AP39+AP40+AP41+AP36+AP37+AP38)*'II. Inputs, Baseline Energy Mix'!$N$19</f>
        <v>0</v>
      </c>
      <c r="AQ52" s="1241">
        <f>(AQ24+AQ32+AQ34+AQ39+AQ40+AQ41+AQ36+AQ37+AQ38)*'II. Inputs, Baseline Energy Mix'!$N$19</f>
        <v>0</v>
      </c>
      <c r="AR52" s="1241">
        <f>(AR24+AR32+AR34+AR39+AR40+AR41+AR36+AR37+AR38)*'II. Inputs, Baseline Energy Mix'!$N$19</f>
        <v>0</v>
      </c>
      <c r="AS52" s="1241">
        <f>(AS24+AS32+AS34+AS39+AS40+AS41+AS36+AS37+AS38)*'II. Inputs, Baseline Energy Mix'!$N$19</f>
        <v>0</v>
      </c>
      <c r="AT52" s="1241">
        <f>(AT24+AT32+AT34+AT39+AT40+AT41+AT36+AT37+AT38)*'II. Inputs, Baseline Energy Mix'!$N$19</f>
        <v>0</v>
      </c>
      <c r="AU52" s="1241">
        <f>(AU24+AU32+AU34+AU39+AU40+AU41+AU36+AU37+AU38)*'II. Inputs, Baseline Energy Mix'!$N$19</f>
        <v>0</v>
      </c>
      <c r="AV52" s="1241">
        <f>(AV24+AV32+AV34+AV39+AV40+AV41+AV36+AV37+AV38)*'II. Inputs, Baseline Energy Mix'!$N$19</f>
        <v>0</v>
      </c>
      <c r="AW52" s="1241">
        <f>(AW24+AW32+AW34+AW39+AW40+AW41+AW36+AW37+AW38)*'II. Inputs, Baseline Energy Mix'!$N$19</f>
        <v>0</v>
      </c>
      <c r="AX52" s="1241">
        <f>(AX24+AX32+AX34+AX39+AX40+AX41+AX36+AX37+AX38)*'II. Inputs, Baseline Energy Mix'!$N$19</f>
        <v>0</v>
      </c>
      <c r="AY52" s="1241">
        <f>(AY24+AY32+AY34+AY39+AY40+AY41+AY36+AY37+AY38)*'II. Inputs, Baseline Energy Mix'!$N$19</f>
        <v>0</v>
      </c>
      <c r="AZ52" s="1241">
        <f>(AZ24+AZ32+AZ34+AZ39+AZ40+AZ41+AZ36+AZ37+AZ38)*'II. Inputs, Baseline Energy Mix'!$N$19</f>
        <v>0</v>
      </c>
      <c r="BA52" s="1241">
        <f>(BA24+BA32+BA34+BA39+BA40+BA41+BA36+BA37+BA38)*'II. Inputs, Baseline Energy Mix'!$N$19</f>
        <v>0</v>
      </c>
      <c r="BB52" s="1241">
        <f>(BB24+BB32+BB34+BB39+BB40+BB41+BB36+BB37+BB38)*'II. Inputs, Baseline Energy Mix'!$N$19</f>
        <v>0</v>
      </c>
      <c r="BC52" s="1241">
        <f>(BC24+BC32+BC34+BC39+BC40+BC41+BC36+BC37+BC38)*'II. Inputs, Baseline Energy Mix'!$N$19</f>
        <v>0</v>
      </c>
      <c r="BD52" s="1241">
        <f>(BD24+BD32+BD34+BD39+BD40+BD41+BD36+BD37+BD38)*'II. Inputs, Baseline Energy Mix'!$N$19</f>
        <v>0</v>
      </c>
      <c r="BE52" s="1242">
        <f>(BE24+BE32+BE34+BE39+BE40+BE41+BE36+BE37+BE38)*'II. Inputs, Baseline Energy Mix'!$N$19</f>
        <v>0</v>
      </c>
    </row>
    <row r="53" spans="2:16384" x14ac:dyDescent="0.25">
      <c r="B53" s="223" t="s">
        <v>104</v>
      </c>
      <c r="C53" s="221"/>
      <c r="D53" s="221"/>
      <c r="E53" s="225"/>
      <c r="F53" s="225" t="s">
        <v>631</v>
      </c>
      <c r="G53" s="1239">
        <f>-IF('II. Inputs, Baseline Energy Mix'!$N$15&gt;0, 'II. Inputs, Baseline Energy Mix'!$N$16*'II. Inputs, Baseline Energy Mix'!$N$17*'II. Inputs, Baseline Energy Mix'!$N$29,0)</f>
        <v>-166058.39416058394</v>
      </c>
      <c r="H53" s="1239">
        <f t="shared" ref="H53:P53" si="25">SUM(H46:H52)</f>
        <v>-246400.44521863142</v>
      </c>
      <c r="I53" s="1239">
        <f t="shared" si="25"/>
        <v>-252955.61554832134</v>
      </c>
      <c r="J53" s="1239">
        <f t="shared" si="25"/>
        <v>-257510.66545658148</v>
      </c>
      <c r="K53" s="1239">
        <f t="shared" si="25"/>
        <v>-262093.46298672544</v>
      </c>
      <c r="L53" s="1239">
        <f t="shared" si="25"/>
        <v>-266705.54119486234</v>
      </c>
      <c r="M53" s="1239">
        <f t="shared" si="25"/>
        <v>-271348.51783845125</v>
      </c>
      <c r="N53" s="1239">
        <f t="shared" si="25"/>
        <v>-276024.10005605093</v>
      </c>
      <c r="O53" s="1239">
        <f t="shared" si="25"/>
        <v>-281139.37235639017</v>
      </c>
      <c r="P53" s="1239">
        <f t="shared" si="25"/>
        <v>-286290.95267722092</v>
      </c>
      <c r="Q53" s="1239">
        <f t="shared" ref="Q53:BE53" si="26">SUM(Q46:Q52)</f>
        <v>-291480.84703667526</v>
      </c>
      <c r="R53" s="1239">
        <f t="shared" si="26"/>
        <v>-296711.17228538706</v>
      </c>
      <c r="S53" s="1239">
        <f t="shared" si="26"/>
        <v>-301984.16222998814</v>
      </c>
      <c r="T53" s="1239">
        <f t="shared" si="26"/>
        <v>-252322.76800696342</v>
      </c>
      <c r="U53" s="1239">
        <f t="shared" si="26"/>
        <v>-257591.44766690538</v>
      </c>
      <c r="V53" s="1239">
        <f t="shared" si="26"/>
        <v>-262860.12732684729</v>
      </c>
      <c r="W53" s="1239">
        <f t="shared" si="26"/>
        <v>-268128.80698678922</v>
      </c>
      <c r="X53" s="1239">
        <f t="shared" si="26"/>
        <v>-273397.48664673115</v>
      </c>
      <c r="Y53" s="1239">
        <f t="shared" si="26"/>
        <v>-279476.7324082026</v>
      </c>
      <c r="Z53" s="1239">
        <f t="shared" si="26"/>
        <v>-285555.97816967405</v>
      </c>
      <c r="AA53" s="1239">
        <f t="shared" si="26"/>
        <v>-291635.22393114551</v>
      </c>
      <c r="AB53" s="1239">
        <f t="shared" si="26"/>
        <v>-297714.4696926169</v>
      </c>
      <c r="AC53" s="1239">
        <f t="shared" si="26"/>
        <v>-303793.71545408835</v>
      </c>
      <c r="AD53" s="1239">
        <f t="shared" si="26"/>
        <v>-311088.81036785414</v>
      </c>
      <c r="AE53" s="1239">
        <f t="shared" si="26"/>
        <v>-318383.90528161987</v>
      </c>
      <c r="AF53" s="1239">
        <f t="shared" si="26"/>
        <v>-325679.00019538554</v>
      </c>
      <c r="AG53" s="1239">
        <f t="shared" si="26"/>
        <v>0</v>
      </c>
      <c r="AH53" s="1239">
        <f t="shared" si="26"/>
        <v>0</v>
      </c>
      <c r="AI53" s="1239">
        <f t="shared" si="26"/>
        <v>0</v>
      </c>
      <c r="AJ53" s="1239">
        <f t="shared" si="26"/>
        <v>0</v>
      </c>
      <c r="AK53" s="1239">
        <f t="shared" si="26"/>
        <v>0</v>
      </c>
      <c r="AL53" s="1239">
        <f t="shared" si="26"/>
        <v>0</v>
      </c>
      <c r="AM53" s="1239">
        <f t="shared" si="26"/>
        <v>0</v>
      </c>
      <c r="AN53" s="1239">
        <f t="shared" si="26"/>
        <v>0</v>
      </c>
      <c r="AO53" s="1239">
        <f t="shared" si="26"/>
        <v>0</v>
      </c>
      <c r="AP53" s="1239">
        <f t="shared" si="26"/>
        <v>0</v>
      </c>
      <c r="AQ53" s="1239">
        <f t="shared" si="26"/>
        <v>0</v>
      </c>
      <c r="AR53" s="1239">
        <f t="shared" si="26"/>
        <v>0</v>
      </c>
      <c r="AS53" s="1239">
        <f t="shared" si="26"/>
        <v>0</v>
      </c>
      <c r="AT53" s="1239">
        <f t="shared" si="26"/>
        <v>0</v>
      </c>
      <c r="AU53" s="1239">
        <f t="shared" si="26"/>
        <v>0</v>
      </c>
      <c r="AV53" s="1239">
        <f t="shared" si="26"/>
        <v>0</v>
      </c>
      <c r="AW53" s="1239">
        <f t="shared" si="26"/>
        <v>0</v>
      </c>
      <c r="AX53" s="1239">
        <f t="shared" si="26"/>
        <v>0</v>
      </c>
      <c r="AY53" s="1239">
        <f t="shared" si="26"/>
        <v>0</v>
      </c>
      <c r="AZ53" s="1239">
        <f t="shared" si="26"/>
        <v>0</v>
      </c>
      <c r="BA53" s="1239">
        <f t="shared" si="26"/>
        <v>0</v>
      </c>
      <c r="BB53" s="1239">
        <f t="shared" si="26"/>
        <v>0</v>
      </c>
      <c r="BC53" s="1239">
        <f t="shared" si="26"/>
        <v>0</v>
      </c>
      <c r="BD53" s="1239">
        <f t="shared" si="26"/>
        <v>0</v>
      </c>
      <c r="BE53" s="1240">
        <f t="shared" si="26"/>
        <v>0</v>
      </c>
    </row>
    <row r="54" spans="2:16384" x14ac:dyDescent="0.25">
      <c r="B54" s="223"/>
      <c r="C54" s="221"/>
      <c r="D54" s="221"/>
      <c r="E54" s="225"/>
      <c r="F54" s="221"/>
      <c r="G54" s="221"/>
      <c r="H54" s="221"/>
      <c r="I54" s="237"/>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2"/>
    </row>
    <row r="55" spans="2:16384" x14ac:dyDescent="0.25">
      <c r="B55" s="223" t="s">
        <v>105</v>
      </c>
      <c r="C55" s="221"/>
      <c r="D55" s="221"/>
      <c r="E55" s="225"/>
      <c r="F55" s="221"/>
      <c r="G55" s="1128">
        <f>'II. Inputs, Baseline Energy Mix'!$N$37</f>
        <v>0.1275</v>
      </c>
      <c r="H55" s="221"/>
      <c r="I55" s="237"/>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1"/>
      <c r="BC55" s="221"/>
      <c r="BD55" s="221"/>
      <c r="BE55" s="222"/>
    </row>
    <row r="56" spans="2:16384" x14ac:dyDescent="0.25">
      <c r="B56" s="223" t="s">
        <v>106</v>
      </c>
      <c r="C56" s="221"/>
      <c r="D56" s="221"/>
      <c r="E56" s="225"/>
      <c r="F56" s="221"/>
      <c r="G56" s="1239">
        <f>IF(G55="NA", "NA", NPV(G55,H53:BE53)+G53)</f>
        <v>-2173102.1953398092</v>
      </c>
      <c r="H56" s="221"/>
      <c r="I56" s="237"/>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2"/>
    </row>
    <row r="57" spans="2:16384" x14ac:dyDescent="0.25">
      <c r="B57" s="223" t="s">
        <v>107</v>
      </c>
      <c r="C57" s="221"/>
      <c r="D57" s="221"/>
      <c r="E57" s="225"/>
      <c r="F57" s="221"/>
      <c r="G57" s="1239">
        <f>IF(G55="NA", "NA", -NPV(G55,H20:BE20))</f>
        <v>-52168.743921382353</v>
      </c>
      <c r="H57" s="221"/>
      <c r="I57" s="237"/>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2"/>
    </row>
    <row r="58" spans="2:16384" ht="13.8" thickBot="1" x14ac:dyDescent="0.3">
      <c r="B58" s="223" t="s">
        <v>108</v>
      </c>
      <c r="C58" s="221"/>
      <c r="D58" s="221"/>
      <c r="E58" s="225"/>
      <c r="F58" s="225" t="s">
        <v>633</v>
      </c>
      <c r="G58" s="1243">
        <f>IF(OR(G57=0,G55="NA"), "NA", G56/G57)</f>
        <v>41.65525239815333</v>
      </c>
      <c r="H58" s="221"/>
      <c r="I58" s="237"/>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1"/>
      <c r="AY58" s="221"/>
      <c r="AZ58" s="221"/>
      <c r="BA58" s="221"/>
      <c r="BB58" s="221"/>
      <c r="BC58" s="221"/>
      <c r="BD58" s="221"/>
      <c r="BE58" s="222"/>
    </row>
    <row r="59" spans="2:16384" ht="13.8" thickBot="1" x14ac:dyDescent="0.3">
      <c r="B59" s="240" t="s">
        <v>109</v>
      </c>
      <c r="C59" s="241"/>
      <c r="D59" s="241"/>
      <c r="E59" s="242"/>
      <c r="F59" s="242" t="s">
        <v>632</v>
      </c>
      <c r="G59" s="1244">
        <f>IF(G58="NA", "NA", $G$58/(1-'II. Inputs, Baseline Energy Mix'!$N$19))</f>
        <v>59.507503425933329</v>
      </c>
      <c r="H59" s="221"/>
      <c r="I59" s="237"/>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c r="BC59" s="221"/>
      <c r="BD59" s="221"/>
      <c r="BE59" s="222"/>
    </row>
    <row r="60" spans="2:16384" ht="13.95" thickBot="1" x14ac:dyDescent="0.3">
      <c r="B60" s="243"/>
      <c r="C60" s="244"/>
      <c r="D60" s="244"/>
      <c r="E60" s="245"/>
      <c r="F60" s="245"/>
      <c r="G60" s="246"/>
      <c r="H60" s="247"/>
      <c r="I60" s="248"/>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9"/>
    </row>
    <row r="61" spans="2:16384" ht="13.95" thickBot="1" x14ac:dyDescent="0.3">
      <c r="I61" s="250"/>
    </row>
    <row r="62" spans="2:16384" ht="12.75" x14ac:dyDescent="0.2">
      <c r="B62" s="251" t="s">
        <v>164</v>
      </c>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252"/>
      <c r="AL62" s="252"/>
      <c r="AM62" s="252"/>
      <c r="AN62" s="252"/>
      <c r="AO62" s="252"/>
      <c r="AP62" s="252"/>
      <c r="AQ62" s="252"/>
      <c r="AR62" s="252"/>
      <c r="AS62" s="252"/>
      <c r="AT62" s="252"/>
      <c r="AU62" s="252"/>
      <c r="AV62" s="252"/>
      <c r="AW62" s="252"/>
      <c r="AX62" s="252"/>
      <c r="AY62" s="252"/>
      <c r="AZ62" s="252"/>
      <c r="BA62" s="252"/>
      <c r="BB62" s="252"/>
      <c r="BC62" s="252"/>
      <c r="BD62" s="252"/>
      <c r="BE62" s="253"/>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c r="EO62" s="36"/>
      <c r="EP62" s="36"/>
      <c r="EQ62" s="36"/>
      <c r="ER62" s="36"/>
      <c r="ES62" s="36"/>
      <c r="ET62" s="36"/>
      <c r="EU62" s="36"/>
      <c r="EV62" s="36"/>
      <c r="EW62" s="36"/>
      <c r="EX62" s="36"/>
      <c r="EY62" s="36"/>
      <c r="EZ62" s="36"/>
      <c r="FA62" s="36"/>
      <c r="FB62" s="36"/>
      <c r="FC62" s="36"/>
      <c r="FD62" s="36"/>
      <c r="FE62" s="36"/>
      <c r="FF62" s="36"/>
      <c r="FG62" s="36"/>
      <c r="FH62" s="36"/>
      <c r="FI62" s="36"/>
      <c r="FJ62" s="36"/>
      <c r="FK62" s="36"/>
      <c r="FL62" s="36"/>
      <c r="FM62" s="36"/>
      <c r="FN62" s="36"/>
      <c r="FO62" s="36"/>
      <c r="FP62" s="36"/>
      <c r="FQ62" s="36"/>
      <c r="FR62" s="36"/>
      <c r="FS62" s="36"/>
      <c r="FT62" s="36"/>
      <c r="FU62" s="36"/>
      <c r="FV62" s="36"/>
      <c r="FW62" s="36"/>
      <c r="FX62" s="36"/>
      <c r="FY62" s="36"/>
      <c r="FZ62" s="36"/>
      <c r="GA62" s="36"/>
      <c r="GB62" s="36"/>
      <c r="GC62" s="36"/>
      <c r="GD62" s="36"/>
      <c r="GE62" s="36"/>
      <c r="GF62" s="36"/>
      <c r="GG62" s="36"/>
      <c r="GH62" s="36"/>
      <c r="GI62" s="36"/>
      <c r="GJ62" s="36"/>
      <c r="GK62" s="36"/>
      <c r="GL62" s="36"/>
      <c r="GM62" s="36"/>
      <c r="GN62" s="36"/>
      <c r="GO62" s="36"/>
      <c r="GP62" s="36"/>
      <c r="GQ62" s="36"/>
      <c r="GR62" s="36"/>
      <c r="GS62" s="36"/>
      <c r="GT62" s="36"/>
      <c r="GU62" s="36"/>
      <c r="GV62" s="36"/>
      <c r="GW62" s="36"/>
      <c r="GX62" s="36"/>
      <c r="GY62" s="36"/>
      <c r="GZ62" s="36"/>
      <c r="HA62" s="36"/>
      <c r="HB62" s="36"/>
      <c r="HC62" s="36"/>
      <c r="HD62" s="36"/>
      <c r="HE62" s="36"/>
      <c r="HF62" s="36"/>
      <c r="HG62" s="36"/>
      <c r="HH62" s="36"/>
      <c r="HI62" s="36"/>
      <c r="HJ62" s="36"/>
      <c r="HK62" s="36"/>
      <c r="HL62" s="36"/>
      <c r="HM62" s="36"/>
      <c r="HN62" s="36"/>
      <c r="HO62" s="36"/>
      <c r="HP62" s="36"/>
      <c r="HQ62" s="36"/>
      <c r="HR62" s="36"/>
      <c r="HS62" s="36"/>
      <c r="HT62" s="36"/>
      <c r="HU62" s="36"/>
      <c r="HV62" s="36"/>
      <c r="HW62" s="36"/>
      <c r="HX62" s="36"/>
      <c r="HY62" s="36"/>
      <c r="HZ62" s="36"/>
      <c r="IA62" s="36"/>
      <c r="IB62" s="36"/>
      <c r="IC62" s="36"/>
      <c r="ID62" s="36"/>
      <c r="IE62" s="36"/>
      <c r="IF62" s="36"/>
      <c r="IG62" s="36"/>
      <c r="IH62" s="36"/>
      <c r="II62" s="36"/>
      <c r="IJ62" s="36"/>
      <c r="IK62" s="36"/>
      <c r="IL62" s="36"/>
      <c r="IM62" s="36"/>
      <c r="IN62" s="36"/>
      <c r="IO62" s="36"/>
      <c r="IP62" s="36"/>
      <c r="IQ62" s="36"/>
      <c r="IR62" s="36"/>
      <c r="IS62" s="36"/>
      <c r="IT62" s="36"/>
      <c r="IU62" s="36"/>
      <c r="IV62" s="36"/>
      <c r="IW62" s="36"/>
      <c r="IX62" s="36"/>
      <c r="IY62" s="36"/>
      <c r="IZ62" s="36"/>
      <c r="JA62" s="36"/>
      <c r="JB62" s="36"/>
      <c r="JC62" s="36"/>
      <c r="JD62" s="36"/>
      <c r="JE62" s="36"/>
      <c r="JF62" s="36"/>
      <c r="JG62" s="36"/>
      <c r="JH62" s="36"/>
      <c r="JI62" s="36"/>
      <c r="JJ62" s="36"/>
      <c r="JK62" s="36"/>
      <c r="JL62" s="36"/>
      <c r="JM62" s="36"/>
      <c r="JN62" s="36"/>
      <c r="JO62" s="36"/>
      <c r="JP62" s="36"/>
      <c r="JQ62" s="36"/>
      <c r="JR62" s="36"/>
      <c r="JS62" s="36"/>
      <c r="JT62" s="36"/>
      <c r="JU62" s="36"/>
      <c r="JV62" s="36"/>
      <c r="JW62" s="36"/>
      <c r="JX62" s="36"/>
      <c r="JY62" s="36"/>
      <c r="JZ62" s="36"/>
      <c r="KA62" s="36"/>
      <c r="KB62" s="36"/>
      <c r="KC62" s="36"/>
      <c r="KD62" s="36"/>
      <c r="KE62" s="36"/>
      <c r="KF62" s="36"/>
      <c r="KG62" s="36"/>
      <c r="KH62" s="36"/>
      <c r="KI62" s="36"/>
      <c r="KJ62" s="36"/>
      <c r="KK62" s="36"/>
      <c r="KL62" s="36"/>
      <c r="KM62" s="36"/>
      <c r="KN62" s="36"/>
      <c r="KO62" s="36"/>
      <c r="KP62" s="36"/>
      <c r="KQ62" s="36"/>
      <c r="KR62" s="36"/>
      <c r="KS62" s="36"/>
      <c r="KT62" s="36"/>
      <c r="KU62" s="36"/>
      <c r="KV62" s="36"/>
      <c r="KW62" s="36"/>
      <c r="KX62" s="36"/>
      <c r="KY62" s="36"/>
      <c r="KZ62" s="36"/>
      <c r="LA62" s="36"/>
      <c r="LB62" s="36"/>
      <c r="LC62" s="36"/>
      <c r="LD62" s="36"/>
      <c r="LE62" s="36"/>
      <c r="LF62" s="36"/>
      <c r="LG62" s="36"/>
      <c r="LH62" s="36"/>
      <c r="LI62" s="36"/>
      <c r="LJ62" s="36"/>
      <c r="LK62" s="36"/>
      <c r="LL62" s="36"/>
      <c r="LM62" s="36"/>
      <c r="LN62" s="36"/>
      <c r="LO62" s="36"/>
      <c r="LP62" s="36"/>
      <c r="LQ62" s="36"/>
      <c r="LR62" s="36"/>
      <c r="LS62" s="36"/>
      <c r="LT62" s="36"/>
      <c r="LU62" s="36"/>
      <c r="LV62" s="36"/>
      <c r="LW62" s="36"/>
      <c r="LX62" s="36"/>
      <c r="LY62" s="36"/>
      <c r="LZ62" s="36"/>
      <c r="MA62" s="36"/>
      <c r="MB62" s="36"/>
      <c r="MC62" s="36"/>
      <c r="MD62" s="36"/>
      <c r="ME62" s="36"/>
      <c r="MF62" s="36"/>
      <c r="MG62" s="36"/>
      <c r="MH62" s="36"/>
      <c r="MI62" s="36"/>
      <c r="MJ62" s="36"/>
      <c r="MK62" s="36"/>
      <c r="ML62" s="36"/>
      <c r="MM62" s="36"/>
      <c r="MN62" s="36"/>
      <c r="MO62" s="36"/>
      <c r="MP62" s="36"/>
      <c r="MQ62" s="36"/>
      <c r="MR62" s="36"/>
      <c r="MS62" s="36"/>
      <c r="MT62" s="36"/>
      <c r="MU62" s="36"/>
      <c r="MV62" s="36"/>
      <c r="MW62" s="36"/>
      <c r="MX62" s="36"/>
      <c r="MY62" s="36"/>
      <c r="MZ62" s="36"/>
      <c r="NA62" s="36"/>
      <c r="NB62" s="36"/>
      <c r="NC62" s="36"/>
      <c r="ND62" s="36"/>
      <c r="NE62" s="36"/>
      <c r="NF62" s="36"/>
      <c r="NG62" s="36"/>
      <c r="NH62" s="36"/>
      <c r="NI62" s="36"/>
      <c r="NJ62" s="36"/>
      <c r="NK62" s="36"/>
      <c r="NL62" s="36"/>
      <c r="NM62" s="36"/>
      <c r="NN62" s="36"/>
      <c r="NO62" s="36"/>
      <c r="NP62" s="36"/>
      <c r="NQ62" s="36"/>
      <c r="NR62" s="36"/>
      <c r="NS62" s="36"/>
      <c r="NT62" s="36"/>
      <c r="NU62" s="36"/>
      <c r="NV62" s="36"/>
      <c r="NW62" s="36"/>
      <c r="NX62" s="36"/>
      <c r="NY62" s="36"/>
      <c r="NZ62" s="36"/>
      <c r="OA62" s="36"/>
      <c r="OB62" s="36"/>
      <c r="OC62" s="36"/>
      <c r="OD62" s="36"/>
      <c r="OE62" s="36"/>
      <c r="OF62" s="36"/>
      <c r="OG62" s="36"/>
      <c r="OH62" s="36"/>
      <c r="OI62" s="36"/>
      <c r="OJ62" s="36"/>
      <c r="OK62" s="36"/>
      <c r="OL62" s="36"/>
      <c r="OM62" s="36"/>
      <c r="ON62" s="36"/>
      <c r="OO62" s="36"/>
      <c r="OP62" s="36"/>
      <c r="OQ62" s="36"/>
      <c r="OR62" s="36"/>
      <c r="OS62" s="36"/>
      <c r="OT62" s="36"/>
      <c r="OU62" s="36"/>
      <c r="OV62" s="36"/>
      <c r="OW62" s="36"/>
      <c r="OX62" s="36"/>
      <c r="OY62" s="36"/>
      <c r="OZ62" s="36"/>
      <c r="PA62" s="36"/>
      <c r="PB62" s="36"/>
      <c r="PC62" s="36"/>
      <c r="PD62" s="36"/>
      <c r="PE62" s="36"/>
      <c r="PF62" s="36"/>
      <c r="PG62" s="36"/>
      <c r="PH62" s="36"/>
      <c r="PI62" s="36"/>
      <c r="PJ62" s="36"/>
      <c r="PK62" s="36"/>
      <c r="PL62" s="36"/>
      <c r="PM62" s="36"/>
      <c r="PN62" s="36"/>
      <c r="PO62" s="36"/>
      <c r="PP62" s="36"/>
      <c r="PQ62" s="36"/>
      <c r="PR62" s="36"/>
      <c r="PS62" s="36"/>
      <c r="PT62" s="36"/>
      <c r="PU62" s="36"/>
      <c r="PV62" s="36"/>
      <c r="PW62" s="36"/>
      <c r="PX62" s="36"/>
      <c r="PY62" s="36"/>
      <c r="PZ62" s="36"/>
      <c r="QA62" s="36"/>
      <c r="QB62" s="36"/>
      <c r="QC62" s="36"/>
      <c r="QD62" s="36"/>
      <c r="QE62" s="36"/>
      <c r="QF62" s="36"/>
      <c r="QG62" s="36"/>
      <c r="QH62" s="36"/>
      <c r="QI62" s="36"/>
      <c r="QJ62" s="36"/>
      <c r="QK62" s="36"/>
      <c r="QL62" s="36"/>
      <c r="QM62" s="36"/>
      <c r="QN62" s="36"/>
      <c r="QO62" s="36"/>
      <c r="QP62" s="36"/>
      <c r="QQ62" s="36"/>
      <c r="QR62" s="36"/>
      <c r="QS62" s="36"/>
      <c r="QT62" s="36"/>
      <c r="QU62" s="36"/>
      <c r="QV62" s="36"/>
      <c r="QW62" s="36"/>
      <c r="QX62" s="36"/>
      <c r="QY62" s="36"/>
      <c r="QZ62" s="36"/>
      <c r="RA62" s="36"/>
      <c r="RB62" s="36"/>
      <c r="RC62" s="36"/>
      <c r="RD62" s="36"/>
      <c r="RE62" s="36"/>
      <c r="RF62" s="36"/>
      <c r="RG62" s="36"/>
      <c r="RH62" s="36"/>
      <c r="RI62" s="36"/>
      <c r="RJ62" s="36"/>
      <c r="RK62" s="36"/>
      <c r="RL62" s="36"/>
      <c r="RM62" s="36"/>
      <c r="RN62" s="36"/>
      <c r="RO62" s="36"/>
      <c r="RP62" s="36"/>
      <c r="RQ62" s="36"/>
      <c r="RR62" s="36"/>
      <c r="RS62" s="36"/>
      <c r="RT62" s="36"/>
      <c r="RU62" s="36"/>
      <c r="RV62" s="36"/>
      <c r="RW62" s="36"/>
      <c r="RX62" s="36"/>
      <c r="RY62" s="36"/>
      <c r="RZ62" s="36"/>
      <c r="SA62" s="36"/>
      <c r="SB62" s="36"/>
      <c r="SC62" s="36"/>
      <c r="SD62" s="36"/>
      <c r="SE62" s="36"/>
      <c r="SF62" s="36"/>
      <c r="SG62" s="36"/>
      <c r="SH62" s="36"/>
      <c r="SI62" s="36"/>
      <c r="SJ62" s="36"/>
      <c r="SK62" s="36"/>
      <c r="SL62" s="36"/>
      <c r="SM62" s="36"/>
      <c r="SN62" s="36"/>
      <c r="SO62" s="36"/>
      <c r="SP62" s="36"/>
      <c r="SQ62" s="36"/>
      <c r="SR62" s="36"/>
      <c r="SS62" s="36"/>
      <c r="ST62" s="36"/>
      <c r="SU62" s="36"/>
      <c r="SV62" s="36"/>
      <c r="SW62" s="36"/>
      <c r="SX62" s="36"/>
      <c r="SY62" s="36"/>
      <c r="SZ62" s="36"/>
      <c r="TA62" s="36"/>
      <c r="TB62" s="36"/>
      <c r="TC62" s="36"/>
      <c r="TD62" s="36"/>
      <c r="TE62" s="36"/>
      <c r="TF62" s="36"/>
      <c r="TG62" s="36"/>
      <c r="TH62" s="36"/>
      <c r="TI62" s="36"/>
      <c r="TJ62" s="36"/>
      <c r="TK62" s="36"/>
      <c r="TL62" s="36"/>
      <c r="TM62" s="36"/>
      <c r="TN62" s="36"/>
      <c r="TO62" s="36"/>
      <c r="TP62" s="36"/>
      <c r="TQ62" s="36"/>
      <c r="TR62" s="36"/>
      <c r="TS62" s="36"/>
      <c r="TT62" s="36"/>
      <c r="TU62" s="36"/>
      <c r="TV62" s="36"/>
      <c r="TW62" s="36"/>
      <c r="TX62" s="36"/>
      <c r="TY62" s="36"/>
      <c r="TZ62" s="36"/>
      <c r="UA62" s="36"/>
      <c r="UB62" s="36"/>
      <c r="UC62" s="36"/>
      <c r="UD62" s="36"/>
      <c r="UE62" s="36"/>
      <c r="UF62" s="36"/>
      <c r="UG62" s="36"/>
      <c r="UH62" s="36"/>
      <c r="UI62" s="36"/>
      <c r="UJ62" s="36"/>
      <c r="UK62" s="36"/>
      <c r="UL62" s="36"/>
      <c r="UM62" s="36"/>
      <c r="UN62" s="36"/>
      <c r="UO62" s="36"/>
      <c r="UP62" s="36"/>
      <c r="UQ62" s="36"/>
      <c r="UR62" s="36"/>
      <c r="US62" s="36"/>
      <c r="UT62" s="36"/>
      <c r="UU62" s="36"/>
      <c r="UV62" s="36"/>
      <c r="UW62" s="36"/>
      <c r="UX62" s="36"/>
      <c r="UY62" s="36"/>
      <c r="UZ62" s="36"/>
      <c r="VA62" s="36"/>
      <c r="VB62" s="36"/>
      <c r="VC62" s="36"/>
      <c r="VD62" s="36"/>
      <c r="VE62" s="36"/>
      <c r="VF62" s="36"/>
      <c r="VG62" s="36"/>
      <c r="VH62" s="36"/>
      <c r="VI62" s="36"/>
      <c r="VJ62" s="36"/>
      <c r="VK62" s="36"/>
      <c r="VL62" s="36"/>
      <c r="VM62" s="36"/>
      <c r="VN62" s="36"/>
      <c r="VO62" s="36"/>
      <c r="VP62" s="36"/>
      <c r="VQ62" s="36"/>
      <c r="VR62" s="36"/>
      <c r="VS62" s="36"/>
      <c r="VT62" s="36"/>
      <c r="VU62" s="36"/>
      <c r="VV62" s="36"/>
      <c r="VW62" s="36"/>
      <c r="VX62" s="36"/>
      <c r="VY62" s="36"/>
      <c r="VZ62" s="36"/>
      <c r="WA62" s="36"/>
      <c r="WB62" s="36"/>
      <c r="WC62" s="36"/>
      <c r="WD62" s="36"/>
      <c r="WE62" s="36"/>
      <c r="WF62" s="36"/>
      <c r="WG62" s="36"/>
      <c r="WH62" s="36"/>
      <c r="WI62" s="36"/>
      <c r="WJ62" s="36"/>
      <c r="WK62" s="36"/>
      <c r="WL62" s="36"/>
      <c r="WM62" s="36"/>
      <c r="WN62" s="36"/>
      <c r="WO62" s="36"/>
      <c r="WP62" s="36"/>
      <c r="WQ62" s="36"/>
      <c r="WR62" s="36"/>
      <c r="WS62" s="36"/>
      <c r="WT62" s="36"/>
      <c r="WU62" s="36"/>
      <c r="WV62" s="36"/>
      <c r="WW62" s="36"/>
      <c r="WX62" s="36"/>
      <c r="WY62" s="36"/>
      <c r="WZ62" s="36"/>
      <c r="XA62" s="36"/>
      <c r="XB62" s="36"/>
      <c r="XC62" s="36"/>
      <c r="XD62" s="36"/>
      <c r="XE62" s="36"/>
      <c r="XF62" s="36"/>
      <c r="XG62" s="36"/>
      <c r="XH62" s="36"/>
      <c r="XI62" s="36"/>
      <c r="XJ62" s="36"/>
      <c r="XK62" s="36"/>
      <c r="XL62" s="36"/>
      <c r="XM62" s="36"/>
      <c r="XN62" s="36"/>
      <c r="XO62" s="36"/>
      <c r="XP62" s="36"/>
      <c r="XQ62" s="36"/>
      <c r="XR62" s="36"/>
      <c r="XS62" s="36"/>
      <c r="XT62" s="36"/>
      <c r="XU62" s="36"/>
      <c r="XV62" s="36"/>
      <c r="XW62" s="36"/>
      <c r="XX62" s="36"/>
      <c r="XY62" s="36"/>
      <c r="XZ62" s="36"/>
      <c r="YA62" s="36"/>
      <c r="YB62" s="36"/>
      <c r="YC62" s="36"/>
      <c r="YD62" s="36"/>
      <c r="YE62" s="36"/>
      <c r="YF62" s="36"/>
      <c r="YG62" s="36"/>
      <c r="YH62" s="36"/>
      <c r="YI62" s="36"/>
      <c r="YJ62" s="36"/>
      <c r="YK62" s="36"/>
      <c r="YL62" s="36"/>
      <c r="YM62" s="36"/>
      <c r="YN62" s="36"/>
      <c r="YO62" s="36"/>
      <c r="YP62" s="36"/>
      <c r="YQ62" s="36"/>
      <c r="YR62" s="36"/>
      <c r="YS62" s="36"/>
      <c r="YT62" s="36"/>
      <c r="YU62" s="36"/>
      <c r="YV62" s="36"/>
      <c r="YW62" s="36"/>
      <c r="YX62" s="36"/>
      <c r="YY62" s="36"/>
      <c r="YZ62" s="36"/>
      <c r="ZA62" s="36"/>
      <c r="ZB62" s="36"/>
      <c r="ZC62" s="36"/>
      <c r="ZD62" s="36"/>
      <c r="ZE62" s="36"/>
      <c r="ZF62" s="36"/>
      <c r="ZG62" s="36"/>
      <c r="ZH62" s="36"/>
      <c r="ZI62" s="36"/>
      <c r="ZJ62" s="36"/>
      <c r="ZK62" s="36"/>
      <c r="ZL62" s="36"/>
      <c r="ZM62" s="36"/>
      <c r="ZN62" s="36"/>
      <c r="ZO62" s="36"/>
      <c r="ZP62" s="36"/>
      <c r="ZQ62" s="36"/>
      <c r="ZR62" s="36"/>
      <c r="ZS62" s="36"/>
      <c r="ZT62" s="36"/>
      <c r="ZU62" s="36"/>
      <c r="ZV62" s="36"/>
      <c r="ZW62" s="36"/>
      <c r="ZX62" s="36"/>
      <c r="ZY62" s="36"/>
      <c r="ZZ62" s="36"/>
      <c r="AAA62" s="36"/>
      <c r="AAB62" s="36"/>
      <c r="AAC62" s="36"/>
      <c r="AAD62" s="36"/>
      <c r="AAE62" s="36"/>
      <c r="AAF62" s="36"/>
      <c r="AAG62" s="36"/>
      <c r="AAH62" s="36"/>
      <c r="AAI62" s="36"/>
      <c r="AAJ62" s="36"/>
      <c r="AAK62" s="36"/>
      <c r="AAL62" s="36"/>
      <c r="AAM62" s="36"/>
      <c r="AAN62" s="36"/>
      <c r="AAO62" s="36"/>
      <c r="AAP62" s="36"/>
      <c r="AAQ62" s="36"/>
      <c r="AAR62" s="36"/>
      <c r="AAS62" s="36"/>
      <c r="AAT62" s="36"/>
      <c r="AAU62" s="36"/>
      <c r="AAV62" s="36"/>
      <c r="AAW62" s="36"/>
      <c r="AAX62" s="36"/>
      <c r="AAY62" s="36"/>
      <c r="AAZ62" s="36"/>
      <c r="ABA62" s="36"/>
      <c r="ABB62" s="36"/>
      <c r="ABC62" s="36"/>
      <c r="ABD62" s="36"/>
      <c r="ABE62" s="36"/>
      <c r="ABF62" s="36"/>
      <c r="ABG62" s="36"/>
      <c r="ABH62" s="36"/>
      <c r="ABI62" s="36"/>
      <c r="ABJ62" s="36"/>
      <c r="ABK62" s="36"/>
      <c r="ABL62" s="36"/>
      <c r="ABM62" s="36"/>
      <c r="ABN62" s="36"/>
      <c r="ABO62" s="36"/>
      <c r="ABP62" s="36"/>
      <c r="ABQ62" s="36"/>
      <c r="ABR62" s="36"/>
      <c r="ABS62" s="36"/>
      <c r="ABT62" s="36"/>
      <c r="ABU62" s="36"/>
      <c r="ABV62" s="36"/>
      <c r="ABW62" s="36"/>
      <c r="ABX62" s="36"/>
      <c r="ABY62" s="36"/>
      <c r="ABZ62" s="36"/>
      <c r="ACA62" s="36"/>
      <c r="ACB62" s="36"/>
      <c r="ACC62" s="36"/>
      <c r="ACD62" s="36"/>
      <c r="ACE62" s="36"/>
      <c r="ACF62" s="36"/>
      <c r="ACG62" s="36"/>
      <c r="ACH62" s="36"/>
      <c r="ACI62" s="36"/>
      <c r="ACJ62" s="36"/>
      <c r="ACK62" s="36"/>
      <c r="ACL62" s="36"/>
      <c r="ACM62" s="36"/>
      <c r="ACN62" s="36"/>
      <c r="ACO62" s="36"/>
      <c r="ACP62" s="36"/>
      <c r="ACQ62" s="36"/>
      <c r="ACR62" s="36"/>
      <c r="ACS62" s="36"/>
      <c r="ACT62" s="36"/>
      <c r="ACU62" s="36"/>
      <c r="ACV62" s="36"/>
      <c r="ACW62" s="36"/>
      <c r="ACX62" s="36"/>
      <c r="ACY62" s="36"/>
      <c r="ACZ62" s="36"/>
      <c r="ADA62" s="36"/>
      <c r="ADB62" s="36"/>
      <c r="ADC62" s="36"/>
      <c r="ADD62" s="36"/>
      <c r="ADE62" s="36"/>
      <c r="ADF62" s="36"/>
      <c r="ADG62" s="36"/>
      <c r="ADH62" s="36"/>
      <c r="ADI62" s="36"/>
      <c r="ADJ62" s="36"/>
      <c r="ADK62" s="36"/>
      <c r="ADL62" s="36"/>
      <c r="ADM62" s="36"/>
      <c r="ADN62" s="36"/>
      <c r="ADO62" s="36"/>
      <c r="ADP62" s="36"/>
      <c r="ADQ62" s="36"/>
      <c r="ADR62" s="36"/>
      <c r="ADS62" s="36"/>
      <c r="ADT62" s="36"/>
      <c r="ADU62" s="36"/>
      <c r="ADV62" s="36"/>
      <c r="ADW62" s="36"/>
      <c r="ADX62" s="36"/>
      <c r="ADY62" s="36"/>
      <c r="ADZ62" s="36"/>
      <c r="AEA62" s="36"/>
      <c r="AEB62" s="36"/>
      <c r="AEC62" s="36"/>
      <c r="AED62" s="36"/>
      <c r="AEE62" s="36"/>
      <c r="AEF62" s="36"/>
      <c r="AEG62" s="36"/>
      <c r="AEH62" s="36"/>
      <c r="AEI62" s="36"/>
      <c r="AEJ62" s="36"/>
      <c r="AEK62" s="36"/>
      <c r="AEL62" s="36"/>
      <c r="AEM62" s="36"/>
      <c r="AEN62" s="36"/>
      <c r="AEO62" s="36"/>
      <c r="AEP62" s="36"/>
      <c r="AEQ62" s="36"/>
      <c r="AER62" s="36"/>
      <c r="AES62" s="36"/>
      <c r="AET62" s="36"/>
      <c r="AEU62" s="36"/>
      <c r="AEV62" s="36"/>
      <c r="AEW62" s="36"/>
      <c r="AEX62" s="36"/>
      <c r="AEY62" s="36"/>
      <c r="AEZ62" s="36"/>
      <c r="AFA62" s="36"/>
      <c r="AFB62" s="36"/>
      <c r="AFC62" s="36"/>
      <c r="AFD62" s="36"/>
      <c r="AFE62" s="36"/>
      <c r="AFF62" s="36"/>
      <c r="AFG62" s="36"/>
      <c r="AFH62" s="36"/>
      <c r="AFI62" s="36"/>
      <c r="AFJ62" s="36"/>
      <c r="AFK62" s="36"/>
      <c r="AFL62" s="36"/>
      <c r="AFM62" s="36"/>
      <c r="AFN62" s="36"/>
      <c r="AFO62" s="36"/>
      <c r="AFP62" s="36"/>
      <c r="AFQ62" s="36"/>
      <c r="AFR62" s="36"/>
      <c r="AFS62" s="36"/>
      <c r="AFT62" s="36"/>
      <c r="AFU62" s="36"/>
      <c r="AFV62" s="36"/>
      <c r="AFW62" s="36"/>
      <c r="AFX62" s="36"/>
      <c r="AFY62" s="36"/>
      <c r="AFZ62" s="36"/>
      <c r="AGA62" s="36"/>
      <c r="AGB62" s="36"/>
      <c r="AGC62" s="36"/>
      <c r="AGD62" s="36"/>
      <c r="AGE62" s="36"/>
      <c r="AGF62" s="36"/>
      <c r="AGG62" s="36"/>
      <c r="AGH62" s="36"/>
      <c r="AGI62" s="36"/>
      <c r="AGJ62" s="36"/>
      <c r="AGK62" s="36"/>
      <c r="AGL62" s="36"/>
      <c r="AGM62" s="36"/>
      <c r="AGN62" s="36"/>
      <c r="AGO62" s="36"/>
      <c r="AGP62" s="36"/>
      <c r="AGQ62" s="36"/>
      <c r="AGR62" s="36"/>
      <c r="AGS62" s="36"/>
      <c r="AGT62" s="36"/>
      <c r="AGU62" s="36"/>
      <c r="AGV62" s="36"/>
      <c r="AGW62" s="36"/>
      <c r="AGX62" s="36"/>
      <c r="AGY62" s="36"/>
      <c r="AGZ62" s="36"/>
      <c r="AHA62" s="36"/>
      <c r="AHB62" s="36"/>
      <c r="AHC62" s="36"/>
      <c r="AHD62" s="36"/>
      <c r="AHE62" s="36"/>
      <c r="AHF62" s="36"/>
      <c r="AHG62" s="36"/>
      <c r="AHH62" s="36"/>
      <c r="AHI62" s="36"/>
      <c r="AHJ62" s="36"/>
      <c r="AHK62" s="36"/>
      <c r="AHL62" s="36"/>
      <c r="AHM62" s="36"/>
      <c r="AHN62" s="36"/>
      <c r="AHO62" s="36"/>
      <c r="AHP62" s="36"/>
      <c r="AHQ62" s="36"/>
      <c r="AHR62" s="36"/>
      <c r="AHS62" s="36"/>
      <c r="AHT62" s="36"/>
      <c r="AHU62" s="36"/>
      <c r="AHV62" s="36"/>
      <c r="AHW62" s="36"/>
      <c r="AHX62" s="36"/>
      <c r="AHY62" s="36"/>
      <c r="AHZ62" s="36"/>
      <c r="AIA62" s="36"/>
      <c r="AIB62" s="36"/>
      <c r="AIC62" s="36"/>
      <c r="AID62" s="36"/>
      <c r="AIE62" s="36"/>
      <c r="AIF62" s="36"/>
      <c r="AIG62" s="36"/>
      <c r="AIH62" s="36"/>
      <c r="AII62" s="36"/>
      <c r="AIJ62" s="36"/>
      <c r="AIK62" s="36"/>
      <c r="AIL62" s="36"/>
      <c r="AIM62" s="36"/>
      <c r="AIN62" s="36"/>
      <c r="AIO62" s="36"/>
      <c r="AIP62" s="36"/>
      <c r="AIQ62" s="36"/>
      <c r="AIR62" s="36"/>
      <c r="AIS62" s="36"/>
      <c r="AIT62" s="36"/>
      <c r="AIU62" s="36"/>
      <c r="AIV62" s="36"/>
      <c r="AIW62" s="36"/>
      <c r="AIX62" s="36"/>
      <c r="AIY62" s="36"/>
      <c r="AIZ62" s="36"/>
      <c r="AJA62" s="36"/>
      <c r="AJB62" s="36"/>
      <c r="AJC62" s="36"/>
      <c r="AJD62" s="36"/>
      <c r="AJE62" s="36"/>
      <c r="AJF62" s="36"/>
      <c r="AJG62" s="36"/>
      <c r="AJH62" s="36"/>
      <c r="AJI62" s="36"/>
      <c r="AJJ62" s="36"/>
      <c r="AJK62" s="36"/>
      <c r="AJL62" s="36"/>
      <c r="AJM62" s="36"/>
      <c r="AJN62" s="36"/>
      <c r="AJO62" s="36"/>
      <c r="AJP62" s="36"/>
      <c r="AJQ62" s="36"/>
      <c r="AJR62" s="36"/>
      <c r="AJS62" s="36"/>
      <c r="AJT62" s="36"/>
      <c r="AJU62" s="36"/>
      <c r="AJV62" s="36"/>
      <c r="AJW62" s="36"/>
      <c r="AJX62" s="36"/>
      <c r="AJY62" s="36"/>
      <c r="AJZ62" s="36"/>
      <c r="AKA62" s="36"/>
      <c r="AKB62" s="36"/>
      <c r="AKC62" s="36"/>
      <c r="AKD62" s="36"/>
      <c r="AKE62" s="36"/>
      <c r="AKF62" s="36"/>
      <c r="AKG62" s="36"/>
      <c r="AKH62" s="36"/>
      <c r="AKI62" s="36"/>
      <c r="AKJ62" s="36"/>
      <c r="AKK62" s="36"/>
      <c r="AKL62" s="36"/>
      <c r="AKM62" s="36"/>
      <c r="AKN62" s="36"/>
      <c r="AKO62" s="36"/>
      <c r="AKP62" s="36"/>
      <c r="AKQ62" s="36"/>
      <c r="AKR62" s="36"/>
      <c r="AKS62" s="36"/>
      <c r="AKT62" s="36"/>
      <c r="AKU62" s="36"/>
      <c r="AKV62" s="36"/>
      <c r="AKW62" s="36"/>
      <c r="AKX62" s="36"/>
      <c r="AKY62" s="36"/>
      <c r="AKZ62" s="36"/>
      <c r="ALA62" s="36"/>
      <c r="ALB62" s="36"/>
      <c r="ALC62" s="36"/>
      <c r="ALD62" s="36"/>
      <c r="ALE62" s="36"/>
      <c r="ALF62" s="36"/>
      <c r="ALG62" s="36"/>
      <c r="ALH62" s="36"/>
      <c r="ALI62" s="36"/>
      <c r="ALJ62" s="36"/>
      <c r="ALK62" s="36"/>
      <c r="ALL62" s="36"/>
      <c r="ALM62" s="36"/>
      <c r="ALN62" s="36"/>
      <c r="ALO62" s="36"/>
      <c r="ALP62" s="36"/>
      <c r="ALQ62" s="36"/>
      <c r="ALR62" s="36"/>
      <c r="ALS62" s="36"/>
      <c r="ALT62" s="36"/>
      <c r="ALU62" s="36"/>
      <c r="ALV62" s="36"/>
      <c r="ALW62" s="36"/>
      <c r="ALX62" s="36"/>
      <c r="ALY62" s="36"/>
      <c r="ALZ62" s="36"/>
      <c r="AMA62" s="36"/>
      <c r="AMB62" s="36"/>
      <c r="AMC62" s="36"/>
      <c r="AMD62" s="36"/>
      <c r="AME62" s="36"/>
      <c r="AMF62" s="36"/>
      <c r="AMG62" s="36"/>
      <c r="AMH62" s="36"/>
      <c r="AMI62" s="36"/>
      <c r="AMJ62" s="36"/>
      <c r="AMK62" s="36"/>
      <c r="AML62" s="36"/>
      <c r="AMM62" s="36"/>
      <c r="AMN62" s="36"/>
      <c r="AMO62" s="36"/>
      <c r="AMP62" s="36"/>
      <c r="AMQ62" s="36"/>
      <c r="AMR62" s="36"/>
      <c r="AMS62" s="36"/>
      <c r="AMT62" s="36"/>
      <c r="AMU62" s="36"/>
      <c r="AMV62" s="36"/>
      <c r="AMW62" s="36"/>
      <c r="AMX62" s="36"/>
      <c r="AMY62" s="36"/>
      <c r="AMZ62" s="36"/>
      <c r="ANA62" s="36"/>
      <c r="ANB62" s="36"/>
      <c r="ANC62" s="36"/>
      <c r="AND62" s="36"/>
      <c r="ANE62" s="36"/>
      <c r="ANF62" s="36"/>
      <c r="ANG62" s="36"/>
      <c r="ANH62" s="36"/>
      <c r="ANI62" s="36"/>
      <c r="ANJ62" s="36"/>
      <c r="ANK62" s="36"/>
      <c r="ANL62" s="36"/>
      <c r="ANM62" s="36"/>
      <c r="ANN62" s="36"/>
      <c r="ANO62" s="36"/>
      <c r="ANP62" s="36"/>
      <c r="ANQ62" s="36"/>
      <c r="ANR62" s="36"/>
      <c r="ANS62" s="36"/>
      <c r="ANT62" s="36"/>
      <c r="ANU62" s="36"/>
      <c r="ANV62" s="36"/>
      <c r="ANW62" s="36"/>
      <c r="ANX62" s="36"/>
      <c r="ANY62" s="36"/>
      <c r="ANZ62" s="36"/>
      <c r="AOA62" s="36"/>
      <c r="AOB62" s="36"/>
      <c r="AOC62" s="36"/>
      <c r="AOD62" s="36"/>
      <c r="AOE62" s="36"/>
      <c r="AOF62" s="36"/>
      <c r="AOG62" s="36"/>
      <c r="AOH62" s="36"/>
      <c r="AOI62" s="36"/>
      <c r="AOJ62" s="36"/>
      <c r="AOK62" s="36"/>
      <c r="AOL62" s="36"/>
      <c r="AOM62" s="36"/>
      <c r="AON62" s="36"/>
      <c r="AOO62" s="36"/>
      <c r="AOP62" s="36"/>
      <c r="AOQ62" s="36"/>
      <c r="AOR62" s="36"/>
      <c r="AOS62" s="36"/>
      <c r="AOT62" s="36"/>
      <c r="AOU62" s="36"/>
      <c r="AOV62" s="36"/>
      <c r="AOW62" s="36"/>
      <c r="AOX62" s="36"/>
      <c r="AOY62" s="36"/>
      <c r="AOZ62" s="36"/>
      <c r="APA62" s="36"/>
      <c r="APB62" s="36"/>
      <c r="APC62" s="36"/>
      <c r="APD62" s="36"/>
      <c r="APE62" s="36"/>
      <c r="APF62" s="36"/>
      <c r="APG62" s="36"/>
      <c r="APH62" s="36"/>
      <c r="API62" s="36"/>
      <c r="APJ62" s="36"/>
      <c r="APK62" s="36"/>
      <c r="APL62" s="36"/>
      <c r="APM62" s="36"/>
      <c r="APN62" s="36"/>
      <c r="APO62" s="36"/>
      <c r="APP62" s="36"/>
      <c r="APQ62" s="36"/>
      <c r="APR62" s="36"/>
      <c r="APS62" s="36"/>
      <c r="APT62" s="36"/>
      <c r="APU62" s="36"/>
      <c r="APV62" s="36"/>
      <c r="APW62" s="36"/>
      <c r="APX62" s="36"/>
      <c r="APY62" s="36"/>
      <c r="APZ62" s="36"/>
      <c r="AQA62" s="36"/>
      <c r="AQB62" s="36"/>
      <c r="AQC62" s="36"/>
      <c r="AQD62" s="36"/>
      <c r="AQE62" s="36"/>
      <c r="AQF62" s="36"/>
      <c r="AQG62" s="36"/>
      <c r="AQH62" s="36"/>
      <c r="AQI62" s="36"/>
      <c r="AQJ62" s="36"/>
      <c r="AQK62" s="36"/>
      <c r="AQL62" s="36"/>
      <c r="AQM62" s="36"/>
      <c r="AQN62" s="36"/>
      <c r="AQO62" s="36"/>
      <c r="AQP62" s="36"/>
      <c r="AQQ62" s="36"/>
      <c r="AQR62" s="36"/>
      <c r="AQS62" s="36"/>
      <c r="AQT62" s="36"/>
      <c r="AQU62" s="36"/>
      <c r="AQV62" s="36"/>
      <c r="AQW62" s="36"/>
      <c r="AQX62" s="36"/>
      <c r="AQY62" s="36"/>
      <c r="AQZ62" s="36"/>
      <c r="ARA62" s="36"/>
      <c r="ARB62" s="36"/>
      <c r="ARC62" s="36"/>
      <c r="ARD62" s="36"/>
      <c r="ARE62" s="36"/>
      <c r="ARF62" s="36"/>
      <c r="ARG62" s="36"/>
      <c r="ARH62" s="36"/>
      <c r="ARI62" s="36"/>
      <c r="ARJ62" s="36"/>
      <c r="ARK62" s="36"/>
      <c r="ARL62" s="36"/>
      <c r="ARM62" s="36"/>
      <c r="ARN62" s="36"/>
      <c r="ARO62" s="36"/>
      <c r="ARP62" s="36"/>
      <c r="ARQ62" s="36"/>
      <c r="ARR62" s="36"/>
      <c r="ARS62" s="36"/>
      <c r="ART62" s="36"/>
      <c r="ARU62" s="36"/>
      <c r="ARV62" s="36"/>
      <c r="ARW62" s="36"/>
      <c r="ARX62" s="36"/>
      <c r="ARY62" s="36"/>
      <c r="ARZ62" s="36"/>
      <c r="ASA62" s="36"/>
      <c r="ASB62" s="36"/>
      <c r="ASC62" s="36"/>
      <c r="ASD62" s="36"/>
      <c r="ASE62" s="36"/>
      <c r="ASF62" s="36"/>
      <c r="ASG62" s="36"/>
      <c r="ASH62" s="36"/>
      <c r="ASI62" s="36"/>
      <c r="ASJ62" s="36"/>
      <c r="ASK62" s="36"/>
      <c r="ASL62" s="36"/>
      <c r="ASM62" s="36"/>
      <c r="ASN62" s="36"/>
      <c r="ASO62" s="36"/>
      <c r="ASP62" s="36"/>
      <c r="ASQ62" s="36"/>
      <c r="ASR62" s="36"/>
      <c r="ASS62" s="36"/>
      <c r="AST62" s="36"/>
      <c r="ASU62" s="36"/>
      <c r="ASV62" s="36"/>
      <c r="ASW62" s="36"/>
      <c r="ASX62" s="36"/>
      <c r="ASY62" s="36"/>
      <c r="ASZ62" s="36"/>
      <c r="ATA62" s="36"/>
      <c r="ATB62" s="36"/>
      <c r="ATC62" s="36"/>
      <c r="ATD62" s="36"/>
      <c r="ATE62" s="36"/>
      <c r="ATF62" s="36"/>
      <c r="ATG62" s="36"/>
      <c r="ATH62" s="36"/>
      <c r="ATI62" s="36"/>
      <c r="ATJ62" s="36"/>
      <c r="ATK62" s="36"/>
      <c r="ATL62" s="36"/>
      <c r="ATM62" s="36"/>
      <c r="ATN62" s="36"/>
      <c r="ATO62" s="36"/>
      <c r="ATP62" s="36"/>
      <c r="ATQ62" s="36"/>
      <c r="ATR62" s="36"/>
      <c r="ATS62" s="36"/>
      <c r="ATT62" s="36"/>
      <c r="ATU62" s="36"/>
      <c r="ATV62" s="36"/>
      <c r="ATW62" s="36"/>
      <c r="ATX62" s="36"/>
      <c r="ATY62" s="36"/>
      <c r="ATZ62" s="36"/>
      <c r="AUA62" s="36"/>
      <c r="AUB62" s="36"/>
      <c r="AUC62" s="36"/>
      <c r="AUD62" s="36"/>
      <c r="AUE62" s="36"/>
      <c r="AUF62" s="36"/>
      <c r="AUG62" s="36"/>
      <c r="AUH62" s="36"/>
      <c r="AUI62" s="36"/>
      <c r="AUJ62" s="36"/>
      <c r="AUK62" s="36"/>
      <c r="AUL62" s="36"/>
      <c r="AUM62" s="36"/>
      <c r="AUN62" s="36"/>
      <c r="AUO62" s="36"/>
      <c r="AUP62" s="36"/>
      <c r="AUQ62" s="36"/>
      <c r="AUR62" s="36"/>
      <c r="AUS62" s="36"/>
      <c r="AUT62" s="36"/>
      <c r="AUU62" s="36"/>
      <c r="AUV62" s="36"/>
      <c r="AUW62" s="36"/>
      <c r="AUX62" s="36"/>
      <c r="AUY62" s="36"/>
      <c r="AUZ62" s="36"/>
      <c r="AVA62" s="36"/>
      <c r="AVB62" s="36"/>
      <c r="AVC62" s="36"/>
      <c r="AVD62" s="36"/>
      <c r="AVE62" s="36"/>
      <c r="AVF62" s="36"/>
      <c r="AVG62" s="36"/>
      <c r="AVH62" s="36"/>
      <c r="AVI62" s="36"/>
      <c r="AVJ62" s="36"/>
      <c r="AVK62" s="36"/>
      <c r="AVL62" s="36"/>
      <c r="AVM62" s="36"/>
      <c r="AVN62" s="36"/>
      <c r="AVO62" s="36"/>
      <c r="AVP62" s="36"/>
      <c r="AVQ62" s="36"/>
      <c r="AVR62" s="36"/>
      <c r="AVS62" s="36"/>
      <c r="AVT62" s="36"/>
      <c r="AVU62" s="36"/>
      <c r="AVV62" s="36"/>
      <c r="AVW62" s="36"/>
      <c r="AVX62" s="36"/>
      <c r="AVY62" s="36"/>
      <c r="AVZ62" s="36"/>
      <c r="AWA62" s="36"/>
      <c r="AWB62" s="36"/>
      <c r="AWC62" s="36"/>
      <c r="AWD62" s="36"/>
      <c r="AWE62" s="36"/>
      <c r="AWF62" s="36"/>
      <c r="AWG62" s="36"/>
      <c r="AWH62" s="36"/>
      <c r="AWI62" s="36"/>
      <c r="AWJ62" s="36"/>
      <c r="AWK62" s="36"/>
      <c r="AWL62" s="36"/>
      <c r="AWM62" s="36"/>
      <c r="AWN62" s="36"/>
      <c r="AWO62" s="36"/>
      <c r="AWP62" s="36"/>
      <c r="AWQ62" s="36"/>
      <c r="AWR62" s="36"/>
      <c r="AWS62" s="36"/>
      <c r="AWT62" s="36"/>
      <c r="AWU62" s="36"/>
      <c r="AWV62" s="36"/>
      <c r="AWW62" s="36"/>
      <c r="AWX62" s="36"/>
      <c r="AWY62" s="36"/>
      <c r="AWZ62" s="36"/>
      <c r="AXA62" s="36"/>
      <c r="AXB62" s="36"/>
      <c r="AXC62" s="36"/>
      <c r="AXD62" s="36"/>
      <c r="AXE62" s="36"/>
      <c r="AXF62" s="36"/>
      <c r="AXG62" s="36"/>
      <c r="AXH62" s="36"/>
      <c r="AXI62" s="36"/>
      <c r="AXJ62" s="36"/>
      <c r="AXK62" s="36"/>
      <c r="AXL62" s="36"/>
      <c r="AXM62" s="36"/>
      <c r="AXN62" s="36"/>
      <c r="AXO62" s="36"/>
      <c r="AXP62" s="36"/>
      <c r="AXQ62" s="36"/>
      <c r="AXR62" s="36"/>
      <c r="AXS62" s="36"/>
      <c r="AXT62" s="36"/>
      <c r="AXU62" s="36"/>
      <c r="AXV62" s="36"/>
      <c r="AXW62" s="36"/>
      <c r="AXX62" s="36"/>
      <c r="AXY62" s="36"/>
      <c r="AXZ62" s="36"/>
      <c r="AYA62" s="36"/>
      <c r="AYB62" s="36"/>
      <c r="AYC62" s="36"/>
      <c r="AYD62" s="36"/>
      <c r="AYE62" s="36"/>
      <c r="AYF62" s="36"/>
      <c r="AYG62" s="36"/>
      <c r="AYH62" s="36"/>
      <c r="AYI62" s="36"/>
      <c r="AYJ62" s="36"/>
      <c r="AYK62" s="36"/>
      <c r="AYL62" s="36"/>
      <c r="AYM62" s="36"/>
      <c r="AYN62" s="36"/>
      <c r="AYO62" s="36"/>
      <c r="AYP62" s="36"/>
      <c r="AYQ62" s="36"/>
      <c r="AYR62" s="36"/>
      <c r="AYS62" s="36"/>
      <c r="AYT62" s="36"/>
      <c r="AYU62" s="36"/>
      <c r="AYV62" s="36"/>
      <c r="AYW62" s="36"/>
      <c r="AYX62" s="36"/>
      <c r="AYY62" s="36"/>
      <c r="AYZ62" s="36"/>
      <c r="AZA62" s="36"/>
      <c r="AZB62" s="36"/>
      <c r="AZC62" s="36"/>
      <c r="AZD62" s="36"/>
      <c r="AZE62" s="36"/>
      <c r="AZF62" s="36"/>
      <c r="AZG62" s="36"/>
      <c r="AZH62" s="36"/>
      <c r="AZI62" s="36"/>
      <c r="AZJ62" s="36"/>
      <c r="AZK62" s="36"/>
      <c r="AZL62" s="36"/>
      <c r="AZM62" s="36"/>
      <c r="AZN62" s="36"/>
      <c r="AZO62" s="36"/>
      <c r="AZP62" s="36"/>
      <c r="AZQ62" s="36"/>
      <c r="AZR62" s="36"/>
      <c r="AZS62" s="36"/>
      <c r="AZT62" s="36"/>
      <c r="AZU62" s="36"/>
      <c r="AZV62" s="36"/>
      <c r="AZW62" s="36"/>
      <c r="AZX62" s="36"/>
      <c r="AZY62" s="36"/>
      <c r="AZZ62" s="36"/>
      <c r="BAA62" s="36"/>
      <c r="BAB62" s="36"/>
      <c r="BAC62" s="36"/>
      <c r="BAD62" s="36"/>
      <c r="BAE62" s="36"/>
      <c r="BAF62" s="36"/>
      <c r="BAG62" s="36"/>
      <c r="BAH62" s="36"/>
      <c r="BAI62" s="36"/>
      <c r="BAJ62" s="36"/>
      <c r="BAK62" s="36"/>
      <c r="BAL62" s="36"/>
      <c r="BAM62" s="36"/>
      <c r="BAN62" s="36"/>
      <c r="BAO62" s="36"/>
      <c r="BAP62" s="36"/>
      <c r="BAQ62" s="36"/>
      <c r="BAR62" s="36"/>
      <c r="BAS62" s="36"/>
      <c r="BAT62" s="36"/>
      <c r="BAU62" s="36"/>
      <c r="BAV62" s="36"/>
      <c r="BAW62" s="36"/>
      <c r="BAX62" s="36"/>
      <c r="BAY62" s="36"/>
      <c r="BAZ62" s="36"/>
      <c r="BBA62" s="36"/>
      <c r="BBB62" s="36"/>
      <c r="BBC62" s="36"/>
      <c r="BBD62" s="36"/>
      <c r="BBE62" s="36"/>
      <c r="BBF62" s="36"/>
      <c r="BBG62" s="36"/>
      <c r="BBH62" s="36"/>
      <c r="BBI62" s="36"/>
      <c r="BBJ62" s="36"/>
      <c r="BBK62" s="36"/>
      <c r="BBL62" s="36"/>
      <c r="BBM62" s="36"/>
      <c r="BBN62" s="36"/>
      <c r="BBO62" s="36"/>
      <c r="BBP62" s="36"/>
      <c r="BBQ62" s="36"/>
      <c r="BBR62" s="36"/>
      <c r="BBS62" s="36"/>
      <c r="BBT62" s="36"/>
      <c r="BBU62" s="36"/>
      <c r="BBV62" s="36"/>
      <c r="BBW62" s="36"/>
      <c r="BBX62" s="36"/>
      <c r="BBY62" s="36"/>
      <c r="BBZ62" s="36"/>
      <c r="BCA62" s="36"/>
      <c r="BCB62" s="36"/>
      <c r="BCC62" s="36"/>
      <c r="BCD62" s="36"/>
      <c r="BCE62" s="36"/>
      <c r="BCF62" s="36"/>
      <c r="BCG62" s="36"/>
      <c r="BCH62" s="36"/>
      <c r="BCI62" s="36"/>
      <c r="BCJ62" s="36"/>
      <c r="BCK62" s="36"/>
      <c r="BCL62" s="36"/>
      <c r="BCM62" s="36"/>
      <c r="BCN62" s="36"/>
      <c r="BCO62" s="36"/>
      <c r="BCP62" s="36"/>
      <c r="BCQ62" s="36"/>
      <c r="BCR62" s="36"/>
      <c r="BCS62" s="36"/>
      <c r="BCT62" s="36"/>
      <c r="BCU62" s="36"/>
      <c r="BCV62" s="36"/>
      <c r="BCW62" s="36"/>
      <c r="BCX62" s="36"/>
      <c r="BCY62" s="36"/>
      <c r="BCZ62" s="36"/>
      <c r="BDA62" s="36"/>
      <c r="BDB62" s="36"/>
      <c r="BDC62" s="36"/>
      <c r="BDD62" s="36"/>
      <c r="BDE62" s="36"/>
      <c r="BDF62" s="36"/>
      <c r="BDG62" s="36"/>
      <c r="BDH62" s="36"/>
      <c r="BDI62" s="36"/>
      <c r="BDJ62" s="36"/>
      <c r="BDK62" s="36"/>
      <c r="BDL62" s="36"/>
      <c r="BDM62" s="36"/>
      <c r="BDN62" s="36"/>
      <c r="BDO62" s="36"/>
      <c r="BDP62" s="36"/>
      <c r="BDQ62" s="36"/>
      <c r="BDR62" s="36"/>
      <c r="BDS62" s="36"/>
      <c r="BDT62" s="36"/>
      <c r="BDU62" s="36"/>
      <c r="BDV62" s="36"/>
      <c r="BDW62" s="36"/>
      <c r="BDX62" s="36"/>
      <c r="BDY62" s="36"/>
      <c r="BDZ62" s="36"/>
      <c r="BEA62" s="36"/>
      <c r="BEB62" s="36"/>
      <c r="BEC62" s="36"/>
      <c r="BED62" s="36"/>
      <c r="BEE62" s="36"/>
      <c r="BEF62" s="36"/>
      <c r="BEG62" s="36"/>
      <c r="BEH62" s="36"/>
      <c r="BEI62" s="36"/>
      <c r="BEJ62" s="36"/>
      <c r="BEK62" s="36"/>
      <c r="BEL62" s="36"/>
      <c r="BEM62" s="36"/>
      <c r="BEN62" s="36"/>
      <c r="BEO62" s="36"/>
      <c r="BEP62" s="36"/>
      <c r="BEQ62" s="36"/>
      <c r="BER62" s="36"/>
      <c r="BES62" s="36"/>
      <c r="BET62" s="36"/>
      <c r="BEU62" s="36"/>
      <c r="BEV62" s="36"/>
      <c r="BEW62" s="36"/>
      <c r="BEX62" s="36"/>
      <c r="BEY62" s="36"/>
      <c r="BEZ62" s="36"/>
      <c r="BFA62" s="36"/>
      <c r="BFB62" s="36"/>
      <c r="BFC62" s="36"/>
      <c r="BFD62" s="36"/>
      <c r="BFE62" s="36"/>
      <c r="BFF62" s="36"/>
      <c r="BFG62" s="36"/>
      <c r="BFH62" s="36"/>
      <c r="BFI62" s="36"/>
      <c r="BFJ62" s="36"/>
      <c r="BFK62" s="36"/>
      <c r="BFL62" s="36"/>
      <c r="BFM62" s="36"/>
      <c r="BFN62" s="36"/>
      <c r="BFO62" s="36"/>
      <c r="BFP62" s="36"/>
      <c r="BFQ62" s="36"/>
      <c r="BFR62" s="36"/>
      <c r="BFS62" s="36"/>
      <c r="BFT62" s="36"/>
      <c r="BFU62" s="36"/>
      <c r="BFV62" s="36"/>
      <c r="BFW62" s="36"/>
      <c r="BFX62" s="36"/>
      <c r="BFY62" s="36"/>
      <c r="BFZ62" s="36"/>
      <c r="BGA62" s="36"/>
      <c r="BGB62" s="36"/>
      <c r="BGC62" s="36"/>
      <c r="BGD62" s="36"/>
      <c r="BGE62" s="36"/>
      <c r="BGF62" s="36"/>
      <c r="BGG62" s="36"/>
      <c r="BGH62" s="36"/>
      <c r="BGI62" s="36"/>
      <c r="BGJ62" s="36"/>
      <c r="BGK62" s="36"/>
      <c r="BGL62" s="36"/>
      <c r="BGM62" s="36"/>
      <c r="BGN62" s="36"/>
      <c r="BGO62" s="36"/>
      <c r="BGP62" s="36"/>
      <c r="BGQ62" s="36"/>
      <c r="BGR62" s="36"/>
      <c r="BGS62" s="36"/>
      <c r="BGT62" s="36"/>
      <c r="BGU62" s="36"/>
      <c r="BGV62" s="36"/>
      <c r="BGW62" s="36"/>
      <c r="BGX62" s="36"/>
      <c r="BGY62" s="36"/>
      <c r="BGZ62" s="36"/>
      <c r="BHA62" s="36"/>
      <c r="BHB62" s="36"/>
      <c r="BHC62" s="36"/>
      <c r="BHD62" s="36"/>
      <c r="BHE62" s="36"/>
      <c r="BHF62" s="36"/>
      <c r="BHG62" s="36"/>
      <c r="BHH62" s="36"/>
      <c r="BHI62" s="36"/>
      <c r="BHJ62" s="36"/>
      <c r="BHK62" s="36"/>
      <c r="BHL62" s="36"/>
      <c r="BHM62" s="36"/>
      <c r="BHN62" s="36"/>
      <c r="BHO62" s="36"/>
      <c r="BHP62" s="36"/>
      <c r="BHQ62" s="36"/>
      <c r="BHR62" s="36"/>
      <c r="BHS62" s="36"/>
      <c r="BHT62" s="36"/>
      <c r="BHU62" s="36"/>
      <c r="BHV62" s="36"/>
      <c r="BHW62" s="36"/>
      <c r="BHX62" s="36"/>
      <c r="BHY62" s="36"/>
      <c r="BHZ62" s="36"/>
      <c r="BIA62" s="36"/>
      <c r="BIB62" s="36"/>
      <c r="BIC62" s="36"/>
      <c r="BID62" s="36"/>
      <c r="BIE62" s="36"/>
      <c r="BIF62" s="36"/>
      <c r="BIG62" s="36"/>
      <c r="BIH62" s="36"/>
      <c r="BII62" s="36"/>
      <c r="BIJ62" s="36"/>
      <c r="BIK62" s="36"/>
      <c r="BIL62" s="36"/>
      <c r="BIM62" s="36"/>
      <c r="BIN62" s="36"/>
      <c r="BIO62" s="36"/>
      <c r="BIP62" s="36"/>
      <c r="BIQ62" s="36"/>
      <c r="BIR62" s="36"/>
      <c r="BIS62" s="36"/>
      <c r="BIT62" s="36"/>
      <c r="BIU62" s="36"/>
      <c r="BIV62" s="36"/>
      <c r="BIW62" s="36"/>
      <c r="BIX62" s="36"/>
      <c r="BIY62" s="36"/>
      <c r="BIZ62" s="36"/>
      <c r="BJA62" s="36"/>
      <c r="BJB62" s="36"/>
      <c r="BJC62" s="36"/>
      <c r="BJD62" s="36"/>
      <c r="BJE62" s="36"/>
      <c r="BJF62" s="36"/>
      <c r="BJG62" s="36"/>
      <c r="BJH62" s="36"/>
      <c r="BJI62" s="36"/>
      <c r="BJJ62" s="36"/>
      <c r="BJK62" s="36"/>
      <c r="BJL62" s="36"/>
      <c r="BJM62" s="36"/>
      <c r="BJN62" s="36"/>
      <c r="BJO62" s="36"/>
      <c r="BJP62" s="36"/>
      <c r="BJQ62" s="36"/>
      <c r="BJR62" s="36"/>
      <c r="BJS62" s="36"/>
      <c r="BJT62" s="36"/>
      <c r="BJU62" s="36"/>
      <c r="BJV62" s="36"/>
      <c r="BJW62" s="36"/>
      <c r="BJX62" s="36"/>
      <c r="BJY62" s="36"/>
      <c r="BJZ62" s="36"/>
      <c r="BKA62" s="36"/>
      <c r="BKB62" s="36"/>
      <c r="BKC62" s="36"/>
      <c r="BKD62" s="36"/>
      <c r="BKE62" s="36"/>
      <c r="BKF62" s="36"/>
      <c r="BKG62" s="36"/>
      <c r="BKH62" s="36"/>
      <c r="BKI62" s="36"/>
      <c r="BKJ62" s="36"/>
      <c r="BKK62" s="36"/>
      <c r="BKL62" s="36"/>
      <c r="BKM62" s="36"/>
      <c r="BKN62" s="36"/>
      <c r="BKO62" s="36"/>
      <c r="BKP62" s="36"/>
      <c r="BKQ62" s="36"/>
      <c r="BKR62" s="36"/>
      <c r="BKS62" s="36"/>
      <c r="BKT62" s="36"/>
      <c r="BKU62" s="36"/>
      <c r="BKV62" s="36"/>
      <c r="BKW62" s="36"/>
      <c r="BKX62" s="36"/>
      <c r="BKY62" s="36"/>
      <c r="BKZ62" s="36"/>
      <c r="BLA62" s="36"/>
      <c r="BLB62" s="36"/>
      <c r="BLC62" s="36"/>
      <c r="BLD62" s="36"/>
      <c r="BLE62" s="36"/>
      <c r="BLF62" s="36"/>
      <c r="BLG62" s="36"/>
      <c r="BLH62" s="36"/>
      <c r="BLI62" s="36"/>
      <c r="BLJ62" s="36"/>
      <c r="BLK62" s="36"/>
      <c r="BLL62" s="36"/>
      <c r="BLM62" s="36"/>
      <c r="BLN62" s="36"/>
      <c r="BLO62" s="36"/>
      <c r="BLP62" s="36"/>
      <c r="BLQ62" s="36"/>
      <c r="BLR62" s="36"/>
      <c r="BLS62" s="36"/>
      <c r="BLT62" s="36"/>
      <c r="BLU62" s="36"/>
      <c r="BLV62" s="36"/>
      <c r="BLW62" s="36"/>
      <c r="BLX62" s="36"/>
      <c r="BLY62" s="36"/>
      <c r="BLZ62" s="36"/>
      <c r="BMA62" s="36"/>
      <c r="BMB62" s="36"/>
      <c r="BMC62" s="36"/>
      <c r="BMD62" s="36"/>
      <c r="BME62" s="36"/>
      <c r="BMF62" s="36"/>
      <c r="BMG62" s="36"/>
      <c r="BMH62" s="36"/>
      <c r="BMI62" s="36"/>
      <c r="BMJ62" s="36"/>
      <c r="BMK62" s="36"/>
      <c r="BML62" s="36"/>
      <c r="BMM62" s="36"/>
      <c r="BMN62" s="36"/>
      <c r="BMO62" s="36"/>
      <c r="BMP62" s="36"/>
      <c r="BMQ62" s="36"/>
      <c r="BMR62" s="36"/>
      <c r="BMS62" s="36"/>
      <c r="BMT62" s="36"/>
      <c r="BMU62" s="36"/>
      <c r="BMV62" s="36"/>
      <c r="BMW62" s="36"/>
      <c r="BMX62" s="36"/>
      <c r="BMY62" s="36"/>
      <c r="BMZ62" s="36"/>
      <c r="BNA62" s="36"/>
      <c r="BNB62" s="36"/>
      <c r="BNC62" s="36"/>
      <c r="BND62" s="36"/>
      <c r="BNE62" s="36"/>
      <c r="BNF62" s="36"/>
      <c r="BNG62" s="36"/>
      <c r="BNH62" s="36"/>
      <c r="BNI62" s="36"/>
      <c r="BNJ62" s="36"/>
      <c r="BNK62" s="36"/>
      <c r="BNL62" s="36"/>
      <c r="BNM62" s="36"/>
      <c r="BNN62" s="36"/>
      <c r="BNO62" s="36"/>
      <c r="BNP62" s="36"/>
      <c r="BNQ62" s="36"/>
      <c r="BNR62" s="36"/>
      <c r="BNS62" s="36"/>
      <c r="BNT62" s="36"/>
      <c r="BNU62" s="36"/>
      <c r="BNV62" s="36"/>
      <c r="BNW62" s="36"/>
      <c r="BNX62" s="36"/>
      <c r="BNY62" s="36"/>
      <c r="BNZ62" s="36"/>
      <c r="BOA62" s="36"/>
      <c r="BOB62" s="36"/>
      <c r="BOC62" s="36"/>
      <c r="BOD62" s="36"/>
      <c r="BOE62" s="36"/>
      <c r="BOF62" s="36"/>
      <c r="BOG62" s="36"/>
      <c r="BOH62" s="36"/>
      <c r="BOI62" s="36"/>
      <c r="BOJ62" s="36"/>
      <c r="BOK62" s="36"/>
      <c r="BOL62" s="36"/>
      <c r="BOM62" s="36"/>
      <c r="BON62" s="36"/>
      <c r="BOO62" s="36"/>
      <c r="BOP62" s="36"/>
      <c r="BOQ62" s="36"/>
      <c r="BOR62" s="36"/>
      <c r="BOS62" s="36"/>
      <c r="BOT62" s="36"/>
      <c r="BOU62" s="36"/>
      <c r="BOV62" s="36"/>
      <c r="BOW62" s="36"/>
      <c r="BOX62" s="36"/>
      <c r="BOY62" s="36"/>
      <c r="BOZ62" s="36"/>
      <c r="BPA62" s="36"/>
      <c r="BPB62" s="36"/>
      <c r="BPC62" s="36"/>
      <c r="BPD62" s="36"/>
      <c r="BPE62" s="36"/>
      <c r="BPF62" s="36"/>
      <c r="BPG62" s="36"/>
      <c r="BPH62" s="36"/>
      <c r="BPI62" s="36"/>
      <c r="BPJ62" s="36"/>
      <c r="BPK62" s="36"/>
      <c r="BPL62" s="36"/>
      <c r="BPM62" s="36"/>
      <c r="BPN62" s="36"/>
      <c r="BPO62" s="36"/>
      <c r="BPP62" s="36"/>
      <c r="BPQ62" s="36"/>
      <c r="BPR62" s="36"/>
      <c r="BPS62" s="36"/>
      <c r="BPT62" s="36"/>
      <c r="BPU62" s="36"/>
      <c r="BPV62" s="36"/>
      <c r="BPW62" s="36"/>
      <c r="BPX62" s="36"/>
      <c r="BPY62" s="36"/>
      <c r="BPZ62" s="36"/>
      <c r="BQA62" s="36"/>
      <c r="BQB62" s="36"/>
      <c r="BQC62" s="36"/>
      <c r="BQD62" s="36"/>
      <c r="BQE62" s="36"/>
      <c r="BQF62" s="36"/>
      <c r="BQG62" s="36"/>
      <c r="BQH62" s="36"/>
      <c r="BQI62" s="36"/>
      <c r="BQJ62" s="36"/>
      <c r="BQK62" s="36"/>
      <c r="BQL62" s="36"/>
      <c r="BQM62" s="36"/>
      <c r="BQN62" s="36"/>
      <c r="BQO62" s="36"/>
      <c r="BQP62" s="36"/>
      <c r="BQQ62" s="36"/>
      <c r="BQR62" s="36"/>
      <c r="BQS62" s="36"/>
      <c r="BQT62" s="36"/>
      <c r="BQU62" s="36"/>
      <c r="BQV62" s="36"/>
      <c r="BQW62" s="36"/>
      <c r="BQX62" s="36"/>
      <c r="BQY62" s="36"/>
      <c r="BQZ62" s="36"/>
      <c r="BRA62" s="36"/>
      <c r="BRB62" s="36"/>
      <c r="BRC62" s="36"/>
      <c r="BRD62" s="36"/>
      <c r="BRE62" s="36"/>
      <c r="BRF62" s="36"/>
      <c r="BRG62" s="36"/>
      <c r="BRH62" s="36"/>
      <c r="BRI62" s="36"/>
      <c r="BRJ62" s="36"/>
      <c r="BRK62" s="36"/>
      <c r="BRL62" s="36"/>
      <c r="BRM62" s="36"/>
      <c r="BRN62" s="36"/>
      <c r="BRO62" s="36"/>
      <c r="BRP62" s="36"/>
      <c r="BRQ62" s="36"/>
      <c r="BRR62" s="36"/>
      <c r="BRS62" s="36"/>
      <c r="BRT62" s="36"/>
      <c r="BRU62" s="36"/>
      <c r="BRV62" s="36"/>
      <c r="BRW62" s="36"/>
      <c r="BRX62" s="36"/>
      <c r="BRY62" s="36"/>
      <c r="BRZ62" s="36"/>
      <c r="BSA62" s="36"/>
      <c r="BSB62" s="36"/>
      <c r="BSC62" s="36"/>
      <c r="BSD62" s="36"/>
      <c r="BSE62" s="36"/>
      <c r="BSF62" s="36"/>
      <c r="BSG62" s="36"/>
      <c r="BSH62" s="36"/>
      <c r="BSI62" s="36"/>
      <c r="BSJ62" s="36"/>
      <c r="BSK62" s="36"/>
      <c r="BSL62" s="36"/>
      <c r="BSM62" s="36"/>
      <c r="BSN62" s="36"/>
      <c r="BSO62" s="36"/>
      <c r="BSP62" s="36"/>
      <c r="BSQ62" s="36"/>
      <c r="BSR62" s="36"/>
      <c r="BSS62" s="36"/>
      <c r="BST62" s="36"/>
      <c r="BSU62" s="36"/>
      <c r="BSV62" s="36"/>
      <c r="BSW62" s="36"/>
      <c r="BSX62" s="36"/>
      <c r="BSY62" s="36"/>
      <c r="BSZ62" s="36"/>
      <c r="BTA62" s="36"/>
      <c r="BTB62" s="36"/>
      <c r="BTC62" s="36"/>
      <c r="BTD62" s="36"/>
      <c r="BTE62" s="36"/>
      <c r="BTF62" s="36"/>
      <c r="BTG62" s="36"/>
      <c r="BTH62" s="36"/>
      <c r="BTI62" s="36"/>
      <c r="BTJ62" s="36"/>
      <c r="BTK62" s="36"/>
      <c r="BTL62" s="36"/>
      <c r="BTM62" s="36"/>
      <c r="BTN62" s="36"/>
      <c r="BTO62" s="36"/>
      <c r="BTP62" s="36"/>
      <c r="BTQ62" s="36"/>
      <c r="BTR62" s="36"/>
      <c r="BTS62" s="36"/>
      <c r="BTT62" s="36"/>
      <c r="BTU62" s="36"/>
      <c r="BTV62" s="36"/>
      <c r="BTW62" s="36"/>
      <c r="BTX62" s="36"/>
      <c r="BTY62" s="36"/>
      <c r="BTZ62" s="36"/>
      <c r="BUA62" s="36"/>
      <c r="BUB62" s="36"/>
      <c r="BUC62" s="36"/>
      <c r="BUD62" s="36"/>
      <c r="BUE62" s="36"/>
      <c r="BUF62" s="36"/>
      <c r="BUG62" s="36"/>
      <c r="BUH62" s="36"/>
      <c r="BUI62" s="36"/>
      <c r="BUJ62" s="36"/>
      <c r="BUK62" s="36"/>
      <c r="BUL62" s="36"/>
      <c r="BUM62" s="36"/>
      <c r="BUN62" s="36"/>
      <c r="BUO62" s="36"/>
      <c r="BUP62" s="36"/>
      <c r="BUQ62" s="36"/>
      <c r="BUR62" s="36"/>
      <c r="BUS62" s="36"/>
      <c r="BUT62" s="36"/>
      <c r="BUU62" s="36"/>
      <c r="BUV62" s="36"/>
      <c r="BUW62" s="36"/>
      <c r="BUX62" s="36"/>
      <c r="BUY62" s="36"/>
      <c r="BUZ62" s="36"/>
      <c r="BVA62" s="36"/>
      <c r="BVB62" s="36"/>
      <c r="BVC62" s="36"/>
      <c r="BVD62" s="36"/>
      <c r="BVE62" s="36"/>
      <c r="BVF62" s="36"/>
      <c r="BVG62" s="36"/>
      <c r="BVH62" s="36"/>
      <c r="BVI62" s="36"/>
      <c r="BVJ62" s="36"/>
      <c r="BVK62" s="36"/>
      <c r="BVL62" s="36"/>
      <c r="BVM62" s="36"/>
      <c r="BVN62" s="36"/>
      <c r="BVO62" s="36"/>
      <c r="BVP62" s="36"/>
      <c r="BVQ62" s="36"/>
      <c r="BVR62" s="36"/>
      <c r="BVS62" s="36"/>
      <c r="BVT62" s="36"/>
      <c r="BVU62" s="36"/>
      <c r="BVV62" s="36"/>
      <c r="BVW62" s="36"/>
      <c r="BVX62" s="36"/>
      <c r="BVY62" s="36"/>
      <c r="BVZ62" s="36"/>
      <c r="BWA62" s="36"/>
      <c r="BWB62" s="36"/>
      <c r="BWC62" s="36"/>
      <c r="BWD62" s="36"/>
      <c r="BWE62" s="36"/>
      <c r="BWF62" s="36"/>
      <c r="BWG62" s="36"/>
      <c r="BWH62" s="36"/>
      <c r="BWI62" s="36"/>
      <c r="BWJ62" s="36"/>
      <c r="BWK62" s="36"/>
      <c r="BWL62" s="36"/>
      <c r="BWM62" s="36"/>
      <c r="BWN62" s="36"/>
      <c r="BWO62" s="36"/>
      <c r="BWP62" s="36"/>
      <c r="BWQ62" s="36"/>
      <c r="BWR62" s="36"/>
      <c r="BWS62" s="36"/>
      <c r="BWT62" s="36"/>
      <c r="BWU62" s="36"/>
      <c r="BWV62" s="36"/>
      <c r="BWW62" s="36"/>
      <c r="BWX62" s="36"/>
      <c r="BWY62" s="36"/>
      <c r="BWZ62" s="36"/>
      <c r="BXA62" s="36"/>
      <c r="BXB62" s="36"/>
      <c r="BXC62" s="36"/>
      <c r="BXD62" s="36"/>
      <c r="BXE62" s="36"/>
      <c r="BXF62" s="36"/>
      <c r="BXG62" s="36"/>
      <c r="BXH62" s="36"/>
      <c r="BXI62" s="36"/>
      <c r="BXJ62" s="36"/>
      <c r="BXK62" s="36"/>
      <c r="BXL62" s="36"/>
      <c r="BXM62" s="36"/>
      <c r="BXN62" s="36"/>
      <c r="BXO62" s="36"/>
      <c r="BXP62" s="36"/>
      <c r="BXQ62" s="36"/>
      <c r="BXR62" s="36"/>
      <c r="BXS62" s="36"/>
      <c r="BXT62" s="36"/>
      <c r="BXU62" s="36"/>
      <c r="BXV62" s="36"/>
      <c r="BXW62" s="36"/>
      <c r="BXX62" s="36"/>
      <c r="BXY62" s="36"/>
      <c r="BXZ62" s="36"/>
      <c r="BYA62" s="36"/>
      <c r="BYB62" s="36"/>
      <c r="BYC62" s="36"/>
      <c r="BYD62" s="36"/>
      <c r="BYE62" s="36"/>
      <c r="BYF62" s="36"/>
      <c r="BYG62" s="36"/>
      <c r="BYH62" s="36"/>
      <c r="BYI62" s="36"/>
      <c r="BYJ62" s="36"/>
      <c r="BYK62" s="36"/>
      <c r="BYL62" s="36"/>
      <c r="BYM62" s="36"/>
      <c r="BYN62" s="36"/>
      <c r="BYO62" s="36"/>
      <c r="BYP62" s="36"/>
      <c r="BYQ62" s="36"/>
      <c r="BYR62" s="36"/>
      <c r="BYS62" s="36"/>
      <c r="BYT62" s="36"/>
      <c r="BYU62" s="36"/>
      <c r="BYV62" s="36"/>
      <c r="BYW62" s="36"/>
      <c r="BYX62" s="36"/>
      <c r="BYY62" s="36"/>
      <c r="BYZ62" s="36"/>
      <c r="BZA62" s="36"/>
      <c r="BZB62" s="36"/>
      <c r="BZC62" s="36"/>
      <c r="BZD62" s="36"/>
      <c r="BZE62" s="36"/>
      <c r="BZF62" s="36"/>
      <c r="BZG62" s="36"/>
      <c r="BZH62" s="36"/>
      <c r="BZI62" s="36"/>
      <c r="BZJ62" s="36"/>
      <c r="BZK62" s="36"/>
      <c r="BZL62" s="36"/>
      <c r="BZM62" s="36"/>
      <c r="BZN62" s="36"/>
      <c r="BZO62" s="36"/>
      <c r="BZP62" s="36"/>
      <c r="BZQ62" s="36"/>
      <c r="BZR62" s="36"/>
      <c r="BZS62" s="36"/>
      <c r="BZT62" s="36"/>
      <c r="BZU62" s="36"/>
      <c r="BZV62" s="36"/>
      <c r="BZW62" s="36"/>
      <c r="BZX62" s="36"/>
      <c r="BZY62" s="36"/>
      <c r="BZZ62" s="36"/>
      <c r="CAA62" s="36"/>
      <c r="CAB62" s="36"/>
      <c r="CAC62" s="36"/>
      <c r="CAD62" s="36"/>
      <c r="CAE62" s="36"/>
      <c r="CAF62" s="36"/>
      <c r="CAG62" s="36"/>
      <c r="CAH62" s="36"/>
      <c r="CAI62" s="36"/>
      <c r="CAJ62" s="36"/>
      <c r="CAK62" s="36"/>
      <c r="CAL62" s="36"/>
      <c r="CAM62" s="36"/>
      <c r="CAN62" s="36"/>
      <c r="CAO62" s="36"/>
      <c r="CAP62" s="36"/>
      <c r="CAQ62" s="36"/>
      <c r="CAR62" s="36"/>
      <c r="CAS62" s="36"/>
      <c r="CAT62" s="36"/>
      <c r="CAU62" s="36"/>
      <c r="CAV62" s="36"/>
      <c r="CAW62" s="36"/>
      <c r="CAX62" s="36"/>
      <c r="CAY62" s="36"/>
      <c r="CAZ62" s="36"/>
      <c r="CBA62" s="36"/>
      <c r="CBB62" s="36"/>
      <c r="CBC62" s="36"/>
      <c r="CBD62" s="36"/>
      <c r="CBE62" s="36"/>
      <c r="CBF62" s="36"/>
      <c r="CBG62" s="36"/>
      <c r="CBH62" s="36"/>
      <c r="CBI62" s="36"/>
      <c r="CBJ62" s="36"/>
      <c r="CBK62" s="36"/>
      <c r="CBL62" s="36"/>
      <c r="CBM62" s="36"/>
      <c r="CBN62" s="36"/>
      <c r="CBO62" s="36"/>
      <c r="CBP62" s="36"/>
      <c r="CBQ62" s="36"/>
      <c r="CBR62" s="36"/>
      <c r="CBS62" s="36"/>
      <c r="CBT62" s="36"/>
      <c r="CBU62" s="36"/>
      <c r="CBV62" s="36"/>
      <c r="CBW62" s="36"/>
      <c r="CBX62" s="36"/>
      <c r="CBY62" s="36"/>
      <c r="CBZ62" s="36"/>
      <c r="CCA62" s="36"/>
      <c r="CCB62" s="36"/>
      <c r="CCC62" s="36"/>
      <c r="CCD62" s="36"/>
      <c r="CCE62" s="36"/>
      <c r="CCF62" s="36"/>
      <c r="CCG62" s="36"/>
      <c r="CCH62" s="36"/>
      <c r="CCI62" s="36"/>
      <c r="CCJ62" s="36"/>
      <c r="CCK62" s="36"/>
      <c r="CCL62" s="36"/>
      <c r="CCM62" s="36"/>
      <c r="CCN62" s="36"/>
      <c r="CCO62" s="36"/>
      <c r="CCP62" s="36"/>
      <c r="CCQ62" s="36"/>
      <c r="CCR62" s="36"/>
      <c r="CCS62" s="36"/>
      <c r="CCT62" s="36"/>
      <c r="CCU62" s="36"/>
      <c r="CCV62" s="36"/>
      <c r="CCW62" s="36"/>
      <c r="CCX62" s="36"/>
      <c r="CCY62" s="36"/>
      <c r="CCZ62" s="36"/>
      <c r="CDA62" s="36"/>
      <c r="CDB62" s="36"/>
      <c r="CDC62" s="36"/>
      <c r="CDD62" s="36"/>
      <c r="CDE62" s="36"/>
      <c r="CDF62" s="36"/>
      <c r="CDG62" s="36"/>
      <c r="CDH62" s="36"/>
      <c r="CDI62" s="36"/>
      <c r="CDJ62" s="36"/>
      <c r="CDK62" s="36"/>
      <c r="CDL62" s="36"/>
      <c r="CDM62" s="36"/>
      <c r="CDN62" s="36"/>
      <c r="CDO62" s="36"/>
      <c r="CDP62" s="36"/>
      <c r="CDQ62" s="36"/>
      <c r="CDR62" s="36"/>
      <c r="CDS62" s="36"/>
      <c r="CDT62" s="36"/>
      <c r="CDU62" s="36"/>
      <c r="CDV62" s="36"/>
      <c r="CDW62" s="36"/>
      <c r="CDX62" s="36"/>
      <c r="CDY62" s="36"/>
      <c r="CDZ62" s="36"/>
      <c r="CEA62" s="36"/>
      <c r="CEB62" s="36"/>
      <c r="CEC62" s="36"/>
      <c r="CED62" s="36"/>
      <c r="CEE62" s="36"/>
      <c r="CEF62" s="36"/>
      <c r="CEG62" s="36"/>
      <c r="CEH62" s="36"/>
      <c r="CEI62" s="36"/>
      <c r="CEJ62" s="36"/>
      <c r="CEK62" s="36"/>
      <c r="CEL62" s="36"/>
      <c r="CEM62" s="36"/>
      <c r="CEN62" s="36"/>
      <c r="CEO62" s="36"/>
      <c r="CEP62" s="36"/>
      <c r="CEQ62" s="36"/>
      <c r="CER62" s="36"/>
      <c r="CES62" s="36"/>
      <c r="CET62" s="36"/>
      <c r="CEU62" s="36"/>
      <c r="CEV62" s="36"/>
      <c r="CEW62" s="36"/>
      <c r="CEX62" s="36"/>
      <c r="CEY62" s="36"/>
      <c r="CEZ62" s="36"/>
      <c r="CFA62" s="36"/>
      <c r="CFB62" s="36"/>
      <c r="CFC62" s="36"/>
      <c r="CFD62" s="36"/>
      <c r="CFE62" s="36"/>
      <c r="CFF62" s="36"/>
      <c r="CFG62" s="36"/>
      <c r="CFH62" s="36"/>
      <c r="CFI62" s="36"/>
      <c r="CFJ62" s="36"/>
      <c r="CFK62" s="36"/>
      <c r="CFL62" s="36"/>
      <c r="CFM62" s="36"/>
      <c r="CFN62" s="36"/>
      <c r="CFO62" s="36"/>
      <c r="CFP62" s="36"/>
      <c r="CFQ62" s="36"/>
      <c r="CFR62" s="36"/>
      <c r="CFS62" s="36"/>
      <c r="CFT62" s="36"/>
      <c r="CFU62" s="36"/>
      <c r="CFV62" s="36"/>
      <c r="CFW62" s="36"/>
      <c r="CFX62" s="36"/>
      <c r="CFY62" s="36"/>
      <c r="CFZ62" s="36"/>
      <c r="CGA62" s="36"/>
      <c r="CGB62" s="36"/>
      <c r="CGC62" s="36"/>
      <c r="CGD62" s="36"/>
      <c r="CGE62" s="36"/>
      <c r="CGF62" s="36"/>
      <c r="CGG62" s="36"/>
      <c r="CGH62" s="36"/>
      <c r="CGI62" s="36"/>
      <c r="CGJ62" s="36"/>
      <c r="CGK62" s="36"/>
      <c r="CGL62" s="36"/>
      <c r="CGM62" s="36"/>
      <c r="CGN62" s="36"/>
      <c r="CGO62" s="36"/>
      <c r="CGP62" s="36"/>
      <c r="CGQ62" s="36"/>
      <c r="CGR62" s="36"/>
      <c r="CGS62" s="36"/>
      <c r="CGT62" s="36"/>
      <c r="CGU62" s="36"/>
      <c r="CGV62" s="36"/>
      <c r="CGW62" s="36"/>
      <c r="CGX62" s="36"/>
      <c r="CGY62" s="36"/>
      <c r="CGZ62" s="36"/>
      <c r="CHA62" s="36"/>
      <c r="CHB62" s="36"/>
      <c r="CHC62" s="36"/>
      <c r="CHD62" s="36"/>
      <c r="CHE62" s="36"/>
      <c r="CHF62" s="36"/>
      <c r="CHG62" s="36"/>
      <c r="CHH62" s="36"/>
      <c r="CHI62" s="36"/>
      <c r="CHJ62" s="36"/>
      <c r="CHK62" s="36"/>
      <c r="CHL62" s="36"/>
      <c r="CHM62" s="36"/>
      <c r="CHN62" s="36"/>
      <c r="CHO62" s="36"/>
      <c r="CHP62" s="36"/>
      <c r="CHQ62" s="36"/>
      <c r="CHR62" s="36"/>
      <c r="CHS62" s="36"/>
      <c r="CHT62" s="36"/>
      <c r="CHU62" s="36"/>
      <c r="CHV62" s="36"/>
      <c r="CHW62" s="36"/>
      <c r="CHX62" s="36"/>
      <c r="CHY62" s="36"/>
      <c r="CHZ62" s="36"/>
      <c r="CIA62" s="36"/>
      <c r="CIB62" s="36"/>
      <c r="CIC62" s="36"/>
      <c r="CID62" s="36"/>
      <c r="CIE62" s="36"/>
      <c r="CIF62" s="36"/>
      <c r="CIG62" s="36"/>
      <c r="CIH62" s="36"/>
      <c r="CII62" s="36"/>
      <c r="CIJ62" s="36"/>
      <c r="CIK62" s="36"/>
      <c r="CIL62" s="36"/>
      <c r="CIM62" s="36"/>
      <c r="CIN62" s="36"/>
      <c r="CIO62" s="36"/>
      <c r="CIP62" s="36"/>
      <c r="CIQ62" s="36"/>
      <c r="CIR62" s="36"/>
      <c r="CIS62" s="36"/>
      <c r="CIT62" s="36"/>
      <c r="CIU62" s="36"/>
      <c r="CIV62" s="36"/>
      <c r="CIW62" s="36"/>
      <c r="CIX62" s="36"/>
      <c r="CIY62" s="36"/>
      <c r="CIZ62" s="36"/>
      <c r="CJA62" s="36"/>
      <c r="CJB62" s="36"/>
      <c r="CJC62" s="36"/>
      <c r="CJD62" s="36"/>
      <c r="CJE62" s="36"/>
      <c r="CJF62" s="36"/>
      <c r="CJG62" s="36"/>
      <c r="CJH62" s="36"/>
      <c r="CJI62" s="36"/>
      <c r="CJJ62" s="36"/>
      <c r="CJK62" s="36"/>
      <c r="CJL62" s="36"/>
      <c r="CJM62" s="36"/>
      <c r="CJN62" s="36"/>
      <c r="CJO62" s="36"/>
      <c r="CJP62" s="36"/>
      <c r="CJQ62" s="36"/>
      <c r="CJR62" s="36"/>
      <c r="CJS62" s="36"/>
      <c r="CJT62" s="36"/>
      <c r="CJU62" s="36"/>
      <c r="CJV62" s="36"/>
      <c r="CJW62" s="36"/>
      <c r="CJX62" s="36"/>
      <c r="CJY62" s="36"/>
      <c r="CJZ62" s="36"/>
      <c r="CKA62" s="36"/>
      <c r="CKB62" s="36"/>
      <c r="CKC62" s="36"/>
      <c r="CKD62" s="36"/>
      <c r="CKE62" s="36"/>
      <c r="CKF62" s="36"/>
      <c r="CKG62" s="36"/>
      <c r="CKH62" s="36"/>
      <c r="CKI62" s="36"/>
      <c r="CKJ62" s="36"/>
      <c r="CKK62" s="36"/>
      <c r="CKL62" s="36"/>
      <c r="CKM62" s="36"/>
      <c r="CKN62" s="36"/>
      <c r="CKO62" s="36"/>
      <c r="CKP62" s="36"/>
      <c r="CKQ62" s="36"/>
      <c r="CKR62" s="36"/>
      <c r="CKS62" s="36"/>
      <c r="CKT62" s="36"/>
      <c r="CKU62" s="36"/>
      <c r="CKV62" s="36"/>
      <c r="CKW62" s="36"/>
      <c r="CKX62" s="36"/>
      <c r="CKY62" s="36"/>
      <c r="CKZ62" s="36"/>
      <c r="CLA62" s="36"/>
      <c r="CLB62" s="36"/>
      <c r="CLC62" s="36"/>
      <c r="CLD62" s="36"/>
      <c r="CLE62" s="36"/>
      <c r="CLF62" s="36"/>
      <c r="CLG62" s="36"/>
      <c r="CLH62" s="36"/>
      <c r="CLI62" s="36"/>
      <c r="CLJ62" s="36"/>
      <c r="CLK62" s="36"/>
      <c r="CLL62" s="36"/>
      <c r="CLM62" s="36"/>
      <c r="CLN62" s="36"/>
      <c r="CLO62" s="36"/>
      <c r="CLP62" s="36"/>
      <c r="CLQ62" s="36"/>
      <c r="CLR62" s="36"/>
      <c r="CLS62" s="36"/>
      <c r="CLT62" s="36"/>
      <c r="CLU62" s="36"/>
      <c r="CLV62" s="36"/>
      <c r="CLW62" s="36"/>
      <c r="CLX62" s="36"/>
      <c r="CLY62" s="36"/>
      <c r="CLZ62" s="36"/>
      <c r="CMA62" s="36"/>
      <c r="CMB62" s="36"/>
      <c r="CMC62" s="36"/>
      <c r="CMD62" s="36"/>
      <c r="CME62" s="36"/>
      <c r="CMF62" s="36"/>
      <c r="CMG62" s="36"/>
      <c r="CMH62" s="36"/>
      <c r="CMI62" s="36"/>
      <c r="CMJ62" s="36"/>
      <c r="CMK62" s="36"/>
      <c r="CML62" s="36"/>
      <c r="CMM62" s="36"/>
      <c r="CMN62" s="36"/>
      <c r="CMO62" s="36"/>
      <c r="CMP62" s="36"/>
      <c r="CMQ62" s="36"/>
      <c r="CMR62" s="36"/>
      <c r="CMS62" s="36"/>
      <c r="CMT62" s="36"/>
      <c r="CMU62" s="36"/>
      <c r="CMV62" s="36"/>
      <c r="CMW62" s="36"/>
      <c r="CMX62" s="36"/>
      <c r="CMY62" s="36"/>
      <c r="CMZ62" s="36"/>
      <c r="CNA62" s="36"/>
      <c r="CNB62" s="36"/>
      <c r="CNC62" s="36"/>
      <c r="CND62" s="36"/>
      <c r="CNE62" s="36"/>
      <c r="CNF62" s="36"/>
      <c r="CNG62" s="36"/>
      <c r="CNH62" s="36"/>
      <c r="CNI62" s="36"/>
      <c r="CNJ62" s="36"/>
      <c r="CNK62" s="36"/>
      <c r="CNL62" s="36"/>
      <c r="CNM62" s="36"/>
      <c r="CNN62" s="36"/>
      <c r="CNO62" s="36"/>
      <c r="CNP62" s="36"/>
      <c r="CNQ62" s="36"/>
      <c r="CNR62" s="36"/>
      <c r="CNS62" s="36"/>
      <c r="CNT62" s="36"/>
      <c r="CNU62" s="36"/>
      <c r="CNV62" s="36"/>
      <c r="CNW62" s="36"/>
      <c r="CNX62" s="36"/>
      <c r="CNY62" s="36"/>
      <c r="CNZ62" s="36"/>
      <c r="COA62" s="36"/>
      <c r="COB62" s="36"/>
      <c r="COC62" s="36"/>
      <c r="COD62" s="36"/>
      <c r="COE62" s="36"/>
      <c r="COF62" s="36"/>
      <c r="COG62" s="36"/>
      <c r="COH62" s="36"/>
      <c r="COI62" s="36"/>
      <c r="COJ62" s="36"/>
      <c r="COK62" s="36"/>
      <c r="COL62" s="36"/>
      <c r="COM62" s="36"/>
      <c r="CON62" s="36"/>
      <c r="COO62" s="36"/>
      <c r="COP62" s="36"/>
      <c r="COQ62" s="36"/>
      <c r="COR62" s="36"/>
      <c r="COS62" s="36"/>
      <c r="COT62" s="36"/>
      <c r="COU62" s="36"/>
      <c r="COV62" s="36"/>
      <c r="COW62" s="36"/>
      <c r="COX62" s="36"/>
      <c r="COY62" s="36"/>
      <c r="COZ62" s="36"/>
      <c r="CPA62" s="36"/>
      <c r="CPB62" s="36"/>
      <c r="CPC62" s="36"/>
      <c r="CPD62" s="36"/>
      <c r="CPE62" s="36"/>
      <c r="CPF62" s="36"/>
      <c r="CPG62" s="36"/>
      <c r="CPH62" s="36"/>
      <c r="CPI62" s="36"/>
      <c r="CPJ62" s="36"/>
      <c r="CPK62" s="36"/>
      <c r="CPL62" s="36"/>
      <c r="CPM62" s="36"/>
      <c r="CPN62" s="36"/>
      <c r="CPO62" s="36"/>
      <c r="CPP62" s="36"/>
      <c r="CPQ62" s="36"/>
      <c r="CPR62" s="36"/>
      <c r="CPS62" s="36"/>
      <c r="CPT62" s="36"/>
      <c r="CPU62" s="36"/>
      <c r="CPV62" s="36"/>
      <c r="CPW62" s="36"/>
      <c r="CPX62" s="36"/>
      <c r="CPY62" s="36"/>
      <c r="CPZ62" s="36"/>
      <c r="CQA62" s="36"/>
      <c r="CQB62" s="36"/>
      <c r="CQC62" s="36"/>
      <c r="CQD62" s="36"/>
      <c r="CQE62" s="36"/>
      <c r="CQF62" s="36"/>
      <c r="CQG62" s="36"/>
      <c r="CQH62" s="36"/>
      <c r="CQI62" s="36"/>
      <c r="CQJ62" s="36"/>
      <c r="CQK62" s="36"/>
      <c r="CQL62" s="36"/>
      <c r="CQM62" s="36"/>
      <c r="CQN62" s="36"/>
      <c r="CQO62" s="36"/>
      <c r="CQP62" s="36"/>
      <c r="CQQ62" s="36"/>
      <c r="CQR62" s="36"/>
      <c r="CQS62" s="36"/>
      <c r="CQT62" s="36"/>
      <c r="CQU62" s="36"/>
      <c r="CQV62" s="36"/>
      <c r="CQW62" s="36"/>
      <c r="CQX62" s="36"/>
      <c r="CQY62" s="36"/>
      <c r="CQZ62" s="36"/>
      <c r="CRA62" s="36"/>
      <c r="CRB62" s="36"/>
      <c r="CRC62" s="36"/>
      <c r="CRD62" s="36"/>
      <c r="CRE62" s="36"/>
      <c r="CRF62" s="36"/>
      <c r="CRG62" s="36"/>
      <c r="CRH62" s="36"/>
      <c r="CRI62" s="36"/>
      <c r="CRJ62" s="36"/>
      <c r="CRK62" s="36"/>
      <c r="CRL62" s="36"/>
      <c r="CRM62" s="36"/>
      <c r="CRN62" s="36"/>
      <c r="CRO62" s="36"/>
      <c r="CRP62" s="36"/>
      <c r="CRQ62" s="36"/>
      <c r="CRR62" s="36"/>
      <c r="CRS62" s="36"/>
      <c r="CRT62" s="36"/>
      <c r="CRU62" s="36"/>
      <c r="CRV62" s="36"/>
      <c r="CRW62" s="36"/>
      <c r="CRX62" s="36"/>
      <c r="CRY62" s="36"/>
      <c r="CRZ62" s="36"/>
      <c r="CSA62" s="36"/>
      <c r="CSB62" s="36"/>
      <c r="CSC62" s="36"/>
      <c r="CSD62" s="36"/>
      <c r="CSE62" s="36"/>
      <c r="CSF62" s="36"/>
      <c r="CSG62" s="36"/>
      <c r="CSH62" s="36"/>
      <c r="CSI62" s="36"/>
      <c r="CSJ62" s="36"/>
      <c r="CSK62" s="36"/>
      <c r="CSL62" s="36"/>
      <c r="CSM62" s="36"/>
      <c r="CSN62" s="36"/>
      <c r="CSO62" s="36"/>
      <c r="CSP62" s="36"/>
      <c r="CSQ62" s="36"/>
      <c r="CSR62" s="36"/>
      <c r="CSS62" s="36"/>
      <c r="CST62" s="36"/>
      <c r="CSU62" s="36"/>
      <c r="CSV62" s="36"/>
      <c r="CSW62" s="36"/>
      <c r="CSX62" s="36"/>
      <c r="CSY62" s="36"/>
      <c r="CSZ62" s="36"/>
      <c r="CTA62" s="36"/>
      <c r="CTB62" s="36"/>
      <c r="CTC62" s="36"/>
      <c r="CTD62" s="36"/>
      <c r="CTE62" s="36"/>
      <c r="CTF62" s="36"/>
      <c r="CTG62" s="36"/>
      <c r="CTH62" s="36"/>
      <c r="CTI62" s="36"/>
      <c r="CTJ62" s="36"/>
      <c r="CTK62" s="36"/>
      <c r="CTL62" s="36"/>
      <c r="CTM62" s="36"/>
      <c r="CTN62" s="36"/>
      <c r="CTO62" s="36"/>
      <c r="CTP62" s="36"/>
      <c r="CTQ62" s="36"/>
      <c r="CTR62" s="36"/>
      <c r="CTS62" s="36"/>
      <c r="CTT62" s="36"/>
      <c r="CTU62" s="36"/>
      <c r="CTV62" s="36"/>
      <c r="CTW62" s="36"/>
      <c r="CTX62" s="36"/>
      <c r="CTY62" s="36"/>
      <c r="CTZ62" s="36"/>
      <c r="CUA62" s="36"/>
      <c r="CUB62" s="36"/>
      <c r="CUC62" s="36"/>
      <c r="CUD62" s="36"/>
      <c r="CUE62" s="36"/>
      <c r="CUF62" s="36"/>
      <c r="CUG62" s="36"/>
      <c r="CUH62" s="36"/>
      <c r="CUI62" s="36"/>
      <c r="CUJ62" s="36"/>
      <c r="CUK62" s="36"/>
      <c r="CUL62" s="36"/>
      <c r="CUM62" s="36"/>
      <c r="CUN62" s="36"/>
      <c r="CUO62" s="36"/>
      <c r="CUP62" s="36"/>
      <c r="CUQ62" s="36"/>
      <c r="CUR62" s="36"/>
      <c r="CUS62" s="36"/>
      <c r="CUT62" s="36"/>
      <c r="CUU62" s="36"/>
      <c r="CUV62" s="36"/>
      <c r="CUW62" s="36"/>
      <c r="CUX62" s="36"/>
      <c r="CUY62" s="36"/>
      <c r="CUZ62" s="36"/>
      <c r="CVA62" s="36"/>
      <c r="CVB62" s="36"/>
      <c r="CVC62" s="36"/>
      <c r="CVD62" s="36"/>
      <c r="CVE62" s="36"/>
      <c r="CVF62" s="36"/>
      <c r="CVG62" s="36"/>
      <c r="CVH62" s="36"/>
      <c r="CVI62" s="36"/>
      <c r="CVJ62" s="36"/>
      <c r="CVK62" s="36"/>
      <c r="CVL62" s="36"/>
      <c r="CVM62" s="36"/>
      <c r="CVN62" s="36"/>
      <c r="CVO62" s="36"/>
      <c r="CVP62" s="36"/>
      <c r="CVQ62" s="36"/>
      <c r="CVR62" s="36"/>
      <c r="CVS62" s="36"/>
      <c r="CVT62" s="36"/>
      <c r="CVU62" s="36"/>
      <c r="CVV62" s="36"/>
      <c r="CVW62" s="36"/>
      <c r="CVX62" s="36"/>
      <c r="CVY62" s="36"/>
      <c r="CVZ62" s="36"/>
      <c r="CWA62" s="36"/>
      <c r="CWB62" s="36"/>
      <c r="CWC62" s="36"/>
      <c r="CWD62" s="36"/>
      <c r="CWE62" s="36"/>
      <c r="CWF62" s="36"/>
      <c r="CWG62" s="36"/>
      <c r="CWH62" s="36"/>
      <c r="CWI62" s="36"/>
      <c r="CWJ62" s="36"/>
      <c r="CWK62" s="36"/>
      <c r="CWL62" s="36"/>
      <c r="CWM62" s="36"/>
      <c r="CWN62" s="36"/>
      <c r="CWO62" s="36"/>
      <c r="CWP62" s="36"/>
      <c r="CWQ62" s="36"/>
      <c r="CWR62" s="36"/>
      <c r="CWS62" s="36"/>
      <c r="CWT62" s="36"/>
      <c r="CWU62" s="36"/>
      <c r="CWV62" s="36"/>
      <c r="CWW62" s="36"/>
      <c r="CWX62" s="36"/>
      <c r="CWY62" s="36"/>
      <c r="CWZ62" s="36"/>
      <c r="CXA62" s="36"/>
      <c r="CXB62" s="36"/>
      <c r="CXC62" s="36"/>
      <c r="CXD62" s="36"/>
      <c r="CXE62" s="36"/>
      <c r="CXF62" s="36"/>
      <c r="CXG62" s="36"/>
      <c r="CXH62" s="36"/>
      <c r="CXI62" s="36"/>
      <c r="CXJ62" s="36"/>
      <c r="CXK62" s="36"/>
      <c r="CXL62" s="36"/>
      <c r="CXM62" s="36"/>
      <c r="CXN62" s="36"/>
      <c r="CXO62" s="36"/>
      <c r="CXP62" s="36"/>
      <c r="CXQ62" s="36"/>
      <c r="CXR62" s="36"/>
      <c r="CXS62" s="36"/>
      <c r="CXT62" s="36"/>
      <c r="CXU62" s="36"/>
      <c r="CXV62" s="36"/>
      <c r="CXW62" s="36"/>
      <c r="CXX62" s="36"/>
      <c r="CXY62" s="36"/>
      <c r="CXZ62" s="36"/>
      <c r="CYA62" s="36"/>
      <c r="CYB62" s="36"/>
      <c r="CYC62" s="36"/>
      <c r="CYD62" s="36"/>
      <c r="CYE62" s="36"/>
      <c r="CYF62" s="36"/>
      <c r="CYG62" s="36"/>
      <c r="CYH62" s="36"/>
      <c r="CYI62" s="36"/>
      <c r="CYJ62" s="36"/>
      <c r="CYK62" s="36"/>
      <c r="CYL62" s="36"/>
      <c r="CYM62" s="36"/>
      <c r="CYN62" s="36"/>
      <c r="CYO62" s="36"/>
      <c r="CYP62" s="36"/>
      <c r="CYQ62" s="36"/>
      <c r="CYR62" s="36"/>
      <c r="CYS62" s="36"/>
      <c r="CYT62" s="36"/>
      <c r="CYU62" s="36"/>
      <c r="CYV62" s="36"/>
      <c r="CYW62" s="36"/>
      <c r="CYX62" s="36"/>
      <c r="CYY62" s="36"/>
      <c r="CYZ62" s="36"/>
      <c r="CZA62" s="36"/>
      <c r="CZB62" s="36"/>
      <c r="CZC62" s="36"/>
      <c r="CZD62" s="36"/>
      <c r="CZE62" s="36"/>
      <c r="CZF62" s="36"/>
      <c r="CZG62" s="36"/>
      <c r="CZH62" s="36"/>
      <c r="CZI62" s="36"/>
      <c r="CZJ62" s="36"/>
      <c r="CZK62" s="36"/>
      <c r="CZL62" s="36"/>
      <c r="CZM62" s="36"/>
      <c r="CZN62" s="36"/>
      <c r="CZO62" s="36"/>
      <c r="CZP62" s="36"/>
      <c r="CZQ62" s="36"/>
      <c r="CZR62" s="36"/>
      <c r="CZS62" s="36"/>
      <c r="CZT62" s="36"/>
      <c r="CZU62" s="36"/>
      <c r="CZV62" s="36"/>
      <c r="CZW62" s="36"/>
      <c r="CZX62" s="36"/>
      <c r="CZY62" s="36"/>
      <c r="CZZ62" s="36"/>
      <c r="DAA62" s="36"/>
      <c r="DAB62" s="36"/>
      <c r="DAC62" s="36"/>
      <c r="DAD62" s="36"/>
      <c r="DAE62" s="36"/>
      <c r="DAF62" s="36"/>
      <c r="DAG62" s="36"/>
      <c r="DAH62" s="36"/>
      <c r="DAI62" s="36"/>
      <c r="DAJ62" s="36"/>
      <c r="DAK62" s="36"/>
      <c r="DAL62" s="36"/>
      <c r="DAM62" s="36"/>
      <c r="DAN62" s="36"/>
      <c r="DAO62" s="36"/>
      <c r="DAP62" s="36"/>
      <c r="DAQ62" s="36"/>
      <c r="DAR62" s="36"/>
      <c r="DAS62" s="36"/>
      <c r="DAT62" s="36"/>
      <c r="DAU62" s="36"/>
      <c r="DAV62" s="36"/>
      <c r="DAW62" s="36"/>
      <c r="DAX62" s="36"/>
      <c r="DAY62" s="36"/>
      <c r="DAZ62" s="36"/>
      <c r="DBA62" s="36"/>
      <c r="DBB62" s="36"/>
      <c r="DBC62" s="36"/>
      <c r="DBD62" s="36"/>
      <c r="DBE62" s="36"/>
      <c r="DBF62" s="36"/>
      <c r="DBG62" s="36"/>
      <c r="DBH62" s="36"/>
      <c r="DBI62" s="36"/>
      <c r="DBJ62" s="36"/>
      <c r="DBK62" s="36"/>
      <c r="DBL62" s="36"/>
      <c r="DBM62" s="36"/>
      <c r="DBN62" s="36"/>
      <c r="DBO62" s="36"/>
      <c r="DBP62" s="36"/>
      <c r="DBQ62" s="36"/>
      <c r="DBR62" s="36"/>
      <c r="DBS62" s="36"/>
      <c r="DBT62" s="36"/>
      <c r="DBU62" s="36"/>
      <c r="DBV62" s="36"/>
      <c r="DBW62" s="36"/>
      <c r="DBX62" s="36"/>
      <c r="DBY62" s="36"/>
      <c r="DBZ62" s="36"/>
      <c r="DCA62" s="36"/>
      <c r="DCB62" s="36"/>
      <c r="DCC62" s="36"/>
      <c r="DCD62" s="36"/>
      <c r="DCE62" s="36"/>
      <c r="DCF62" s="36"/>
      <c r="DCG62" s="36"/>
      <c r="DCH62" s="36"/>
      <c r="DCI62" s="36"/>
      <c r="DCJ62" s="36"/>
      <c r="DCK62" s="36"/>
      <c r="DCL62" s="36"/>
      <c r="DCM62" s="36"/>
      <c r="DCN62" s="36"/>
      <c r="DCO62" s="36"/>
      <c r="DCP62" s="36"/>
      <c r="DCQ62" s="36"/>
      <c r="DCR62" s="36"/>
      <c r="DCS62" s="36"/>
      <c r="DCT62" s="36"/>
      <c r="DCU62" s="36"/>
      <c r="DCV62" s="36"/>
      <c r="DCW62" s="36"/>
      <c r="DCX62" s="36"/>
      <c r="DCY62" s="36"/>
      <c r="DCZ62" s="36"/>
      <c r="DDA62" s="36"/>
      <c r="DDB62" s="36"/>
      <c r="DDC62" s="36"/>
      <c r="DDD62" s="36"/>
      <c r="DDE62" s="36"/>
      <c r="DDF62" s="36"/>
      <c r="DDG62" s="36"/>
      <c r="DDH62" s="36"/>
      <c r="DDI62" s="36"/>
      <c r="DDJ62" s="36"/>
      <c r="DDK62" s="36"/>
      <c r="DDL62" s="36"/>
      <c r="DDM62" s="36"/>
      <c r="DDN62" s="36"/>
      <c r="DDO62" s="36"/>
      <c r="DDP62" s="36"/>
      <c r="DDQ62" s="36"/>
      <c r="DDR62" s="36"/>
      <c r="DDS62" s="36"/>
      <c r="DDT62" s="36"/>
      <c r="DDU62" s="36"/>
      <c r="DDV62" s="36"/>
      <c r="DDW62" s="36"/>
      <c r="DDX62" s="36"/>
      <c r="DDY62" s="36"/>
      <c r="DDZ62" s="36"/>
      <c r="DEA62" s="36"/>
      <c r="DEB62" s="36"/>
      <c r="DEC62" s="36"/>
      <c r="DED62" s="36"/>
      <c r="DEE62" s="36"/>
      <c r="DEF62" s="36"/>
      <c r="DEG62" s="36"/>
      <c r="DEH62" s="36"/>
      <c r="DEI62" s="36"/>
      <c r="DEJ62" s="36"/>
      <c r="DEK62" s="36"/>
      <c r="DEL62" s="36"/>
      <c r="DEM62" s="36"/>
      <c r="DEN62" s="36"/>
      <c r="DEO62" s="36"/>
      <c r="DEP62" s="36"/>
      <c r="DEQ62" s="36"/>
      <c r="DER62" s="36"/>
      <c r="DES62" s="36"/>
      <c r="DET62" s="36"/>
      <c r="DEU62" s="36"/>
      <c r="DEV62" s="36"/>
      <c r="DEW62" s="36"/>
      <c r="DEX62" s="36"/>
      <c r="DEY62" s="36"/>
      <c r="DEZ62" s="36"/>
      <c r="DFA62" s="36"/>
      <c r="DFB62" s="36"/>
      <c r="DFC62" s="36"/>
      <c r="DFD62" s="36"/>
      <c r="DFE62" s="36"/>
      <c r="DFF62" s="36"/>
      <c r="DFG62" s="36"/>
      <c r="DFH62" s="36"/>
      <c r="DFI62" s="36"/>
      <c r="DFJ62" s="36"/>
      <c r="DFK62" s="36"/>
      <c r="DFL62" s="36"/>
      <c r="DFM62" s="36"/>
      <c r="DFN62" s="36"/>
      <c r="DFO62" s="36"/>
      <c r="DFP62" s="36"/>
      <c r="DFQ62" s="36"/>
      <c r="DFR62" s="36"/>
      <c r="DFS62" s="36"/>
      <c r="DFT62" s="36"/>
      <c r="DFU62" s="36"/>
      <c r="DFV62" s="36"/>
      <c r="DFW62" s="36"/>
      <c r="DFX62" s="36"/>
      <c r="DFY62" s="36"/>
      <c r="DFZ62" s="36"/>
      <c r="DGA62" s="36"/>
      <c r="DGB62" s="36"/>
      <c r="DGC62" s="36"/>
      <c r="DGD62" s="36"/>
      <c r="DGE62" s="36"/>
      <c r="DGF62" s="36"/>
      <c r="DGG62" s="36"/>
      <c r="DGH62" s="36"/>
      <c r="DGI62" s="36"/>
      <c r="DGJ62" s="36"/>
      <c r="DGK62" s="36"/>
      <c r="DGL62" s="36"/>
      <c r="DGM62" s="36"/>
      <c r="DGN62" s="36"/>
      <c r="DGO62" s="36"/>
      <c r="DGP62" s="36"/>
      <c r="DGQ62" s="36"/>
      <c r="DGR62" s="36"/>
      <c r="DGS62" s="36"/>
      <c r="DGT62" s="36"/>
      <c r="DGU62" s="36"/>
      <c r="DGV62" s="36"/>
      <c r="DGW62" s="36"/>
      <c r="DGX62" s="36"/>
      <c r="DGY62" s="36"/>
      <c r="DGZ62" s="36"/>
      <c r="DHA62" s="36"/>
      <c r="DHB62" s="36"/>
      <c r="DHC62" s="36"/>
      <c r="DHD62" s="36"/>
      <c r="DHE62" s="36"/>
      <c r="DHF62" s="36"/>
      <c r="DHG62" s="36"/>
      <c r="DHH62" s="36"/>
      <c r="DHI62" s="36"/>
      <c r="DHJ62" s="36"/>
      <c r="DHK62" s="36"/>
      <c r="DHL62" s="36"/>
      <c r="DHM62" s="36"/>
      <c r="DHN62" s="36"/>
      <c r="DHO62" s="36"/>
      <c r="DHP62" s="36"/>
      <c r="DHQ62" s="36"/>
      <c r="DHR62" s="36"/>
      <c r="DHS62" s="36"/>
      <c r="DHT62" s="36"/>
      <c r="DHU62" s="36"/>
      <c r="DHV62" s="36"/>
      <c r="DHW62" s="36"/>
      <c r="DHX62" s="36"/>
      <c r="DHY62" s="36"/>
      <c r="DHZ62" s="36"/>
      <c r="DIA62" s="36"/>
      <c r="DIB62" s="36"/>
      <c r="DIC62" s="36"/>
      <c r="DID62" s="36"/>
      <c r="DIE62" s="36"/>
      <c r="DIF62" s="36"/>
      <c r="DIG62" s="36"/>
      <c r="DIH62" s="36"/>
      <c r="DII62" s="36"/>
      <c r="DIJ62" s="36"/>
      <c r="DIK62" s="36"/>
      <c r="DIL62" s="36"/>
      <c r="DIM62" s="36"/>
      <c r="DIN62" s="36"/>
      <c r="DIO62" s="36"/>
      <c r="DIP62" s="36"/>
      <c r="DIQ62" s="36"/>
      <c r="DIR62" s="36"/>
      <c r="DIS62" s="36"/>
      <c r="DIT62" s="36"/>
      <c r="DIU62" s="36"/>
      <c r="DIV62" s="36"/>
      <c r="DIW62" s="36"/>
      <c r="DIX62" s="36"/>
      <c r="DIY62" s="36"/>
      <c r="DIZ62" s="36"/>
      <c r="DJA62" s="36"/>
      <c r="DJB62" s="36"/>
      <c r="DJC62" s="36"/>
      <c r="DJD62" s="36"/>
      <c r="DJE62" s="36"/>
      <c r="DJF62" s="36"/>
      <c r="DJG62" s="36"/>
      <c r="DJH62" s="36"/>
      <c r="DJI62" s="36"/>
      <c r="DJJ62" s="36"/>
      <c r="DJK62" s="36"/>
      <c r="DJL62" s="36"/>
      <c r="DJM62" s="36"/>
      <c r="DJN62" s="36"/>
      <c r="DJO62" s="36"/>
      <c r="DJP62" s="36"/>
      <c r="DJQ62" s="36"/>
      <c r="DJR62" s="36"/>
      <c r="DJS62" s="36"/>
      <c r="DJT62" s="36"/>
      <c r="DJU62" s="36"/>
      <c r="DJV62" s="36"/>
      <c r="DJW62" s="36"/>
      <c r="DJX62" s="36"/>
      <c r="DJY62" s="36"/>
      <c r="DJZ62" s="36"/>
      <c r="DKA62" s="36"/>
      <c r="DKB62" s="36"/>
      <c r="DKC62" s="36"/>
      <c r="DKD62" s="36"/>
      <c r="DKE62" s="36"/>
      <c r="DKF62" s="36"/>
      <c r="DKG62" s="36"/>
      <c r="DKH62" s="36"/>
      <c r="DKI62" s="36"/>
      <c r="DKJ62" s="36"/>
      <c r="DKK62" s="36"/>
      <c r="DKL62" s="36"/>
      <c r="DKM62" s="36"/>
      <c r="DKN62" s="36"/>
      <c r="DKO62" s="36"/>
      <c r="DKP62" s="36"/>
      <c r="DKQ62" s="36"/>
      <c r="DKR62" s="36"/>
      <c r="DKS62" s="36"/>
      <c r="DKT62" s="36"/>
      <c r="DKU62" s="36"/>
      <c r="DKV62" s="36"/>
      <c r="DKW62" s="36"/>
      <c r="DKX62" s="36"/>
      <c r="DKY62" s="36"/>
      <c r="DKZ62" s="36"/>
      <c r="DLA62" s="36"/>
      <c r="DLB62" s="36"/>
      <c r="DLC62" s="36"/>
      <c r="DLD62" s="36"/>
      <c r="DLE62" s="36"/>
      <c r="DLF62" s="36"/>
      <c r="DLG62" s="36"/>
      <c r="DLH62" s="36"/>
      <c r="DLI62" s="36"/>
      <c r="DLJ62" s="36"/>
      <c r="DLK62" s="36"/>
      <c r="DLL62" s="36"/>
      <c r="DLM62" s="36"/>
      <c r="DLN62" s="36"/>
      <c r="DLO62" s="36"/>
      <c r="DLP62" s="36"/>
      <c r="DLQ62" s="36"/>
      <c r="DLR62" s="36"/>
      <c r="DLS62" s="36"/>
      <c r="DLT62" s="36"/>
      <c r="DLU62" s="36"/>
      <c r="DLV62" s="36"/>
      <c r="DLW62" s="36"/>
      <c r="DLX62" s="36"/>
      <c r="DLY62" s="36"/>
      <c r="DLZ62" s="36"/>
      <c r="DMA62" s="36"/>
      <c r="DMB62" s="36"/>
      <c r="DMC62" s="36"/>
      <c r="DMD62" s="36"/>
      <c r="DME62" s="36"/>
      <c r="DMF62" s="36"/>
      <c r="DMG62" s="36"/>
      <c r="DMH62" s="36"/>
      <c r="DMI62" s="36"/>
      <c r="DMJ62" s="36"/>
      <c r="DMK62" s="36"/>
      <c r="DML62" s="36"/>
      <c r="DMM62" s="36"/>
      <c r="DMN62" s="36"/>
      <c r="DMO62" s="36"/>
      <c r="DMP62" s="36"/>
      <c r="DMQ62" s="36"/>
      <c r="DMR62" s="36"/>
      <c r="DMS62" s="36"/>
      <c r="DMT62" s="36"/>
      <c r="DMU62" s="36"/>
      <c r="DMV62" s="36"/>
      <c r="DMW62" s="36"/>
      <c r="DMX62" s="36"/>
      <c r="DMY62" s="36"/>
      <c r="DMZ62" s="36"/>
      <c r="DNA62" s="36"/>
      <c r="DNB62" s="36"/>
      <c r="DNC62" s="36"/>
      <c r="DND62" s="36"/>
      <c r="DNE62" s="36"/>
      <c r="DNF62" s="36"/>
      <c r="DNG62" s="36"/>
      <c r="DNH62" s="36"/>
      <c r="DNI62" s="36"/>
      <c r="DNJ62" s="36"/>
      <c r="DNK62" s="36"/>
      <c r="DNL62" s="36"/>
      <c r="DNM62" s="36"/>
      <c r="DNN62" s="36"/>
      <c r="DNO62" s="36"/>
      <c r="DNP62" s="36"/>
      <c r="DNQ62" s="36"/>
      <c r="DNR62" s="36"/>
      <c r="DNS62" s="36"/>
      <c r="DNT62" s="36"/>
      <c r="DNU62" s="36"/>
      <c r="DNV62" s="36"/>
      <c r="DNW62" s="36"/>
      <c r="DNX62" s="36"/>
      <c r="DNY62" s="36"/>
      <c r="DNZ62" s="36"/>
      <c r="DOA62" s="36"/>
      <c r="DOB62" s="36"/>
      <c r="DOC62" s="36"/>
      <c r="DOD62" s="36"/>
      <c r="DOE62" s="36"/>
      <c r="DOF62" s="36"/>
      <c r="DOG62" s="36"/>
      <c r="DOH62" s="36"/>
      <c r="DOI62" s="36"/>
      <c r="DOJ62" s="36"/>
      <c r="DOK62" s="36"/>
      <c r="DOL62" s="36"/>
      <c r="DOM62" s="36"/>
      <c r="DON62" s="36"/>
      <c r="DOO62" s="36"/>
      <c r="DOP62" s="36"/>
      <c r="DOQ62" s="36"/>
      <c r="DOR62" s="36"/>
      <c r="DOS62" s="36"/>
      <c r="DOT62" s="36"/>
      <c r="DOU62" s="36"/>
      <c r="DOV62" s="36"/>
      <c r="DOW62" s="36"/>
      <c r="DOX62" s="36"/>
      <c r="DOY62" s="36"/>
      <c r="DOZ62" s="36"/>
      <c r="DPA62" s="36"/>
      <c r="DPB62" s="36"/>
      <c r="DPC62" s="36"/>
      <c r="DPD62" s="36"/>
      <c r="DPE62" s="36"/>
      <c r="DPF62" s="36"/>
      <c r="DPG62" s="36"/>
      <c r="DPH62" s="36"/>
      <c r="DPI62" s="36"/>
      <c r="DPJ62" s="36"/>
      <c r="DPK62" s="36"/>
      <c r="DPL62" s="36"/>
      <c r="DPM62" s="36"/>
      <c r="DPN62" s="36"/>
      <c r="DPO62" s="36"/>
      <c r="DPP62" s="36"/>
      <c r="DPQ62" s="36"/>
      <c r="DPR62" s="36"/>
      <c r="DPS62" s="36"/>
      <c r="DPT62" s="36"/>
      <c r="DPU62" s="36"/>
      <c r="DPV62" s="36"/>
      <c r="DPW62" s="36"/>
      <c r="DPX62" s="36"/>
      <c r="DPY62" s="36"/>
      <c r="DPZ62" s="36"/>
      <c r="DQA62" s="36"/>
      <c r="DQB62" s="36"/>
      <c r="DQC62" s="36"/>
      <c r="DQD62" s="36"/>
      <c r="DQE62" s="36"/>
      <c r="DQF62" s="36"/>
      <c r="DQG62" s="36"/>
      <c r="DQH62" s="36"/>
      <c r="DQI62" s="36"/>
      <c r="DQJ62" s="36"/>
      <c r="DQK62" s="36"/>
      <c r="DQL62" s="36"/>
      <c r="DQM62" s="36"/>
      <c r="DQN62" s="36"/>
      <c r="DQO62" s="36"/>
      <c r="DQP62" s="36"/>
      <c r="DQQ62" s="36"/>
      <c r="DQR62" s="36"/>
      <c r="DQS62" s="36"/>
      <c r="DQT62" s="36"/>
      <c r="DQU62" s="36"/>
      <c r="DQV62" s="36"/>
      <c r="DQW62" s="36"/>
      <c r="DQX62" s="36"/>
      <c r="DQY62" s="36"/>
      <c r="DQZ62" s="36"/>
      <c r="DRA62" s="36"/>
      <c r="DRB62" s="36"/>
      <c r="DRC62" s="36"/>
      <c r="DRD62" s="36"/>
      <c r="DRE62" s="36"/>
      <c r="DRF62" s="36"/>
      <c r="DRG62" s="36"/>
      <c r="DRH62" s="36"/>
      <c r="DRI62" s="36"/>
      <c r="DRJ62" s="36"/>
      <c r="DRK62" s="36"/>
      <c r="DRL62" s="36"/>
      <c r="DRM62" s="36"/>
      <c r="DRN62" s="36"/>
      <c r="DRO62" s="36"/>
      <c r="DRP62" s="36"/>
      <c r="DRQ62" s="36"/>
      <c r="DRR62" s="36"/>
      <c r="DRS62" s="36"/>
      <c r="DRT62" s="36"/>
      <c r="DRU62" s="36"/>
      <c r="DRV62" s="36"/>
      <c r="DRW62" s="36"/>
      <c r="DRX62" s="36"/>
      <c r="DRY62" s="36"/>
      <c r="DRZ62" s="36"/>
      <c r="DSA62" s="36"/>
      <c r="DSB62" s="36"/>
      <c r="DSC62" s="36"/>
      <c r="DSD62" s="36"/>
      <c r="DSE62" s="36"/>
      <c r="DSF62" s="36"/>
      <c r="DSG62" s="36"/>
      <c r="DSH62" s="36"/>
      <c r="DSI62" s="36"/>
      <c r="DSJ62" s="36"/>
      <c r="DSK62" s="36"/>
      <c r="DSL62" s="36"/>
      <c r="DSM62" s="36"/>
      <c r="DSN62" s="36"/>
      <c r="DSO62" s="36"/>
      <c r="DSP62" s="36"/>
      <c r="DSQ62" s="36"/>
      <c r="DSR62" s="36"/>
      <c r="DSS62" s="36"/>
      <c r="DST62" s="36"/>
      <c r="DSU62" s="36"/>
      <c r="DSV62" s="36"/>
      <c r="DSW62" s="36"/>
      <c r="DSX62" s="36"/>
      <c r="DSY62" s="36"/>
      <c r="DSZ62" s="36"/>
      <c r="DTA62" s="36"/>
      <c r="DTB62" s="36"/>
      <c r="DTC62" s="36"/>
      <c r="DTD62" s="36"/>
      <c r="DTE62" s="36"/>
      <c r="DTF62" s="36"/>
      <c r="DTG62" s="36"/>
      <c r="DTH62" s="36"/>
      <c r="DTI62" s="36"/>
      <c r="DTJ62" s="36"/>
      <c r="DTK62" s="36"/>
      <c r="DTL62" s="36"/>
      <c r="DTM62" s="36"/>
      <c r="DTN62" s="36"/>
      <c r="DTO62" s="36"/>
      <c r="DTP62" s="36"/>
      <c r="DTQ62" s="36"/>
      <c r="DTR62" s="36"/>
      <c r="DTS62" s="36"/>
      <c r="DTT62" s="36"/>
      <c r="DTU62" s="36"/>
      <c r="DTV62" s="36"/>
      <c r="DTW62" s="36"/>
      <c r="DTX62" s="36"/>
      <c r="DTY62" s="36"/>
      <c r="DTZ62" s="36"/>
      <c r="DUA62" s="36"/>
      <c r="DUB62" s="36"/>
      <c r="DUC62" s="36"/>
      <c r="DUD62" s="36"/>
      <c r="DUE62" s="36"/>
      <c r="DUF62" s="36"/>
      <c r="DUG62" s="36"/>
      <c r="DUH62" s="36"/>
      <c r="DUI62" s="36"/>
      <c r="DUJ62" s="36"/>
      <c r="DUK62" s="36"/>
      <c r="DUL62" s="36"/>
      <c r="DUM62" s="36"/>
      <c r="DUN62" s="36"/>
      <c r="DUO62" s="36"/>
      <c r="DUP62" s="36"/>
      <c r="DUQ62" s="36"/>
      <c r="DUR62" s="36"/>
      <c r="DUS62" s="36"/>
      <c r="DUT62" s="36"/>
      <c r="DUU62" s="36"/>
      <c r="DUV62" s="36"/>
      <c r="DUW62" s="36"/>
      <c r="DUX62" s="36"/>
      <c r="DUY62" s="36"/>
      <c r="DUZ62" s="36"/>
      <c r="DVA62" s="36"/>
      <c r="DVB62" s="36"/>
      <c r="DVC62" s="36"/>
      <c r="DVD62" s="36"/>
      <c r="DVE62" s="36"/>
      <c r="DVF62" s="36"/>
      <c r="DVG62" s="36"/>
      <c r="DVH62" s="36"/>
      <c r="DVI62" s="36"/>
      <c r="DVJ62" s="36"/>
      <c r="DVK62" s="36"/>
      <c r="DVL62" s="36"/>
      <c r="DVM62" s="36"/>
      <c r="DVN62" s="36"/>
      <c r="DVO62" s="36"/>
      <c r="DVP62" s="36"/>
      <c r="DVQ62" s="36"/>
      <c r="DVR62" s="36"/>
      <c r="DVS62" s="36"/>
      <c r="DVT62" s="36"/>
      <c r="DVU62" s="36"/>
      <c r="DVV62" s="36"/>
      <c r="DVW62" s="36"/>
      <c r="DVX62" s="36"/>
      <c r="DVY62" s="36"/>
      <c r="DVZ62" s="36"/>
      <c r="DWA62" s="36"/>
      <c r="DWB62" s="36"/>
      <c r="DWC62" s="36"/>
      <c r="DWD62" s="36"/>
      <c r="DWE62" s="36"/>
      <c r="DWF62" s="36"/>
      <c r="DWG62" s="36"/>
      <c r="DWH62" s="36"/>
      <c r="DWI62" s="36"/>
      <c r="DWJ62" s="36"/>
      <c r="DWK62" s="36"/>
      <c r="DWL62" s="36"/>
      <c r="DWM62" s="36"/>
      <c r="DWN62" s="36"/>
      <c r="DWO62" s="36"/>
      <c r="DWP62" s="36"/>
      <c r="DWQ62" s="36"/>
      <c r="DWR62" s="36"/>
      <c r="DWS62" s="36"/>
      <c r="DWT62" s="36"/>
      <c r="DWU62" s="36"/>
      <c r="DWV62" s="36"/>
      <c r="DWW62" s="36"/>
      <c r="DWX62" s="36"/>
      <c r="DWY62" s="36"/>
      <c r="DWZ62" s="36"/>
      <c r="DXA62" s="36"/>
      <c r="DXB62" s="36"/>
      <c r="DXC62" s="36"/>
      <c r="DXD62" s="36"/>
      <c r="DXE62" s="36"/>
      <c r="DXF62" s="36"/>
      <c r="DXG62" s="36"/>
      <c r="DXH62" s="36"/>
      <c r="DXI62" s="36"/>
      <c r="DXJ62" s="36"/>
      <c r="DXK62" s="36"/>
      <c r="DXL62" s="36"/>
      <c r="DXM62" s="36"/>
      <c r="DXN62" s="36"/>
      <c r="DXO62" s="36"/>
      <c r="DXP62" s="36"/>
      <c r="DXQ62" s="36"/>
      <c r="DXR62" s="36"/>
      <c r="DXS62" s="36"/>
      <c r="DXT62" s="36"/>
      <c r="DXU62" s="36"/>
      <c r="DXV62" s="36"/>
      <c r="DXW62" s="36"/>
      <c r="DXX62" s="36"/>
      <c r="DXY62" s="36"/>
      <c r="DXZ62" s="36"/>
      <c r="DYA62" s="36"/>
      <c r="DYB62" s="36"/>
      <c r="DYC62" s="36"/>
      <c r="DYD62" s="36"/>
      <c r="DYE62" s="36"/>
      <c r="DYF62" s="36"/>
      <c r="DYG62" s="36"/>
      <c r="DYH62" s="36"/>
      <c r="DYI62" s="36"/>
      <c r="DYJ62" s="36"/>
      <c r="DYK62" s="36"/>
      <c r="DYL62" s="36"/>
      <c r="DYM62" s="36"/>
      <c r="DYN62" s="36"/>
      <c r="DYO62" s="36"/>
      <c r="DYP62" s="36"/>
      <c r="DYQ62" s="36"/>
      <c r="DYR62" s="36"/>
      <c r="DYS62" s="36"/>
      <c r="DYT62" s="36"/>
      <c r="DYU62" s="36"/>
      <c r="DYV62" s="36"/>
      <c r="DYW62" s="36"/>
      <c r="DYX62" s="36"/>
      <c r="DYY62" s="36"/>
      <c r="DYZ62" s="36"/>
      <c r="DZA62" s="36"/>
      <c r="DZB62" s="36"/>
      <c r="DZC62" s="36"/>
      <c r="DZD62" s="36"/>
      <c r="DZE62" s="36"/>
      <c r="DZF62" s="36"/>
      <c r="DZG62" s="36"/>
      <c r="DZH62" s="36"/>
      <c r="DZI62" s="36"/>
      <c r="DZJ62" s="36"/>
      <c r="DZK62" s="36"/>
      <c r="DZL62" s="36"/>
      <c r="DZM62" s="36"/>
      <c r="DZN62" s="36"/>
      <c r="DZO62" s="36"/>
      <c r="DZP62" s="36"/>
      <c r="DZQ62" s="36"/>
      <c r="DZR62" s="36"/>
      <c r="DZS62" s="36"/>
      <c r="DZT62" s="36"/>
      <c r="DZU62" s="36"/>
      <c r="DZV62" s="36"/>
      <c r="DZW62" s="36"/>
      <c r="DZX62" s="36"/>
      <c r="DZY62" s="36"/>
      <c r="DZZ62" s="36"/>
      <c r="EAA62" s="36"/>
      <c r="EAB62" s="36"/>
      <c r="EAC62" s="36"/>
      <c r="EAD62" s="36"/>
      <c r="EAE62" s="36"/>
      <c r="EAF62" s="36"/>
      <c r="EAG62" s="36"/>
      <c r="EAH62" s="36"/>
      <c r="EAI62" s="36"/>
      <c r="EAJ62" s="36"/>
      <c r="EAK62" s="36"/>
      <c r="EAL62" s="36"/>
      <c r="EAM62" s="36"/>
      <c r="EAN62" s="36"/>
      <c r="EAO62" s="36"/>
      <c r="EAP62" s="36"/>
      <c r="EAQ62" s="36"/>
      <c r="EAR62" s="36"/>
      <c r="EAS62" s="36"/>
      <c r="EAT62" s="36"/>
      <c r="EAU62" s="36"/>
      <c r="EAV62" s="36"/>
      <c r="EAW62" s="36"/>
      <c r="EAX62" s="36"/>
      <c r="EAY62" s="36"/>
      <c r="EAZ62" s="36"/>
      <c r="EBA62" s="36"/>
      <c r="EBB62" s="36"/>
      <c r="EBC62" s="36"/>
      <c r="EBD62" s="36"/>
      <c r="EBE62" s="36"/>
      <c r="EBF62" s="36"/>
      <c r="EBG62" s="36"/>
      <c r="EBH62" s="36"/>
      <c r="EBI62" s="36"/>
      <c r="EBJ62" s="36"/>
      <c r="EBK62" s="36"/>
      <c r="EBL62" s="36"/>
      <c r="EBM62" s="36"/>
      <c r="EBN62" s="36"/>
      <c r="EBO62" s="36"/>
      <c r="EBP62" s="36"/>
      <c r="EBQ62" s="36"/>
      <c r="EBR62" s="36"/>
      <c r="EBS62" s="36"/>
      <c r="EBT62" s="36"/>
      <c r="EBU62" s="36"/>
      <c r="EBV62" s="36"/>
      <c r="EBW62" s="36"/>
      <c r="EBX62" s="36"/>
      <c r="EBY62" s="36"/>
      <c r="EBZ62" s="36"/>
      <c r="ECA62" s="36"/>
      <c r="ECB62" s="36"/>
      <c r="ECC62" s="36"/>
      <c r="ECD62" s="36"/>
      <c r="ECE62" s="36"/>
      <c r="ECF62" s="36"/>
      <c r="ECG62" s="36"/>
      <c r="ECH62" s="36"/>
      <c r="ECI62" s="36"/>
      <c r="ECJ62" s="36"/>
      <c r="ECK62" s="36"/>
      <c r="ECL62" s="36"/>
      <c r="ECM62" s="36"/>
      <c r="ECN62" s="36"/>
      <c r="ECO62" s="36"/>
      <c r="ECP62" s="36"/>
      <c r="ECQ62" s="36"/>
      <c r="ECR62" s="36"/>
      <c r="ECS62" s="36"/>
      <c r="ECT62" s="36"/>
      <c r="ECU62" s="36"/>
      <c r="ECV62" s="36"/>
      <c r="ECW62" s="36"/>
      <c r="ECX62" s="36"/>
      <c r="ECY62" s="36"/>
      <c r="ECZ62" s="36"/>
      <c r="EDA62" s="36"/>
      <c r="EDB62" s="36"/>
      <c r="EDC62" s="36"/>
      <c r="EDD62" s="36"/>
      <c r="EDE62" s="36"/>
      <c r="EDF62" s="36"/>
      <c r="EDG62" s="36"/>
      <c r="EDH62" s="36"/>
      <c r="EDI62" s="36"/>
      <c r="EDJ62" s="36"/>
      <c r="EDK62" s="36"/>
      <c r="EDL62" s="36"/>
      <c r="EDM62" s="36"/>
      <c r="EDN62" s="36"/>
      <c r="EDO62" s="36"/>
      <c r="EDP62" s="36"/>
      <c r="EDQ62" s="36"/>
      <c r="EDR62" s="36"/>
      <c r="EDS62" s="36"/>
      <c r="EDT62" s="36"/>
      <c r="EDU62" s="36"/>
      <c r="EDV62" s="36"/>
      <c r="EDW62" s="36"/>
      <c r="EDX62" s="36"/>
      <c r="EDY62" s="36"/>
      <c r="EDZ62" s="36"/>
      <c r="EEA62" s="36"/>
      <c r="EEB62" s="36"/>
      <c r="EEC62" s="36"/>
      <c r="EED62" s="36"/>
      <c r="EEE62" s="36"/>
      <c r="EEF62" s="36"/>
      <c r="EEG62" s="36"/>
      <c r="EEH62" s="36"/>
      <c r="EEI62" s="36"/>
      <c r="EEJ62" s="36"/>
      <c r="EEK62" s="36"/>
      <c r="EEL62" s="36"/>
      <c r="EEM62" s="36"/>
      <c r="EEN62" s="36"/>
      <c r="EEO62" s="36"/>
      <c r="EEP62" s="36"/>
      <c r="EEQ62" s="36"/>
      <c r="EER62" s="36"/>
      <c r="EES62" s="36"/>
      <c r="EET62" s="36"/>
      <c r="EEU62" s="36"/>
      <c r="EEV62" s="36"/>
      <c r="EEW62" s="36"/>
      <c r="EEX62" s="36"/>
      <c r="EEY62" s="36"/>
      <c r="EEZ62" s="36"/>
      <c r="EFA62" s="36"/>
      <c r="EFB62" s="36"/>
      <c r="EFC62" s="36"/>
      <c r="EFD62" s="36"/>
      <c r="EFE62" s="36"/>
      <c r="EFF62" s="36"/>
      <c r="EFG62" s="36"/>
      <c r="EFH62" s="36"/>
      <c r="EFI62" s="36"/>
      <c r="EFJ62" s="36"/>
      <c r="EFK62" s="36"/>
      <c r="EFL62" s="36"/>
      <c r="EFM62" s="36"/>
      <c r="EFN62" s="36"/>
      <c r="EFO62" s="36"/>
      <c r="EFP62" s="36"/>
      <c r="EFQ62" s="36"/>
      <c r="EFR62" s="36"/>
      <c r="EFS62" s="36"/>
      <c r="EFT62" s="36"/>
      <c r="EFU62" s="36"/>
      <c r="EFV62" s="36"/>
      <c r="EFW62" s="36"/>
      <c r="EFX62" s="36"/>
      <c r="EFY62" s="36"/>
      <c r="EFZ62" s="36"/>
      <c r="EGA62" s="36"/>
      <c r="EGB62" s="36"/>
      <c r="EGC62" s="36"/>
      <c r="EGD62" s="36"/>
      <c r="EGE62" s="36"/>
      <c r="EGF62" s="36"/>
      <c r="EGG62" s="36"/>
      <c r="EGH62" s="36"/>
      <c r="EGI62" s="36"/>
      <c r="EGJ62" s="36"/>
      <c r="EGK62" s="36"/>
      <c r="EGL62" s="36"/>
      <c r="EGM62" s="36"/>
      <c r="EGN62" s="36"/>
      <c r="EGO62" s="36"/>
      <c r="EGP62" s="36"/>
      <c r="EGQ62" s="36"/>
      <c r="EGR62" s="36"/>
      <c r="EGS62" s="36"/>
      <c r="EGT62" s="36"/>
      <c r="EGU62" s="36"/>
      <c r="EGV62" s="36"/>
      <c r="EGW62" s="36"/>
      <c r="EGX62" s="36"/>
      <c r="EGY62" s="36"/>
      <c r="EGZ62" s="36"/>
      <c r="EHA62" s="36"/>
      <c r="EHB62" s="36"/>
      <c r="EHC62" s="36"/>
      <c r="EHD62" s="36"/>
      <c r="EHE62" s="36"/>
      <c r="EHF62" s="36"/>
      <c r="EHG62" s="36"/>
      <c r="EHH62" s="36"/>
      <c r="EHI62" s="36"/>
      <c r="EHJ62" s="36"/>
      <c r="EHK62" s="36"/>
      <c r="EHL62" s="36"/>
      <c r="EHM62" s="36"/>
      <c r="EHN62" s="36"/>
      <c r="EHO62" s="36"/>
      <c r="EHP62" s="36"/>
      <c r="EHQ62" s="36"/>
      <c r="EHR62" s="36"/>
      <c r="EHS62" s="36"/>
      <c r="EHT62" s="36"/>
      <c r="EHU62" s="36"/>
      <c r="EHV62" s="36"/>
      <c r="EHW62" s="36"/>
      <c r="EHX62" s="36"/>
      <c r="EHY62" s="36"/>
      <c r="EHZ62" s="36"/>
      <c r="EIA62" s="36"/>
      <c r="EIB62" s="36"/>
      <c r="EIC62" s="36"/>
      <c r="EID62" s="36"/>
      <c r="EIE62" s="36"/>
      <c r="EIF62" s="36"/>
      <c r="EIG62" s="36"/>
      <c r="EIH62" s="36"/>
      <c r="EII62" s="36"/>
      <c r="EIJ62" s="36"/>
      <c r="EIK62" s="36"/>
      <c r="EIL62" s="36"/>
      <c r="EIM62" s="36"/>
      <c r="EIN62" s="36"/>
      <c r="EIO62" s="36"/>
      <c r="EIP62" s="36"/>
      <c r="EIQ62" s="36"/>
      <c r="EIR62" s="36"/>
      <c r="EIS62" s="36"/>
      <c r="EIT62" s="36"/>
      <c r="EIU62" s="36"/>
      <c r="EIV62" s="36"/>
      <c r="EIW62" s="36"/>
      <c r="EIX62" s="36"/>
      <c r="EIY62" s="36"/>
      <c r="EIZ62" s="36"/>
      <c r="EJA62" s="36"/>
      <c r="EJB62" s="36"/>
      <c r="EJC62" s="36"/>
      <c r="EJD62" s="36"/>
      <c r="EJE62" s="36"/>
      <c r="EJF62" s="36"/>
      <c r="EJG62" s="36"/>
      <c r="EJH62" s="36"/>
      <c r="EJI62" s="36"/>
      <c r="EJJ62" s="36"/>
      <c r="EJK62" s="36"/>
      <c r="EJL62" s="36"/>
      <c r="EJM62" s="36"/>
      <c r="EJN62" s="36"/>
      <c r="EJO62" s="36"/>
      <c r="EJP62" s="36"/>
      <c r="EJQ62" s="36"/>
      <c r="EJR62" s="36"/>
      <c r="EJS62" s="36"/>
      <c r="EJT62" s="36"/>
      <c r="EJU62" s="36"/>
      <c r="EJV62" s="36"/>
      <c r="EJW62" s="36"/>
      <c r="EJX62" s="36"/>
      <c r="EJY62" s="36"/>
      <c r="EJZ62" s="36"/>
      <c r="EKA62" s="36"/>
      <c r="EKB62" s="36"/>
      <c r="EKC62" s="36"/>
      <c r="EKD62" s="36"/>
      <c r="EKE62" s="36"/>
      <c r="EKF62" s="36"/>
      <c r="EKG62" s="36"/>
      <c r="EKH62" s="36"/>
      <c r="EKI62" s="36"/>
      <c r="EKJ62" s="36"/>
      <c r="EKK62" s="36"/>
      <c r="EKL62" s="36"/>
      <c r="EKM62" s="36"/>
      <c r="EKN62" s="36"/>
      <c r="EKO62" s="36"/>
      <c r="EKP62" s="36"/>
      <c r="EKQ62" s="36"/>
      <c r="EKR62" s="36"/>
      <c r="EKS62" s="36"/>
      <c r="EKT62" s="36"/>
      <c r="EKU62" s="36"/>
      <c r="EKV62" s="36"/>
      <c r="EKW62" s="36"/>
      <c r="EKX62" s="36"/>
      <c r="EKY62" s="36"/>
      <c r="EKZ62" s="36"/>
      <c r="ELA62" s="36"/>
      <c r="ELB62" s="36"/>
      <c r="ELC62" s="36"/>
      <c r="ELD62" s="36"/>
      <c r="ELE62" s="36"/>
      <c r="ELF62" s="36"/>
      <c r="ELG62" s="36"/>
      <c r="ELH62" s="36"/>
      <c r="ELI62" s="36"/>
      <c r="ELJ62" s="36"/>
      <c r="ELK62" s="36"/>
      <c r="ELL62" s="36"/>
      <c r="ELM62" s="36"/>
      <c r="ELN62" s="36"/>
      <c r="ELO62" s="36"/>
      <c r="ELP62" s="36"/>
      <c r="ELQ62" s="36"/>
      <c r="ELR62" s="36"/>
      <c r="ELS62" s="36"/>
      <c r="ELT62" s="36"/>
      <c r="ELU62" s="36"/>
      <c r="ELV62" s="36"/>
      <c r="ELW62" s="36"/>
      <c r="ELX62" s="36"/>
      <c r="ELY62" s="36"/>
      <c r="ELZ62" s="36"/>
      <c r="EMA62" s="36"/>
      <c r="EMB62" s="36"/>
      <c r="EMC62" s="36"/>
      <c r="EMD62" s="36"/>
      <c r="EME62" s="36"/>
      <c r="EMF62" s="36"/>
      <c r="EMG62" s="36"/>
      <c r="EMH62" s="36"/>
      <c r="EMI62" s="36"/>
      <c r="EMJ62" s="36"/>
      <c r="EMK62" s="36"/>
      <c r="EML62" s="36"/>
      <c r="EMM62" s="36"/>
      <c r="EMN62" s="36"/>
      <c r="EMO62" s="36"/>
      <c r="EMP62" s="36"/>
      <c r="EMQ62" s="36"/>
      <c r="EMR62" s="36"/>
      <c r="EMS62" s="36"/>
      <c r="EMT62" s="36"/>
      <c r="EMU62" s="36"/>
      <c r="EMV62" s="36"/>
      <c r="EMW62" s="36"/>
      <c r="EMX62" s="36"/>
      <c r="EMY62" s="36"/>
      <c r="EMZ62" s="36"/>
      <c r="ENA62" s="36"/>
      <c r="ENB62" s="36"/>
      <c r="ENC62" s="36"/>
      <c r="END62" s="36"/>
      <c r="ENE62" s="36"/>
      <c r="ENF62" s="36"/>
      <c r="ENG62" s="36"/>
      <c r="ENH62" s="36"/>
      <c r="ENI62" s="36"/>
      <c r="ENJ62" s="36"/>
      <c r="ENK62" s="36"/>
      <c r="ENL62" s="36"/>
      <c r="ENM62" s="36"/>
      <c r="ENN62" s="36"/>
      <c r="ENO62" s="36"/>
      <c r="ENP62" s="36"/>
      <c r="ENQ62" s="36"/>
      <c r="ENR62" s="36"/>
      <c r="ENS62" s="36"/>
      <c r="ENT62" s="36"/>
      <c r="ENU62" s="36"/>
      <c r="ENV62" s="36"/>
      <c r="ENW62" s="36"/>
      <c r="ENX62" s="36"/>
      <c r="ENY62" s="36"/>
      <c r="ENZ62" s="36"/>
      <c r="EOA62" s="36"/>
      <c r="EOB62" s="36"/>
      <c r="EOC62" s="36"/>
      <c r="EOD62" s="36"/>
      <c r="EOE62" s="36"/>
      <c r="EOF62" s="36"/>
      <c r="EOG62" s="36"/>
      <c r="EOH62" s="36"/>
      <c r="EOI62" s="36"/>
      <c r="EOJ62" s="36"/>
      <c r="EOK62" s="36"/>
      <c r="EOL62" s="36"/>
      <c r="EOM62" s="36"/>
      <c r="EON62" s="36"/>
      <c r="EOO62" s="36"/>
      <c r="EOP62" s="36"/>
      <c r="EOQ62" s="36"/>
      <c r="EOR62" s="36"/>
      <c r="EOS62" s="36"/>
      <c r="EOT62" s="36"/>
      <c r="EOU62" s="36"/>
      <c r="EOV62" s="36"/>
      <c r="EOW62" s="36"/>
      <c r="EOX62" s="36"/>
      <c r="EOY62" s="36"/>
      <c r="EOZ62" s="36"/>
      <c r="EPA62" s="36"/>
      <c r="EPB62" s="36"/>
      <c r="EPC62" s="36"/>
      <c r="EPD62" s="36"/>
      <c r="EPE62" s="36"/>
      <c r="EPF62" s="36"/>
      <c r="EPG62" s="36"/>
      <c r="EPH62" s="36"/>
      <c r="EPI62" s="36"/>
      <c r="EPJ62" s="36"/>
      <c r="EPK62" s="36"/>
      <c r="EPL62" s="36"/>
      <c r="EPM62" s="36"/>
      <c r="EPN62" s="36"/>
      <c r="EPO62" s="36"/>
      <c r="EPP62" s="36"/>
      <c r="EPQ62" s="36"/>
      <c r="EPR62" s="36"/>
      <c r="EPS62" s="36"/>
      <c r="EPT62" s="36"/>
      <c r="EPU62" s="36"/>
      <c r="EPV62" s="36"/>
      <c r="EPW62" s="36"/>
      <c r="EPX62" s="36"/>
      <c r="EPY62" s="36"/>
      <c r="EPZ62" s="36"/>
      <c r="EQA62" s="36"/>
      <c r="EQB62" s="36"/>
      <c r="EQC62" s="36"/>
      <c r="EQD62" s="36"/>
      <c r="EQE62" s="36"/>
      <c r="EQF62" s="36"/>
      <c r="EQG62" s="36"/>
      <c r="EQH62" s="36"/>
      <c r="EQI62" s="36"/>
      <c r="EQJ62" s="36"/>
      <c r="EQK62" s="36"/>
      <c r="EQL62" s="36"/>
      <c r="EQM62" s="36"/>
      <c r="EQN62" s="36"/>
      <c r="EQO62" s="36"/>
      <c r="EQP62" s="36"/>
      <c r="EQQ62" s="36"/>
      <c r="EQR62" s="36"/>
      <c r="EQS62" s="36"/>
      <c r="EQT62" s="36"/>
      <c r="EQU62" s="36"/>
      <c r="EQV62" s="36"/>
      <c r="EQW62" s="36"/>
      <c r="EQX62" s="36"/>
      <c r="EQY62" s="36"/>
      <c r="EQZ62" s="36"/>
      <c r="ERA62" s="36"/>
      <c r="ERB62" s="36"/>
      <c r="ERC62" s="36"/>
      <c r="ERD62" s="36"/>
      <c r="ERE62" s="36"/>
      <c r="ERF62" s="36"/>
      <c r="ERG62" s="36"/>
      <c r="ERH62" s="36"/>
      <c r="ERI62" s="36"/>
      <c r="ERJ62" s="36"/>
      <c r="ERK62" s="36"/>
      <c r="ERL62" s="36"/>
      <c r="ERM62" s="36"/>
      <c r="ERN62" s="36"/>
      <c r="ERO62" s="36"/>
      <c r="ERP62" s="36"/>
      <c r="ERQ62" s="36"/>
      <c r="ERR62" s="36"/>
      <c r="ERS62" s="36"/>
      <c r="ERT62" s="36"/>
      <c r="ERU62" s="36"/>
      <c r="ERV62" s="36"/>
      <c r="ERW62" s="36"/>
      <c r="ERX62" s="36"/>
      <c r="ERY62" s="36"/>
      <c r="ERZ62" s="36"/>
      <c r="ESA62" s="36"/>
      <c r="ESB62" s="36"/>
      <c r="ESC62" s="36"/>
      <c r="ESD62" s="36"/>
      <c r="ESE62" s="36"/>
      <c r="ESF62" s="36"/>
      <c r="ESG62" s="36"/>
      <c r="ESH62" s="36"/>
      <c r="ESI62" s="36"/>
      <c r="ESJ62" s="36"/>
      <c r="ESK62" s="36"/>
      <c r="ESL62" s="36"/>
      <c r="ESM62" s="36"/>
      <c r="ESN62" s="36"/>
      <c r="ESO62" s="36"/>
      <c r="ESP62" s="36"/>
      <c r="ESQ62" s="36"/>
      <c r="ESR62" s="36"/>
      <c r="ESS62" s="36"/>
      <c r="EST62" s="36"/>
      <c r="ESU62" s="36"/>
      <c r="ESV62" s="36"/>
      <c r="ESW62" s="36"/>
      <c r="ESX62" s="36"/>
      <c r="ESY62" s="36"/>
      <c r="ESZ62" s="36"/>
      <c r="ETA62" s="36"/>
      <c r="ETB62" s="36"/>
      <c r="ETC62" s="36"/>
      <c r="ETD62" s="36"/>
      <c r="ETE62" s="36"/>
      <c r="ETF62" s="36"/>
      <c r="ETG62" s="36"/>
      <c r="ETH62" s="36"/>
      <c r="ETI62" s="36"/>
      <c r="ETJ62" s="36"/>
      <c r="ETK62" s="36"/>
      <c r="ETL62" s="36"/>
      <c r="ETM62" s="36"/>
      <c r="ETN62" s="36"/>
      <c r="ETO62" s="36"/>
      <c r="ETP62" s="36"/>
      <c r="ETQ62" s="36"/>
      <c r="ETR62" s="36"/>
      <c r="ETS62" s="36"/>
      <c r="ETT62" s="36"/>
      <c r="ETU62" s="36"/>
      <c r="ETV62" s="36"/>
      <c r="ETW62" s="36"/>
      <c r="ETX62" s="36"/>
      <c r="ETY62" s="36"/>
      <c r="ETZ62" s="36"/>
      <c r="EUA62" s="36"/>
      <c r="EUB62" s="36"/>
      <c r="EUC62" s="36"/>
      <c r="EUD62" s="36"/>
      <c r="EUE62" s="36"/>
      <c r="EUF62" s="36"/>
      <c r="EUG62" s="36"/>
      <c r="EUH62" s="36"/>
      <c r="EUI62" s="36"/>
      <c r="EUJ62" s="36"/>
      <c r="EUK62" s="36"/>
      <c r="EUL62" s="36"/>
      <c r="EUM62" s="36"/>
      <c r="EUN62" s="36"/>
      <c r="EUO62" s="36"/>
      <c r="EUP62" s="36"/>
      <c r="EUQ62" s="36"/>
      <c r="EUR62" s="36"/>
      <c r="EUS62" s="36"/>
      <c r="EUT62" s="36"/>
      <c r="EUU62" s="36"/>
      <c r="EUV62" s="36"/>
      <c r="EUW62" s="36"/>
      <c r="EUX62" s="36"/>
      <c r="EUY62" s="36"/>
      <c r="EUZ62" s="36"/>
      <c r="EVA62" s="36"/>
      <c r="EVB62" s="36"/>
      <c r="EVC62" s="36"/>
      <c r="EVD62" s="36"/>
      <c r="EVE62" s="36"/>
      <c r="EVF62" s="36"/>
      <c r="EVG62" s="36"/>
      <c r="EVH62" s="36"/>
      <c r="EVI62" s="36"/>
      <c r="EVJ62" s="36"/>
      <c r="EVK62" s="36"/>
      <c r="EVL62" s="36"/>
      <c r="EVM62" s="36"/>
      <c r="EVN62" s="36"/>
      <c r="EVO62" s="36"/>
      <c r="EVP62" s="36"/>
      <c r="EVQ62" s="36"/>
      <c r="EVR62" s="36"/>
      <c r="EVS62" s="36"/>
      <c r="EVT62" s="36"/>
      <c r="EVU62" s="36"/>
      <c r="EVV62" s="36"/>
      <c r="EVW62" s="36"/>
      <c r="EVX62" s="36"/>
      <c r="EVY62" s="36"/>
      <c r="EVZ62" s="36"/>
      <c r="EWA62" s="36"/>
      <c r="EWB62" s="36"/>
      <c r="EWC62" s="36"/>
      <c r="EWD62" s="36"/>
      <c r="EWE62" s="36"/>
      <c r="EWF62" s="36"/>
      <c r="EWG62" s="36"/>
      <c r="EWH62" s="36"/>
      <c r="EWI62" s="36"/>
      <c r="EWJ62" s="36"/>
      <c r="EWK62" s="36"/>
      <c r="EWL62" s="36"/>
      <c r="EWM62" s="36"/>
      <c r="EWN62" s="36"/>
      <c r="EWO62" s="36"/>
      <c r="EWP62" s="36"/>
      <c r="EWQ62" s="36"/>
      <c r="EWR62" s="36"/>
      <c r="EWS62" s="36"/>
      <c r="EWT62" s="36"/>
      <c r="EWU62" s="36"/>
      <c r="EWV62" s="36"/>
      <c r="EWW62" s="36"/>
      <c r="EWX62" s="36"/>
      <c r="EWY62" s="36"/>
      <c r="EWZ62" s="36"/>
      <c r="EXA62" s="36"/>
      <c r="EXB62" s="36"/>
      <c r="EXC62" s="36"/>
      <c r="EXD62" s="36"/>
      <c r="EXE62" s="36"/>
      <c r="EXF62" s="36"/>
      <c r="EXG62" s="36"/>
      <c r="EXH62" s="36"/>
      <c r="EXI62" s="36"/>
      <c r="EXJ62" s="36"/>
      <c r="EXK62" s="36"/>
      <c r="EXL62" s="36"/>
      <c r="EXM62" s="36"/>
      <c r="EXN62" s="36"/>
      <c r="EXO62" s="36"/>
      <c r="EXP62" s="36"/>
      <c r="EXQ62" s="36"/>
      <c r="EXR62" s="36"/>
      <c r="EXS62" s="36"/>
      <c r="EXT62" s="36"/>
      <c r="EXU62" s="36"/>
      <c r="EXV62" s="36"/>
      <c r="EXW62" s="36"/>
      <c r="EXX62" s="36"/>
      <c r="EXY62" s="36"/>
      <c r="EXZ62" s="36"/>
      <c r="EYA62" s="36"/>
      <c r="EYB62" s="36"/>
      <c r="EYC62" s="36"/>
      <c r="EYD62" s="36"/>
      <c r="EYE62" s="36"/>
      <c r="EYF62" s="36"/>
      <c r="EYG62" s="36"/>
      <c r="EYH62" s="36"/>
      <c r="EYI62" s="36"/>
      <c r="EYJ62" s="36"/>
      <c r="EYK62" s="36"/>
      <c r="EYL62" s="36"/>
      <c r="EYM62" s="36"/>
      <c r="EYN62" s="36"/>
      <c r="EYO62" s="36"/>
      <c r="EYP62" s="36"/>
      <c r="EYQ62" s="36"/>
      <c r="EYR62" s="36"/>
      <c r="EYS62" s="36"/>
      <c r="EYT62" s="36"/>
      <c r="EYU62" s="36"/>
      <c r="EYV62" s="36"/>
      <c r="EYW62" s="36"/>
      <c r="EYX62" s="36"/>
      <c r="EYY62" s="36"/>
      <c r="EYZ62" s="36"/>
      <c r="EZA62" s="36"/>
      <c r="EZB62" s="36"/>
      <c r="EZC62" s="36"/>
      <c r="EZD62" s="36"/>
      <c r="EZE62" s="36"/>
      <c r="EZF62" s="36"/>
      <c r="EZG62" s="36"/>
      <c r="EZH62" s="36"/>
      <c r="EZI62" s="36"/>
      <c r="EZJ62" s="36"/>
      <c r="EZK62" s="36"/>
      <c r="EZL62" s="36"/>
      <c r="EZM62" s="36"/>
      <c r="EZN62" s="36"/>
      <c r="EZO62" s="36"/>
      <c r="EZP62" s="36"/>
      <c r="EZQ62" s="36"/>
      <c r="EZR62" s="36"/>
      <c r="EZS62" s="36"/>
      <c r="EZT62" s="36"/>
      <c r="EZU62" s="36"/>
      <c r="EZV62" s="36"/>
      <c r="EZW62" s="36"/>
      <c r="EZX62" s="36"/>
      <c r="EZY62" s="36"/>
      <c r="EZZ62" s="36"/>
      <c r="FAA62" s="36"/>
      <c r="FAB62" s="36"/>
      <c r="FAC62" s="36"/>
      <c r="FAD62" s="36"/>
      <c r="FAE62" s="36"/>
      <c r="FAF62" s="36"/>
      <c r="FAG62" s="36"/>
      <c r="FAH62" s="36"/>
      <c r="FAI62" s="36"/>
      <c r="FAJ62" s="36"/>
      <c r="FAK62" s="36"/>
      <c r="FAL62" s="36"/>
      <c r="FAM62" s="36"/>
      <c r="FAN62" s="36"/>
      <c r="FAO62" s="36"/>
      <c r="FAP62" s="36"/>
      <c r="FAQ62" s="36"/>
      <c r="FAR62" s="36"/>
      <c r="FAS62" s="36"/>
      <c r="FAT62" s="36"/>
      <c r="FAU62" s="36"/>
      <c r="FAV62" s="36"/>
      <c r="FAW62" s="36"/>
      <c r="FAX62" s="36"/>
      <c r="FAY62" s="36"/>
      <c r="FAZ62" s="36"/>
      <c r="FBA62" s="36"/>
      <c r="FBB62" s="36"/>
      <c r="FBC62" s="36"/>
      <c r="FBD62" s="36"/>
      <c r="FBE62" s="36"/>
      <c r="FBF62" s="36"/>
      <c r="FBG62" s="36"/>
      <c r="FBH62" s="36"/>
      <c r="FBI62" s="36"/>
      <c r="FBJ62" s="36"/>
      <c r="FBK62" s="36"/>
      <c r="FBL62" s="36"/>
      <c r="FBM62" s="36"/>
      <c r="FBN62" s="36"/>
      <c r="FBO62" s="36"/>
      <c r="FBP62" s="36"/>
      <c r="FBQ62" s="36"/>
      <c r="FBR62" s="36"/>
      <c r="FBS62" s="36"/>
      <c r="FBT62" s="36"/>
      <c r="FBU62" s="36"/>
      <c r="FBV62" s="36"/>
      <c r="FBW62" s="36"/>
      <c r="FBX62" s="36"/>
      <c r="FBY62" s="36"/>
      <c r="FBZ62" s="36"/>
      <c r="FCA62" s="36"/>
      <c r="FCB62" s="36"/>
      <c r="FCC62" s="36"/>
      <c r="FCD62" s="36"/>
      <c r="FCE62" s="36"/>
      <c r="FCF62" s="36"/>
      <c r="FCG62" s="36"/>
      <c r="FCH62" s="36"/>
      <c r="FCI62" s="36"/>
      <c r="FCJ62" s="36"/>
      <c r="FCK62" s="36"/>
      <c r="FCL62" s="36"/>
      <c r="FCM62" s="36"/>
      <c r="FCN62" s="36"/>
      <c r="FCO62" s="36"/>
      <c r="FCP62" s="36"/>
      <c r="FCQ62" s="36"/>
      <c r="FCR62" s="36"/>
      <c r="FCS62" s="36"/>
      <c r="FCT62" s="36"/>
      <c r="FCU62" s="36"/>
      <c r="FCV62" s="36"/>
      <c r="FCW62" s="36"/>
      <c r="FCX62" s="36"/>
      <c r="FCY62" s="36"/>
      <c r="FCZ62" s="36"/>
      <c r="FDA62" s="36"/>
      <c r="FDB62" s="36"/>
      <c r="FDC62" s="36"/>
      <c r="FDD62" s="36"/>
      <c r="FDE62" s="36"/>
      <c r="FDF62" s="36"/>
      <c r="FDG62" s="36"/>
      <c r="FDH62" s="36"/>
      <c r="FDI62" s="36"/>
      <c r="FDJ62" s="36"/>
      <c r="FDK62" s="36"/>
      <c r="FDL62" s="36"/>
      <c r="FDM62" s="36"/>
      <c r="FDN62" s="36"/>
      <c r="FDO62" s="36"/>
      <c r="FDP62" s="36"/>
      <c r="FDQ62" s="36"/>
      <c r="FDR62" s="36"/>
      <c r="FDS62" s="36"/>
      <c r="FDT62" s="36"/>
      <c r="FDU62" s="36"/>
      <c r="FDV62" s="36"/>
      <c r="FDW62" s="36"/>
      <c r="FDX62" s="36"/>
      <c r="FDY62" s="36"/>
      <c r="FDZ62" s="36"/>
      <c r="FEA62" s="36"/>
      <c r="FEB62" s="36"/>
      <c r="FEC62" s="36"/>
      <c r="FED62" s="36"/>
      <c r="FEE62" s="36"/>
      <c r="FEF62" s="36"/>
      <c r="FEG62" s="36"/>
      <c r="FEH62" s="36"/>
      <c r="FEI62" s="36"/>
      <c r="FEJ62" s="36"/>
      <c r="FEK62" s="36"/>
      <c r="FEL62" s="36"/>
      <c r="FEM62" s="36"/>
      <c r="FEN62" s="36"/>
      <c r="FEO62" s="36"/>
      <c r="FEP62" s="36"/>
      <c r="FEQ62" s="36"/>
      <c r="FER62" s="36"/>
      <c r="FES62" s="36"/>
      <c r="FET62" s="36"/>
      <c r="FEU62" s="36"/>
      <c r="FEV62" s="36"/>
      <c r="FEW62" s="36"/>
      <c r="FEX62" s="36"/>
      <c r="FEY62" s="36"/>
      <c r="FEZ62" s="36"/>
      <c r="FFA62" s="36"/>
      <c r="FFB62" s="36"/>
      <c r="FFC62" s="36"/>
      <c r="FFD62" s="36"/>
      <c r="FFE62" s="36"/>
      <c r="FFF62" s="36"/>
      <c r="FFG62" s="36"/>
      <c r="FFH62" s="36"/>
      <c r="FFI62" s="36"/>
      <c r="FFJ62" s="36"/>
      <c r="FFK62" s="36"/>
      <c r="FFL62" s="36"/>
      <c r="FFM62" s="36"/>
      <c r="FFN62" s="36"/>
      <c r="FFO62" s="36"/>
      <c r="FFP62" s="36"/>
      <c r="FFQ62" s="36"/>
      <c r="FFR62" s="36"/>
      <c r="FFS62" s="36"/>
      <c r="FFT62" s="36"/>
      <c r="FFU62" s="36"/>
      <c r="FFV62" s="36"/>
      <c r="FFW62" s="36"/>
      <c r="FFX62" s="36"/>
      <c r="FFY62" s="36"/>
      <c r="FFZ62" s="36"/>
      <c r="FGA62" s="36"/>
      <c r="FGB62" s="36"/>
      <c r="FGC62" s="36"/>
      <c r="FGD62" s="36"/>
      <c r="FGE62" s="36"/>
      <c r="FGF62" s="36"/>
      <c r="FGG62" s="36"/>
      <c r="FGH62" s="36"/>
      <c r="FGI62" s="36"/>
      <c r="FGJ62" s="36"/>
      <c r="FGK62" s="36"/>
      <c r="FGL62" s="36"/>
      <c r="FGM62" s="36"/>
      <c r="FGN62" s="36"/>
      <c r="FGO62" s="36"/>
      <c r="FGP62" s="36"/>
      <c r="FGQ62" s="36"/>
      <c r="FGR62" s="36"/>
      <c r="FGS62" s="36"/>
      <c r="FGT62" s="36"/>
      <c r="FGU62" s="36"/>
      <c r="FGV62" s="36"/>
      <c r="FGW62" s="36"/>
      <c r="FGX62" s="36"/>
      <c r="FGY62" s="36"/>
      <c r="FGZ62" s="36"/>
      <c r="FHA62" s="36"/>
      <c r="FHB62" s="36"/>
      <c r="FHC62" s="36"/>
      <c r="FHD62" s="36"/>
      <c r="FHE62" s="36"/>
      <c r="FHF62" s="36"/>
      <c r="FHG62" s="36"/>
      <c r="FHH62" s="36"/>
      <c r="FHI62" s="36"/>
      <c r="FHJ62" s="36"/>
      <c r="FHK62" s="36"/>
      <c r="FHL62" s="36"/>
      <c r="FHM62" s="36"/>
      <c r="FHN62" s="36"/>
      <c r="FHO62" s="36"/>
      <c r="FHP62" s="36"/>
      <c r="FHQ62" s="36"/>
      <c r="FHR62" s="36"/>
      <c r="FHS62" s="36"/>
      <c r="FHT62" s="36"/>
      <c r="FHU62" s="36"/>
      <c r="FHV62" s="36"/>
      <c r="FHW62" s="36"/>
      <c r="FHX62" s="36"/>
      <c r="FHY62" s="36"/>
      <c r="FHZ62" s="36"/>
      <c r="FIA62" s="36"/>
      <c r="FIB62" s="36"/>
      <c r="FIC62" s="36"/>
      <c r="FID62" s="36"/>
      <c r="FIE62" s="36"/>
      <c r="FIF62" s="36"/>
      <c r="FIG62" s="36"/>
      <c r="FIH62" s="36"/>
      <c r="FII62" s="36"/>
      <c r="FIJ62" s="36"/>
      <c r="FIK62" s="36"/>
      <c r="FIL62" s="36"/>
      <c r="FIM62" s="36"/>
      <c r="FIN62" s="36"/>
      <c r="FIO62" s="36"/>
      <c r="FIP62" s="36"/>
      <c r="FIQ62" s="36"/>
      <c r="FIR62" s="36"/>
      <c r="FIS62" s="36"/>
      <c r="FIT62" s="36"/>
      <c r="FIU62" s="36"/>
      <c r="FIV62" s="36"/>
      <c r="FIW62" s="36"/>
      <c r="FIX62" s="36"/>
      <c r="FIY62" s="36"/>
      <c r="FIZ62" s="36"/>
      <c r="FJA62" s="36"/>
      <c r="FJB62" s="36"/>
      <c r="FJC62" s="36"/>
      <c r="FJD62" s="36"/>
      <c r="FJE62" s="36"/>
      <c r="FJF62" s="36"/>
      <c r="FJG62" s="36"/>
      <c r="FJH62" s="36"/>
      <c r="FJI62" s="36"/>
      <c r="FJJ62" s="36"/>
      <c r="FJK62" s="36"/>
      <c r="FJL62" s="36"/>
      <c r="FJM62" s="36"/>
      <c r="FJN62" s="36"/>
      <c r="FJO62" s="36"/>
      <c r="FJP62" s="36"/>
      <c r="FJQ62" s="36"/>
      <c r="FJR62" s="36"/>
      <c r="FJS62" s="36"/>
      <c r="FJT62" s="36"/>
      <c r="FJU62" s="36"/>
      <c r="FJV62" s="36"/>
      <c r="FJW62" s="36"/>
      <c r="FJX62" s="36"/>
      <c r="FJY62" s="36"/>
      <c r="FJZ62" s="36"/>
      <c r="FKA62" s="36"/>
      <c r="FKB62" s="36"/>
      <c r="FKC62" s="36"/>
      <c r="FKD62" s="36"/>
      <c r="FKE62" s="36"/>
      <c r="FKF62" s="36"/>
      <c r="FKG62" s="36"/>
      <c r="FKH62" s="36"/>
      <c r="FKI62" s="36"/>
      <c r="FKJ62" s="36"/>
      <c r="FKK62" s="36"/>
      <c r="FKL62" s="36"/>
      <c r="FKM62" s="36"/>
      <c r="FKN62" s="36"/>
      <c r="FKO62" s="36"/>
      <c r="FKP62" s="36"/>
      <c r="FKQ62" s="36"/>
      <c r="FKR62" s="36"/>
      <c r="FKS62" s="36"/>
      <c r="FKT62" s="36"/>
      <c r="FKU62" s="36"/>
      <c r="FKV62" s="36"/>
      <c r="FKW62" s="36"/>
      <c r="FKX62" s="36"/>
      <c r="FKY62" s="36"/>
      <c r="FKZ62" s="36"/>
      <c r="FLA62" s="36"/>
      <c r="FLB62" s="36"/>
      <c r="FLC62" s="36"/>
      <c r="FLD62" s="36"/>
      <c r="FLE62" s="36"/>
      <c r="FLF62" s="36"/>
      <c r="FLG62" s="36"/>
      <c r="FLH62" s="36"/>
      <c r="FLI62" s="36"/>
      <c r="FLJ62" s="36"/>
      <c r="FLK62" s="36"/>
      <c r="FLL62" s="36"/>
      <c r="FLM62" s="36"/>
      <c r="FLN62" s="36"/>
      <c r="FLO62" s="36"/>
      <c r="FLP62" s="36"/>
      <c r="FLQ62" s="36"/>
      <c r="FLR62" s="36"/>
      <c r="FLS62" s="36"/>
      <c r="FLT62" s="36"/>
      <c r="FLU62" s="36"/>
      <c r="FLV62" s="36"/>
      <c r="FLW62" s="36"/>
      <c r="FLX62" s="36"/>
      <c r="FLY62" s="36"/>
      <c r="FLZ62" s="36"/>
      <c r="FMA62" s="36"/>
      <c r="FMB62" s="36"/>
      <c r="FMC62" s="36"/>
      <c r="FMD62" s="36"/>
      <c r="FME62" s="36"/>
      <c r="FMF62" s="36"/>
      <c r="FMG62" s="36"/>
      <c r="FMH62" s="36"/>
      <c r="FMI62" s="36"/>
      <c r="FMJ62" s="36"/>
      <c r="FMK62" s="36"/>
      <c r="FML62" s="36"/>
      <c r="FMM62" s="36"/>
      <c r="FMN62" s="36"/>
      <c r="FMO62" s="36"/>
      <c r="FMP62" s="36"/>
      <c r="FMQ62" s="36"/>
      <c r="FMR62" s="36"/>
      <c r="FMS62" s="36"/>
      <c r="FMT62" s="36"/>
      <c r="FMU62" s="36"/>
      <c r="FMV62" s="36"/>
      <c r="FMW62" s="36"/>
      <c r="FMX62" s="36"/>
      <c r="FMY62" s="36"/>
      <c r="FMZ62" s="36"/>
      <c r="FNA62" s="36"/>
      <c r="FNB62" s="36"/>
      <c r="FNC62" s="36"/>
      <c r="FND62" s="36"/>
      <c r="FNE62" s="36"/>
      <c r="FNF62" s="36"/>
      <c r="FNG62" s="36"/>
      <c r="FNH62" s="36"/>
      <c r="FNI62" s="36"/>
      <c r="FNJ62" s="36"/>
      <c r="FNK62" s="36"/>
      <c r="FNL62" s="36"/>
      <c r="FNM62" s="36"/>
      <c r="FNN62" s="36"/>
      <c r="FNO62" s="36"/>
      <c r="FNP62" s="36"/>
      <c r="FNQ62" s="36"/>
      <c r="FNR62" s="36"/>
      <c r="FNS62" s="36"/>
      <c r="FNT62" s="36"/>
      <c r="FNU62" s="36"/>
      <c r="FNV62" s="36"/>
      <c r="FNW62" s="36"/>
      <c r="FNX62" s="36"/>
      <c r="FNY62" s="36"/>
      <c r="FNZ62" s="36"/>
      <c r="FOA62" s="36"/>
      <c r="FOB62" s="36"/>
      <c r="FOC62" s="36"/>
      <c r="FOD62" s="36"/>
      <c r="FOE62" s="36"/>
      <c r="FOF62" s="36"/>
      <c r="FOG62" s="36"/>
      <c r="FOH62" s="36"/>
      <c r="FOI62" s="36"/>
      <c r="FOJ62" s="36"/>
      <c r="FOK62" s="36"/>
      <c r="FOL62" s="36"/>
      <c r="FOM62" s="36"/>
      <c r="FON62" s="36"/>
      <c r="FOO62" s="36"/>
      <c r="FOP62" s="36"/>
      <c r="FOQ62" s="36"/>
      <c r="FOR62" s="36"/>
      <c r="FOS62" s="36"/>
      <c r="FOT62" s="36"/>
      <c r="FOU62" s="36"/>
      <c r="FOV62" s="36"/>
      <c r="FOW62" s="36"/>
      <c r="FOX62" s="36"/>
      <c r="FOY62" s="36"/>
      <c r="FOZ62" s="36"/>
      <c r="FPA62" s="36"/>
      <c r="FPB62" s="36"/>
      <c r="FPC62" s="36"/>
      <c r="FPD62" s="36"/>
      <c r="FPE62" s="36"/>
      <c r="FPF62" s="36"/>
      <c r="FPG62" s="36"/>
      <c r="FPH62" s="36"/>
      <c r="FPI62" s="36"/>
      <c r="FPJ62" s="36"/>
      <c r="FPK62" s="36"/>
      <c r="FPL62" s="36"/>
      <c r="FPM62" s="36"/>
      <c r="FPN62" s="36"/>
      <c r="FPO62" s="36"/>
      <c r="FPP62" s="36"/>
      <c r="FPQ62" s="36"/>
      <c r="FPR62" s="36"/>
      <c r="FPS62" s="36"/>
      <c r="FPT62" s="36"/>
      <c r="FPU62" s="36"/>
      <c r="FPV62" s="36"/>
      <c r="FPW62" s="36"/>
      <c r="FPX62" s="36"/>
      <c r="FPY62" s="36"/>
      <c r="FPZ62" s="36"/>
      <c r="FQA62" s="36"/>
      <c r="FQB62" s="36"/>
      <c r="FQC62" s="36"/>
      <c r="FQD62" s="36"/>
      <c r="FQE62" s="36"/>
      <c r="FQF62" s="36"/>
      <c r="FQG62" s="36"/>
      <c r="FQH62" s="36"/>
      <c r="FQI62" s="36"/>
      <c r="FQJ62" s="36"/>
      <c r="FQK62" s="36"/>
      <c r="FQL62" s="36"/>
      <c r="FQM62" s="36"/>
      <c r="FQN62" s="36"/>
      <c r="FQO62" s="36"/>
      <c r="FQP62" s="36"/>
      <c r="FQQ62" s="36"/>
      <c r="FQR62" s="36"/>
      <c r="FQS62" s="36"/>
      <c r="FQT62" s="36"/>
      <c r="FQU62" s="36"/>
      <c r="FQV62" s="36"/>
      <c r="FQW62" s="36"/>
      <c r="FQX62" s="36"/>
      <c r="FQY62" s="36"/>
      <c r="FQZ62" s="36"/>
      <c r="FRA62" s="36"/>
      <c r="FRB62" s="36"/>
      <c r="FRC62" s="36"/>
      <c r="FRD62" s="36"/>
      <c r="FRE62" s="36"/>
      <c r="FRF62" s="36"/>
      <c r="FRG62" s="36"/>
      <c r="FRH62" s="36"/>
      <c r="FRI62" s="36"/>
      <c r="FRJ62" s="36"/>
      <c r="FRK62" s="36"/>
      <c r="FRL62" s="36"/>
      <c r="FRM62" s="36"/>
      <c r="FRN62" s="36"/>
      <c r="FRO62" s="36"/>
      <c r="FRP62" s="36"/>
      <c r="FRQ62" s="36"/>
      <c r="FRR62" s="36"/>
      <c r="FRS62" s="36"/>
      <c r="FRT62" s="36"/>
      <c r="FRU62" s="36"/>
      <c r="FRV62" s="36"/>
      <c r="FRW62" s="36"/>
      <c r="FRX62" s="36"/>
      <c r="FRY62" s="36"/>
      <c r="FRZ62" s="36"/>
      <c r="FSA62" s="36"/>
      <c r="FSB62" s="36"/>
      <c r="FSC62" s="36"/>
      <c r="FSD62" s="36"/>
      <c r="FSE62" s="36"/>
      <c r="FSF62" s="36"/>
      <c r="FSG62" s="36"/>
      <c r="FSH62" s="36"/>
      <c r="FSI62" s="36"/>
      <c r="FSJ62" s="36"/>
      <c r="FSK62" s="36"/>
      <c r="FSL62" s="36"/>
      <c r="FSM62" s="36"/>
      <c r="FSN62" s="36"/>
      <c r="FSO62" s="36"/>
      <c r="FSP62" s="36"/>
      <c r="FSQ62" s="36"/>
      <c r="FSR62" s="36"/>
      <c r="FSS62" s="36"/>
      <c r="FST62" s="36"/>
      <c r="FSU62" s="36"/>
      <c r="FSV62" s="36"/>
      <c r="FSW62" s="36"/>
      <c r="FSX62" s="36"/>
      <c r="FSY62" s="36"/>
      <c r="FSZ62" s="36"/>
      <c r="FTA62" s="36"/>
      <c r="FTB62" s="36"/>
      <c r="FTC62" s="36"/>
      <c r="FTD62" s="36"/>
      <c r="FTE62" s="36"/>
      <c r="FTF62" s="36"/>
      <c r="FTG62" s="36"/>
      <c r="FTH62" s="36"/>
      <c r="FTI62" s="36"/>
      <c r="FTJ62" s="36"/>
      <c r="FTK62" s="36"/>
      <c r="FTL62" s="36"/>
      <c r="FTM62" s="36"/>
      <c r="FTN62" s="36"/>
      <c r="FTO62" s="36"/>
      <c r="FTP62" s="36"/>
      <c r="FTQ62" s="36"/>
      <c r="FTR62" s="36"/>
      <c r="FTS62" s="36"/>
      <c r="FTT62" s="36"/>
      <c r="FTU62" s="36"/>
      <c r="FTV62" s="36"/>
      <c r="FTW62" s="36"/>
      <c r="FTX62" s="36"/>
      <c r="FTY62" s="36"/>
      <c r="FTZ62" s="36"/>
      <c r="FUA62" s="36"/>
      <c r="FUB62" s="36"/>
      <c r="FUC62" s="36"/>
      <c r="FUD62" s="36"/>
      <c r="FUE62" s="36"/>
      <c r="FUF62" s="36"/>
      <c r="FUG62" s="36"/>
      <c r="FUH62" s="36"/>
      <c r="FUI62" s="36"/>
      <c r="FUJ62" s="36"/>
      <c r="FUK62" s="36"/>
      <c r="FUL62" s="36"/>
      <c r="FUM62" s="36"/>
      <c r="FUN62" s="36"/>
      <c r="FUO62" s="36"/>
      <c r="FUP62" s="36"/>
      <c r="FUQ62" s="36"/>
      <c r="FUR62" s="36"/>
      <c r="FUS62" s="36"/>
      <c r="FUT62" s="36"/>
      <c r="FUU62" s="36"/>
      <c r="FUV62" s="36"/>
      <c r="FUW62" s="36"/>
      <c r="FUX62" s="36"/>
      <c r="FUY62" s="36"/>
      <c r="FUZ62" s="36"/>
      <c r="FVA62" s="36"/>
      <c r="FVB62" s="36"/>
      <c r="FVC62" s="36"/>
      <c r="FVD62" s="36"/>
      <c r="FVE62" s="36"/>
      <c r="FVF62" s="36"/>
      <c r="FVG62" s="36"/>
      <c r="FVH62" s="36"/>
      <c r="FVI62" s="36"/>
      <c r="FVJ62" s="36"/>
      <c r="FVK62" s="36"/>
      <c r="FVL62" s="36"/>
      <c r="FVM62" s="36"/>
      <c r="FVN62" s="36"/>
      <c r="FVO62" s="36"/>
      <c r="FVP62" s="36"/>
      <c r="FVQ62" s="36"/>
      <c r="FVR62" s="36"/>
      <c r="FVS62" s="36"/>
      <c r="FVT62" s="36"/>
      <c r="FVU62" s="36"/>
      <c r="FVV62" s="36"/>
      <c r="FVW62" s="36"/>
      <c r="FVX62" s="36"/>
      <c r="FVY62" s="36"/>
      <c r="FVZ62" s="36"/>
      <c r="FWA62" s="36"/>
      <c r="FWB62" s="36"/>
      <c r="FWC62" s="36"/>
      <c r="FWD62" s="36"/>
      <c r="FWE62" s="36"/>
      <c r="FWF62" s="36"/>
      <c r="FWG62" s="36"/>
      <c r="FWH62" s="36"/>
      <c r="FWI62" s="36"/>
      <c r="FWJ62" s="36"/>
      <c r="FWK62" s="36"/>
      <c r="FWL62" s="36"/>
      <c r="FWM62" s="36"/>
      <c r="FWN62" s="36"/>
      <c r="FWO62" s="36"/>
      <c r="FWP62" s="36"/>
      <c r="FWQ62" s="36"/>
      <c r="FWR62" s="36"/>
      <c r="FWS62" s="36"/>
      <c r="FWT62" s="36"/>
      <c r="FWU62" s="36"/>
      <c r="FWV62" s="36"/>
      <c r="FWW62" s="36"/>
      <c r="FWX62" s="36"/>
      <c r="FWY62" s="36"/>
      <c r="FWZ62" s="36"/>
      <c r="FXA62" s="36"/>
      <c r="FXB62" s="36"/>
      <c r="FXC62" s="36"/>
      <c r="FXD62" s="36"/>
      <c r="FXE62" s="36"/>
      <c r="FXF62" s="36"/>
      <c r="FXG62" s="36"/>
      <c r="FXH62" s="36"/>
      <c r="FXI62" s="36"/>
      <c r="FXJ62" s="36"/>
      <c r="FXK62" s="36"/>
      <c r="FXL62" s="36"/>
      <c r="FXM62" s="36"/>
      <c r="FXN62" s="36"/>
      <c r="FXO62" s="36"/>
      <c r="FXP62" s="36"/>
      <c r="FXQ62" s="36"/>
      <c r="FXR62" s="36"/>
      <c r="FXS62" s="36"/>
      <c r="FXT62" s="36"/>
      <c r="FXU62" s="36"/>
      <c r="FXV62" s="36"/>
      <c r="FXW62" s="36"/>
      <c r="FXX62" s="36"/>
      <c r="FXY62" s="36"/>
      <c r="FXZ62" s="36"/>
      <c r="FYA62" s="36"/>
      <c r="FYB62" s="36"/>
      <c r="FYC62" s="36"/>
      <c r="FYD62" s="36"/>
      <c r="FYE62" s="36"/>
      <c r="FYF62" s="36"/>
      <c r="FYG62" s="36"/>
      <c r="FYH62" s="36"/>
      <c r="FYI62" s="36"/>
      <c r="FYJ62" s="36"/>
      <c r="FYK62" s="36"/>
      <c r="FYL62" s="36"/>
      <c r="FYM62" s="36"/>
      <c r="FYN62" s="36"/>
      <c r="FYO62" s="36"/>
      <c r="FYP62" s="36"/>
      <c r="FYQ62" s="36"/>
      <c r="FYR62" s="36"/>
      <c r="FYS62" s="36"/>
      <c r="FYT62" s="36"/>
      <c r="FYU62" s="36"/>
      <c r="FYV62" s="36"/>
      <c r="FYW62" s="36"/>
      <c r="FYX62" s="36"/>
      <c r="FYY62" s="36"/>
      <c r="FYZ62" s="36"/>
      <c r="FZA62" s="36"/>
      <c r="FZB62" s="36"/>
      <c r="FZC62" s="36"/>
      <c r="FZD62" s="36"/>
      <c r="FZE62" s="36"/>
      <c r="FZF62" s="36"/>
      <c r="FZG62" s="36"/>
      <c r="FZH62" s="36"/>
      <c r="FZI62" s="36"/>
      <c r="FZJ62" s="36"/>
      <c r="FZK62" s="36"/>
      <c r="FZL62" s="36"/>
      <c r="FZM62" s="36"/>
      <c r="FZN62" s="36"/>
      <c r="FZO62" s="36"/>
      <c r="FZP62" s="36"/>
      <c r="FZQ62" s="36"/>
      <c r="FZR62" s="36"/>
      <c r="FZS62" s="36"/>
      <c r="FZT62" s="36"/>
      <c r="FZU62" s="36"/>
      <c r="FZV62" s="36"/>
      <c r="FZW62" s="36"/>
      <c r="FZX62" s="36"/>
      <c r="FZY62" s="36"/>
      <c r="FZZ62" s="36"/>
      <c r="GAA62" s="36"/>
      <c r="GAB62" s="36"/>
      <c r="GAC62" s="36"/>
      <c r="GAD62" s="36"/>
      <c r="GAE62" s="36"/>
      <c r="GAF62" s="36"/>
      <c r="GAG62" s="36"/>
      <c r="GAH62" s="36"/>
      <c r="GAI62" s="36"/>
      <c r="GAJ62" s="36"/>
      <c r="GAK62" s="36"/>
      <c r="GAL62" s="36"/>
      <c r="GAM62" s="36"/>
      <c r="GAN62" s="36"/>
      <c r="GAO62" s="36"/>
      <c r="GAP62" s="36"/>
      <c r="GAQ62" s="36"/>
      <c r="GAR62" s="36"/>
      <c r="GAS62" s="36"/>
      <c r="GAT62" s="36"/>
      <c r="GAU62" s="36"/>
      <c r="GAV62" s="36"/>
      <c r="GAW62" s="36"/>
      <c r="GAX62" s="36"/>
      <c r="GAY62" s="36"/>
      <c r="GAZ62" s="36"/>
      <c r="GBA62" s="36"/>
      <c r="GBB62" s="36"/>
      <c r="GBC62" s="36"/>
      <c r="GBD62" s="36"/>
      <c r="GBE62" s="36"/>
      <c r="GBF62" s="36"/>
      <c r="GBG62" s="36"/>
      <c r="GBH62" s="36"/>
      <c r="GBI62" s="36"/>
      <c r="GBJ62" s="36"/>
      <c r="GBK62" s="36"/>
      <c r="GBL62" s="36"/>
      <c r="GBM62" s="36"/>
      <c r="GBN62" s="36"/>
      <c r="GBO62" s="36"/>
      <c r="GBP62" s="36"/>
      <c r="GBQ62" s="36"/>
      <c r="GBR62" s="36"/>
      <c r="GBS62" s="36"/>
      <c r="GBT62" s="36"/>
      <c r="GBU62" s="36"/>
      <c r="GBV62" s="36"/>
      <c r="GBW62" s="36"/>
      <c r="GBX62" s="36"/>
      <c r="GBY62" s="36"/>
      <c r="GBZ62" s="36"/>
      <c r="GCA62" s="36"/>
      <c r="GCB62" s="36"/>
      <c r="GCC62" s="36"/>
      <c r="GCD62" s="36"/>
      <c r="GCE62" s="36"/>
      <c r="GCF62" s="36"/>
      <c r="GCG62" s="36"/>
      <c r="GCH62" s="36"/>
      <c r="GCI62" s="36"/>
      <c r="GCJ62" s="36"/>
      <c r="GCK62" s="36"/>
      <c r="GCL62" s="36"/>
      <c r="GCM62" s="36"/>
      <c r="GCN62" s="36"/>
      <c r="GCO62" s="36"/>
      <c r="GCP62" s="36"/>
      <c r="GCQ62" s="36"/>
      <c r="GCR62" s="36"/>
      <c r="GCS62" s="36"/>
      <c r="GCT62" s="36"/>
      <c r="GCU62" s="36"/>
      <c r="GCV62" s="36"/>
      <c r="GCW62" s="36"/>
      <c r="GCX62" s="36"/>
      <c r="GCY62" s="36"/>
      <c r="GCZ62" s="36"/>
      <c r="GDA62" s="36"/>
      <c r="GDB62" s="36"/>
      <c r="GDC62" s="36"/>
      <c r="GDD62" s="36"/>
      <c r="GDE62" s="36"/>
      <c r="GDF62" s="36"/>
      <c r="GDG62" s="36"/>
      <c r="GDH62" s="36"/>
      <c r="GDI62" s="36"/>
      <c r="GDJ62" s="36"/>
      <c r="GDK62" s="36"/>
      <c r="GDL62" s="36"/>
      <c r="GDM62" s="36"/>
      <c r="GDN62" s="36"/>
      <c r="GDO62" s="36"/>
      <c r="GDP62" s="36"/>
      <c r="GDQ62" s="36"/>
      <c r="GDR62" s="36"/>
      <c r="GDS62" s="36"/>
      <c r="GDT62" s="36"/>
      <c r="GDU62" s="36"/>
      <c r="GDV62" s="36"/>
      <c r="GDW62" s="36"/>
      <c r="GDX62" s="36"/>
      <c r="GDY62" s="36"/>
      <c r="GDZ62" s="36"/>
      <c r="GEA62" s="36"/>
      <c r="GEB62" s="36"/>
      <c r="GEC62" s="36"/>
      <c r="GED62" s="36"/>
      <c r="GEE62" s="36"/>
      <c r="GEF62" s="36"/>
      <c r="GEG62" s="36"/>
      <c r="GEH62" s="36"/>
      <c r="GEI62" s="36"/>
      <c r="GEJ62" s="36"/>
      <c r="GEK62" s="36"/>
      <c r="GEL62" s="36"/>
      <c r="GEM62" s="36"/>
      <c r="GEN62" s="36"/>
      <c r="GEO62" s="36"/>
      <c r="GEP62" s="36"/>
      <c r="GEQ62" s="36"/>
      <c r="GER62" s="36"/>
      <c r="GES62" s="36"/>
      <c r="GET62" s="36"/>
      <c r="GEU62" s="36"/>
      <c r="GEV62" s="36"/>
      <c r="GEW62" s="36"/>
      <c r="GEX62" s="36"/>
      <c r="GEY62" s="36"/>
      <c r="GEZ62" s="36"/>
      <c r="GFA62" s="36"/>
      <c r="GFB62" s="36"/>
      <c r="GFC62" s="36"/>
      <c r="GFD62" s="36"/>
      <c r="GFE62" s="36"/>
      <c r="GFF62" s="36"/>
      <c r="GFG62" s="36"/>
      <c r="GFH62" s="36"/>
      <c r="GFI62" s="36"/>
      <c r="GFJ62" s="36"/>
      <c r="GFK62" s="36"/>
      <c r="GFL62" s="36"/>
      <c r="GFM62" s="36"/>
      <c r="GFN62" s="36"/>
      <c r="GFO62" s="36"/>
      <c r="GFP62" s="36"/>
      <c r="GFQ62" s="36"/>
      <c r="GFR62" s="36"/>
      <c r="GFS62" s="36"/>
      <c r="GFT62" s="36"/>
      <c r="GFU62" s="36"/>
      <c r="GFV62" s="36"/>
      <c r="GFW62" s="36"/>
      <c r="GFX62" s="36"/>
      <c r="GFY62" s="36"/>
      <c r="GFZ62" s="36"/>
      <c r="GGA62" s="36"/>
      <c r="GGB62" s="36"/>
      <c r="GGC62" s="36"/>
      <c r="GGD62" s="36"/>
      <c r="GGE62" s="36"/>
      <c r="GGF62" s="36"/>
      <c r="GGG62" s="36"/>
      <c r="GGH62" s="36"/>
      <c r="GGI62" s="36"/>
      <c r="GGJ62" s="36"/>
      <c r="GGK62" s="36"/>
      <c r="GGL62" s="36"/>
      <c r="GGM62" s="36"/>
      <c r="GGN62" s="36"/>
      <c r="GGO62" s="36"/>
      <c r="GGP62" s="36"/>
      <c r="GGQ62" s="36"/>
      <c r="GGR62" s="36"/>
      <c r="GGS62" s="36"/>
      <c r="GGT62" s="36"/>
      <c r="GGU62" s="36"/>
      <c r="GGV62" s="36"/>
      <c r="GGW62" s="36"/>
      <c r="GGX62" s="36"/>
      <c r="GGY62" s="36"/>
      <c r="GGZ62" s="36"/>
      <c r="GHA62" s="36"/>
      <c r="GHB62" s="36"/>
      <c r="GHC62" s="36"/>
      <c r="GHD62" s="36"/>
      <c r="GHE62" s="36"/>
      <c r="GHF62" s="36"/>
      <c r="GHG62" s="36"/>
      <c r="GHH62" s="36"/>
      <c r="GHI62" s="36"/>
      <c r="GHJ62" s="36"/>
      <c r="GHK62" s="36"/>
      <c r="GHL62" s="36"/>
      <c r="GHM62" s="36"/>
      <c r="GHN62" s="36"/>
      <c r="GHO62" s="36"/>
      <c r="GHP62" s="36"/>
      <c r="GHQ62" s="36"/>
      <c r="GHR62" s="36"/>
      <c r="GHS62" s="36"/>
      <c r="GHT62" s="36"/>
      <c r="GHU62" s="36"/>
      <c r="GHV62" s="36"/>
      <c r="GHW62" s="36"/>
      <c r="GHX62" s="36"/>
      <c r="GHY62" s="36"/>
      <c r="GHZ62" s="36"/>
      <c r="GIA62" s="36"/>
      <c r="GIB62" s="36"/>
      <c r="GIC62" s="36"/>
      <c r="GID62" s="36"/>
      <c r="GIE62" s="36"/>
      <c r="GIF62" s="36"/>
      <c r="GIG62" s="36"/>
      <c r="GIH62" s="36"/>
      <c r="GII62" s="36"/>
      <c r="GIJ62" s="36"/>
      <c r="GIK62" s="36"/>
      <c r="GIL62" s="36"/>
      <c r="GIM62" s="36"/>
      <c r="GIN62" s="36"/>
      <c r="GIO62" s="36"/>
      <c r="GIP62" s="36"/>
      <c r="GIQ62" s="36"/>
      <c r="GIR62" s="36"/>
      <c r="GIS62" s="36"/>
      <c r="GIT62" s="36"/>
      <c r="GIU62" s="36"/>
      <c r="GIV62" s="36"/>
      <c r="GIW62" s="36"/>
      <c r="GIX62" s="36"/>
      <c r="GIY62" s="36"/>
      <c r="GIZ62" s="36"/>
      <c r="GJA62" s="36"/>
      <c r="GJB62" s="36"/>
      <c r="GJC62" s="36"/>
      <c r="GJD62" s="36"/>
      <c r="GJE62" s="36"/>
      <c r="GJF62" s="36"/>
      <c r="GJG62" s="36"/>
      <c r="GJH62" s="36"/>
      <c r="GJI62" s="36"/>
      <c r="GJJ62" s="36"/>
      <c r="GJK62" s="36"/>
      <c r="GJL62" s="36"/>
      <c r="GJM62" s="36"/>
      <c r="GJN62" s="36"/>
      <c r="GJO62" s="36"/>
      <c r="GJP62" s="36"/>
      <c r="GJQ62" s="36"/>
      <c r="GJR62" s="36"/>
      <c r="GJS62" s="36"/>
      <c r="GJT62" s="36"/>
      <c r="GJU62" s="36"/>
      <c r="GJV62" s="36"/>
      <c r="GJW62" s="36"/>
      <c r="GJX62" s="36"/>
      <c r="GJY62" s="36"/>
      <c r="GJZ62" s="36"/>
      <c r="GKA62" s="36"/>
      <c r="GKB62" s="36"/>
      <c r="GKC62" s="36"/>
      <c r="GKD62" s="36"/>
      <c r="GKE62" s="36"/>
      <c r="GKF62" s="36"/>
      <c r="GKG62" s="36"/>
      <c r="GKH62" s="36"/>
      <c r="GKI62" s="36"/>
      <c r="GKJ62" s="36"/>
      <c r="GKK62" s="36"/>
      <c r="GKL62" s="36"/>
      <c r="GKM62" s="36"/>
      <c r="GKN62" s="36"/>
      <c r="GKO62" s="36"/>
      <c r="GKP62" s="36"/>
      <c r="GKQ62" s="36"/>
      <c r="GKR62" s="36"/>
      <c r="GKS62" s="36"/>
      <c r="GKT62" s="36"/>
      <c r="GKU62" s="36"/>
      <c r="GKV62" s="36"/>
      <c r="GKW62" s="36"/>
      <c r="GKX62" s="36"/>
      <c r="GKY62" s="36"/>
      <c r="GKZ62" s="36"/>
      <c r="GLA62" s="36"/>
      <c r="GLB62" s="36"/>
      <c r="GLC62" s="36"/>
      <c r="GLD62" s="36"/>
      <c r="GLE62" s="36"/>
      <c r="GLF62" s="36"/>
      <c r="GLG62" s="36"/>
      <c r="GLH62" s="36"/>
      <c r="GLI62" s="36"/>
      <c r="GLJ62" s="36"/>
      <c r="GLK62" s="36"/>
      <c r="GLL62" s="36"/>
      <c r="GLM62" s="36"/>
      <c r="GLN62" s="36"/>
      <c r="GLO62" s="36"/>
      <c r="GLP62" s="36"/>
      <c r="GLQ62" s="36"/>
      <c r="GLR62" s="36"/>
      <c r="GLS62" s="36"/>
      <c r="GLT62" s="36"/>
      <c r="GLU62" s="36"/>
      <c r="GLV62" s="36"/>
      <c r="GLW62" s="36"/>
      <c r="GLX62" s="36"/>
      <c r="GLY62" s="36"/>
      <c r="GLZ62" s="36"/>
      <c r="GMA62" s="36"/>
      <c r="GMB62" s="36"/>
      <c r="GMC62" s="36"/>
      <c r="GMD62" s="36"/>
      <c r="GME62" s="36"/>
      <c r="GMF62" s="36"/>
      <c r="GMG62" s="36"/>
      <c r="GMH62" s="36"/>
      <c r="GMI62" s="36"/>
      <c r="GMJ62" s="36"/>
      <c r="GMK62" s="36"/>
      <c r="GML62" s="36"/>
      <c r="GMM62" s="36"/>
      <c r="GMN62" s="36"/>
      <c r="GMO62" s="36"/>
      <c r="GMP62" s="36"/>
      <c r="GMQ62" s="36"/>
      <c r="GMR62" s="36"/>
      <c r="GMS62" s="36"/>
      <c r="GMT62" s="36"/>
      <c r="GMU62" s="36"/>
      <c r="GMV62" s="36"/>
      <c r="GMW62" s="36"/>
      <c r="GMX62" s="36"/>
      <c r="GMY62" s="36"/>
      <c r="GMZ62" s="36"/>
      <c r="GNA62" s="36"/>
      <c r="GNB62" s="36"/>
      <c r="GNC62" s="36"/>
      <c r="GND62" s="36"/>
      <c r="GNE62" s="36"/>
      <c r="GNF62" s="36"/>
      <c r="GNG62" s="36"/>
      <c r="GNH62" s="36"/>
      <c r="GNI62" s="36"/>
      <c r="GNJ62" s="36"/>
      <c r="GNK62" s="36"/>
      <c r="GNL62" s="36"/>
      <c r="GNM62" s="36"/>
      <c r="GNN62" s="36"/>
      <c r="GNO62" s="36"/>
      <c r="GNP62" s="36"/>
      <c r="GNQ62" s="36"/>
      <c r="GNR62" s="36"/>
      <c r="GNS62" s="36"/>
      <c r="GNT62" s="36"/>
      <c r="GNU62" s="36"/>
      <c r="GNV62" s="36"/>
      <c r="GNW62" s="36"/>
      <c r="GNX62" s="36"/>
      <c r="GNY62" s="36"/>
      <c r="GNZ62" s="36"/>
      <c r="GOA62" s="36"/>
      <c r="GOB62" s="36"/>
      <c r="GOC62" s="36"/>
      <c r="GOD62" s="36"/>
      <c r="GOE62" s="36"/>
      <c r="GOF62" s="36"/>
      <c r="GOG62" s="36"/>
      <c r="GOH62" s="36"/>
      <c r="GOI62" s="36"/>
      <c r="GOJ62" s="36"/>
      <c r="GOK62" s="36"/>
      <c r="GOL62" s="36"/>
      <c r="GOM62" s="36"/>
      <c r="GON62" s="36"/>
      <c r="GOO62" s="36"/>
      <c r="GOP62" s="36"/>
      <c r="GOQ62" s="36"/>
      <c r="GOR62" s="36"/>
      <c r="GOS62" s="36"/>
      <c r="GOT62" s="36"/>
      <c r="GOU62" s="36"/>
      <c r="GOV62" s="36"/>
      <c r="GOW62" s="36"/>
      <c r="GOX62" s="36"/>
      <c r="GOY62" s="36"/>
      <c r="GOZ62" s="36"/>
      <c r="GPA62" s="36"/>
      <c r="GPB62" s="36"/>
      <c r="GPC62" s="36"/>
      <c r="GPD62" s="36"/>
      <c r="GPE62" s="36"/>
      <c r="GPF62" s="36"/>
      <c r="GPG62" s="36"/>
      <c r="GPH62" s="36"/>
      <c r="GPI62" s="36"/>
      <c r="GPJ62" s="36"/>
      <c r="GPK62" s="36"/>
      <c r="GPL62" s="36"/>
      <c r="GPM62" s="36"/>
      <c r="GPN62" s="36"/>
      <c r="GPO62" s="36"/>
      <c r="GPP62" s="36"/>
      <c r="GPQ62" s="36"/>
      <c r="GPR62" s="36"/>
      <c r="GPS62" s="36"/>
      <c r="GPT62" s="36"/>
      <c r="GPU62" s="36"/>
      <c r="GPV62" s="36"/>
      <c r="GPW62" s="36"/>
      <c r="GPX62" s="36"/>
      <c r="GPY62" s="36"/>
      <c r="GPZ62" s="36"/>
      <c r="GQA62" s="36"/>
      <c r="GQB62" s="36"/>
      <c r="GQC62" s="36"/>
      <c r="GQD62" s="36"/>
      <c r="GQE62" s="36"/>
      <c r="GQF62" s="36"/>
      <c r="GQG62" s="36"/>
      <c r="GQH62" s="36"/>
      <c r="GQI62" s="36"/>
      <c r="GQJ62" s="36"/>
      <c r="GQK62" s="36"/>
      <c r="GQL62" s="36"/>
      <c r="GQM62" s="36"/>
      <c r="GQN62" s="36"/>
      <c r="GQO62" s="36"/>
      <c r="GQP62" s="36"/>
      <c r="GQQ62" s="36"/>
      <c r="GQR62" s="36"/>
      <c r="GQS62" s="36"/>
      <c r="GQT62" s="36"/>
      <c r="GQU62" s="36"/>
      <c r="GQV62" s="36"/>
      <c r="GQW62" s="36"/>
      <c r="GQX62" s="36"/>
      <c r="GQY62" s="36"/>
      <c r="GQZ62" s="36"/>
      <c r="GRA62" s="36"/>
      <c r="GRB62" s="36"/>
      <c r="GRC62" s="36"/>
      <c r="GRD62" s="36"/>
      <c r="GRE62" s="36"/>
      <c r="GRF62" s="36"/>
      <c r="GRG62" s="36"/>
      <c r="GRH62" s="36"/>
      <c r="GRI62" s="36"/>
      <c r="GRJ62" s="36"/>
      <c r="GRK62" s="36"/>
      <c r="GRL62" s="36"/>
      <c r="GRM62" s="36"/>
      <c r="GRN62" s="36"/>
      <c r="GRO62" s="36"/>
      <c r="GRP62" s="36"/>
      <c r="GRQ62" s="36"/>
      <c r="GRR62" s="36"/>
      <c r="GRS62" s="36"/>
      <c r="GRT62" s="36"/>
      <c r="GRU62" s="36"/>
      <c r="GRV62" s="36"/>
      <c r="GRW62" s="36"/>
      <c r="GRX62" s="36"/>
      <c r="GRY62" s="36"/>
      <c r="GRZ62" s="36"/>
      <c r="GSA62" s="36"/>
      <c r="GSB62" s="36"/>
      <c r="GSC62" s="36"/>
      <c r="GSD62" s="36"/>
      <c r="GSE62" s="36"/>
      <c r="GSF62" s="36"/>
      <c r="GSG62" s="36"/>
      <c r="GSH62" s="36"/>
      <c r="GSI62" s="36"/>
      <c r="GSJ62" s="36"/>
      <c r="GSK62" s="36"/>
      <c r="GSL62" s="36"/>
      <c r="GSM62" s="36"/>
      <c r="GSN62" s="36"/>
      <c r="GSO62" s="36"/>
      <c r="GSP62" s="36"/>
      <c r="GSQ62" s="36"/>
      <c r="GSR62" s="36"/>
      <c r="GSS62" s="36"/>
      <c r="GST62" s="36"/>
      <c r="GSU62" s="36"/>
      <c r="GSV62" s="36"/>
      <c r="GSW62" s="36"/>
      <c r="GSX62" s="36"/>
      <c r="GSY62" s="36"/>
      <c r="GSZ62" s="36"/>
      <c r="GTA62" s="36"/>
      <c r="GTB62" s="36"/>
      <c r="GTC62" s="36"/>
      <c r="GTD62" s="36"/>
      <c r="GTE62" s="36"/>
      <c r="GTF62" s="36"/>
      <c r="GTG62" s="36"/>
      <c r="GTH62" s="36"/>
      <c r="GTI62" s="36"/>
      <c r="GTJ62" s="36"/>
      <c r="GTK62" s="36"/>
      <c r="GTL62" s="36"/>
      <c r="GTM62" s="36"/>
      <c r="GTN62" s="36"/>
      <c r="GTO62" s="36"/>
      <c r="GTP62" s="36"/>
      <c r="GTQ62" s="36"/>
      <c r="GTR62" s="36"/>
      <c r="GTS62" s="36"/>
      <c r="GTT62" s="36"/>
      <c r="GTU62" s="36"/>
      <c r="GTV62" s="36"/>
      <c r="GTW62" s="36"/>
      <c r="GTX62" s="36"/>
      <c r="GTY62" s="36"/>
      <c r="GTZ62" s="36"/>
      <c r="GUA62" s="36"/>
      <c r="GUB62" s="36"/>
      <c r="GUC62" s="36"/>
      <c r="GUD62" s="36"/>
      <c r="GUE62" s="36"/>
      <c r="GUF62" s="36"/>
      <c r="GUG62" s="36"/>
      <c r="GUH62" s="36"/>
      <c r="GUI62" s="36"/>
      <c r="GUJ62" s="36"/>
      <c r="GUK62" s="36"/>
      <c r="GUL62" s="36"/>
      <c r="GUM62" s="36"/>
      <c r="GUN62" s="36"/>
      <c r="GUO62" s="36"/>
      <c r="GUP62" s="36"/>
      <c r="GUQ62" s="36"/>
      <c r="GUR62" s="36"/>
      <c r="GUS62" s="36"/>
      <c r="GUT62" s="36"/>
      <c r="GUU62" s="36"/>
      <c r="GUV62" s="36"/>
      <c r="GUW62" s="36"/>
      <c r="GUX62" s="36"/>
      <c r="GUY62" s="36"/>
      <c r="GUZ62" s="36"/>
      <c r="GVA62" s="36"/>
      <c r="GVB62" s="36"/>
      <c r="GVC62" s="36"/>
      <c r="GVD62" s="36"/>
      <c r="GVE62" s="36"/>
      <c r="GVF62" s="36"/>
      <c r="GVG62" s="36"/>
      <c r="GVH62" s="36"/>
      <c r="GVI62" s="36"/>
      <c r="GVJ62" s="36"/>
      <c r="GVK62" s="36"/>
      <c r="GVL62" s="36"/>
      <c r="GVM62" s="36"/>
      <c r="GVN62" s="36"/>
      <c r="GVO62" s="36"/>
      <c r="GVP62" s="36"/>
      <c r="GVQ62" s="36"/>
      <c r="GVR62" s="36"/>
      <c r="GVS62" s="36"/>
      <c r="GVT62" s="36"/>
      <c r="GVU62" s="36"/>
      <c r="GVV62" s="36"/>
      <c r="GVW62" s="36"/>
      <c r="GVX62" s="36"/>
      <c r="GVY62" s="36"/>
      <c r="GVZ62" s="36"/>
      <c r="GWA62" s="36"/>
      <c r="GWB62" s="36"/>
      <c r="GWC62" s="36"/>
      <c r="GWD62" s="36"/>
      <c r="GWE62" s="36"/>
      <c r="GWF62" s="36"/>
      <c r="GWG62" s="36"/>
      <c r="GWH62" s="36"/>
      <c r="GWI62" s="36"/>
      <c r="GWJ62" s="36"/>
      <c r="GWK62" s="36"/>
      <c r="GWL62" s="36"/>
      <c r="GWM62" s="36"/>
      <c r="GWN62" s="36"/>
      <c r="GWO62" s="36"/>
      <c r="GWP62" s="36"/>
      <c r="GWQ62" s="36"/>
      <c r="GWR62" s="36"/>
      <c r="GWS62" s="36"/>
      <c r="GWT62" s="36"/>
      <c r="GWU62" s="36"/>
      <c r="GWV62" s="36"/>
      <c r="GWW62" s="36"/>
      <c r="GWX62" s="36"/>
      <c r="GWY62" s="36"/>
      <c r="GWZ62" s="36"/>
      <c r="GXA62" s="36"/>
      <c r="GXB62" s="36"/>
      <c r="GXC62" s="36"/>
      <c r="GXD62" s="36"/>
      <c r="GXE62" s="36"/>
      <c r="GXF62" s="36"/>
      <c r="GXG62" s="36"/>
      <c r="GXH62" s="36"/>
      <c r="GXI62" s="36"/>
      <c r="GXJ62" s="36"/>
      <c r="GXK62" s="36"/>
      <c r="GXL62" s="36"/>
      <c r="GXM62" s="36"/>
      <c r="GXN62" s="36"/>
      <c r="GXO62" s="36"/>
      <c r="GXP62" s="36"/>
      <c r="GXQ62" s="36"/>
      <c r="GXR62" s="36"/>
      <c r="GXS62" s="36"/>
      <c r="GXT62" s="36"/>
      <c r="GXU62" s="36"/>
      <c r="GXV62" s="36"/>
      <c r="GXW62" s="36"/>
      <c r="GXX62" s="36"/>
      <c r="GXY62" s="36"/>
      <c r="GXZ62" s="36"/>
      <c r="GYA62" s="36"/>
      <c r="GYB62" s="36"/>
      <c r="GYC62" s="36"/>
      <c r="GYD62" s="36"/>
      <c r="GYE62" s="36"/>
      <c r="GYF62" s="36"/>
      <c r="GYG62" s="36"/>
      <c r="GYH62" s="36"/>
      <c r="GYI62" s="36"/>
      <c r="GYJ62" s="36"/>
      <c r="GYK62" s="36"/>
      <c r="GYL62" s="36"/>
      <c r="GYM62" s="36"/>
      <c r="GYN62" s="36"/>
      <c r="GYO62" s="36"/>
      <c r="GYP62" s="36"/>
      <c r="GYQ62" s="36"/>
      <c r="GYR62" s="36"/>
      <c r="GYS62" s="36"/>
      <c r="GYT62" s="36"/>
      <c r="GYU62" s="36"/>
      <c r="GYV62" s="36"/>
      <c r="GYW62" s="36"/>
      <c r="GYX62" s="36"/>
      <c r="GYY62" s="36"/>
      <c r="GYZ62" s="36"/>
      <c r="GZA62" s="36"/>
      <c r="GZB62" s="36"/>
      <c r="GZC62" s="36"/>
      <c r="GZD62" s="36"/>
      <c r="GZE62" s="36"/>
      <c r="GZF62" s="36"/>
      <c r="GZG62" s="36"/>
      <c r="GZH62" s="36"/>
      <c r="GZI62" s="36"/>
      <c r="GZJ62" s="36"/>
      <c r="GZK62" s="36"/>
      <c r="GZL62" s="36"/>
      <c r="GZM62" s="36"/>
      <c r="GZN62" s="36"/>
      <c r="GZO62" s="36"/>
      <c r="GZP62" s="36"/>
      <c r="GZQ62" s="36"/>
      <c r="GZR62" s="36"/>
      <c r="GZS62" s="36"/>
      <c r="GZT62" s="36"/>
      <c r="GZU62" s="36"/>
      <c r="GZV62" s="36"/>
      <c r="GZW62" s="36"/>
      <c r="GZX62" s="36"/>
      <c r="GZY62" s="36"/>
      <c r="GZZ62" s="36"/>
      <c r="HAA62" s="36"/>
      <c r="HAB62" s="36"/>
      <c r="HAC62" s="36"/>
      <c r="HAD62" s="36"/>
      <c r="HAE62" s="36"/>
      <c r="HAF62" s="36"/>
      <c r="HAG62" s="36"/>
      <c r="HAH62" s="36"/>
      <c r="HAI62" s="36"/>
      <c r="HAJ62" s="36"/>
      <c r="HAK62" s="36"/>
      <c r="HAL62" s="36"/>
      <c r="HAM62" s="36"/>
      <c r="HAN62" s="36"/>
      <c r="HAO62" s="36"/>
      <c r="HAP62" s="36"/>
      <c r="HAQ62" s="36"/>
      <c r="HAR62" s="36"/>
      <c r="HAS62" s="36"/>
      <c r="HAT62" s="36"/>
      <c r="HAU62" s="36"/>
      <c r="HAV62" s="36"/>
      <c r="HAW62" s="36"/>
      <c r="HAX62" s="36"/>
      <c r="HAY62" s="36"/>
      <c r="HAZ62" s="36"/>
      <c r="HBA62" s="36"/>
      <c r="HBB62" s="36"/>
      <c r="HBC62" s="36"/>
      <c r="HBD62" s="36"/>
      <c r="HBE62" s="36"/>
      <c r="HBF62" s="36"/>
      <c r="HBG62" s="36"/>
      <c r="HBH62" s="36"/>
      <c r="HBI62" s="36"/>
      <c r="HBJ62" s="36"/>
      <c r="HBK62" s="36"/>
      <c r="HBL62" s="36"/>
      <c r="HBM62" s="36"/>
      <c r="HBN62" s="36"/>
      <c r="HBO62" s="36"/>
      <c r="HBP62" s="36"/>
      <c r="HBQ62" s="36"/>
      <c r="HBR62" s="36"/>
      <c r="HBS62" s="36"/>
      <c r="HBT62" s="36"/>
      <c r="HBU62" s="36"/>
      <c r="HBV62" s="36"/>
      <c r="HBW62" s="36"/>
      <c r="HBX62" s="36"/>
      <c r="HBY62" s="36"/>
      <c r="HBZ62" s="36"/>
      <c r="HCA62" s="36"/>
      <c r="HCB62" s="36"/>
      <c r="HCC62" s="36"/>
      <c r="HCD62" s="36"/>
      <c r="HCE62" s="36"/>
      <c r="HCF62" s="36"/>
      <c r="HCG62" s="36"/>
      <c r="HCH62" s="36"/>
      <c r="HCI62" s="36"/>
      <c r="HCJ62" s="36"/>
      <c r="HCK62" s="36"/>
      <c r="HCL62" s="36"/>
      <c r="HCM62" s="36"/>
      <c r="HCN62" s="36"/>
      <c r="HCO62" s="36"/>
      <c r="HCP62" s="36"/>
      <c r="HCQ62" s="36"/>
      <c r="HCR62" s="36"/>
      <c r="HCS62" s="36"/>
      <c r="HCT62" s="36"/>
      <c r="HCU62" s="36"/>
      <c r="HCV62" s="36"/>
      <c r="HCW62" s="36"/>
      <c r="HCX62" s="36"/>
      <c r="HCY62" s="36"/>
      <c r="HCZ62" s="36"/>
      <c r="HDA62" s="36"/>
      <c r="HDB62" s="36"/>
      <c r="HDC62" s="36"/>
      <c r="HDD62" s="36"/>
      <c r="HDE62" s="36"/>
      <c r="HDF62" s="36"/>
      <c r="HDG62" s="36"/>
      <c r="HDH62" s="36"/>
      <c r="HDI62" s="36"/>
      <c r="HDJ62" s="36"/>
      <c r="HDK62" s="36"/>
      <c r="HDL62" s="36"/>
      <c r="HDM62" s="36"/>
      <c r="HDN62" s="36"/>
      <c r="HDO62" s="36"/>
      <c r="HDP62" s="36"/>
      <c r="HDQ62" s="36"/>
      <c r="HDR62" s="36"/>
      <c r="HDS62" s="36"/>
      <c r="HDT62" s="36"/>
      <c r="HDU62" s="36"/>
      <c r="HDV62" s="36"/>
      <c r="HDW62" s="36"/>
      <c r="HDX62" s="36"/>
      <c r="HDY62" s="36"/>
      <c r="HDZ62" s="36"/>
      <c r="HEA62" s="36"/>
      <c r="HEB62" s="36"/>
      <c r="HEC62" s="36"/>
      <c r="HED62" s="36"/>
      <c r="HEE62" s="36"/>
      <c r="HEF62" s="36"/>
      <c r="HEG62" s="36"/>
      <c r="HEH62" s="36"/>
      <c r="HEI62" s="36"/>
      <c r="HEJ62" s="36"/>
      <c r="HEK62" s="36"/>
      <c r="HEL62" s="36"/>
      <c r="HEM62" s="36"/>
      <c r="HEN62" s="36"/>
      <c r="HEO62" s="36"/>
      <c r="HEP62" s="36"/>
      <c r="HEQ62" s="36"/>
      <c r="HER62" s="36"/>
      <c r="HES62" s="36"/>
      <c r="HET62" s="36"/>
      <c r="HEU62" s="36"/>
      <c r="HEV62" s="36"/>
      <c r="HEW62" s="36"/>
      <c r="HEX62" s="36"/>
      <c r="HEY62" s="36"/>
      <c r="HEZ62" s="36"/>
      <c r="HFA62" s="36"/>
      <c r="HFB62" s="36"/>
      <c r="HFC62" s="36"/>
      <c r="HFD62" s="36"/>
      <c r="HFE62" s="36"/>
      <c r="HFF62" s="36"/>
      <c r="HFG62" s="36"/>
      <c r="HFH62" s="36"/>
      <c r="HFI62" s="36"/>
      <c r="HFJ62" s="36"/>
      <c r="HFK62" s="36"/>
      <c r="HFL62" s="36"/>
      <c r="HFM62" s="36"/>
      <c r="HFN62" s="36"/>
      <c r="HFO62" s="36"/>
      <c r="HFP62" s="36"/>
      <c r="HFQ62" s="36"/>
      <c r="HFR62" s="36"/>
      <c r="HFS62" s="36"/>
      <c r="HFT62" s="36"/>
      <c r="HFU62" s="36"/>
      <c r="HFV62" s="36"/>
      <c r="HFW62" s="36"/>
      <c r="HFX62" s="36"/>
      <c r="HFY62" s="36"/>
      <c r="HFZ62" s="36"/>
      <c r="HGA62" s="36"/>
      <c r="HGB62" s="36"/>
      <c r="HGC62" s="36"/>
      <c r="HGD62" s="36"/>
      <c r="HGE62" s="36"/>
      <c r="HGF62" s="36"/>
      <c r="HGG62" s="36"/>
      <c r="HGH62" s="36"/>
      <c r="HGI62" s="36"/>
      <c r="HGJ62" s="36"/>
      <c r="HGK62" s="36"/>
      <c r="HGL62" s="36"/>
      <c r="HGM62" s="36"/>
      <c r="HGN62" s="36"/>
      <c r="HGO62" s="36"/>
      <c r="HGP62" s="36"/>
      <c r="HGQ62" s="36"/>
      <c r="HGR62" s="36"/>
      <c r="HGS62" s="36"/>
      <c r="HGT62" s="36"/>
      <c r="HGU62" s="36"/>
      <c r="HGV62" s="36"/>
      <c r="HGW62" s="36"/>
      <c r="HGX62" s="36"/>
      <c r="HGY62" s="36"/>
      <c r="HGZ62" s="36"/>
      <c r="HHA62" s="36"/>
      <c r="HHB62" s="36"/>
      <c r="HHC62" s="36"/>
      <c r="HHD62" s="36"/>
      <c r="HHE62" s="36"/>
      <c r="HHF62" s="36"/>
      <c r="HHG62" s="36"/>
      <c r="HHH62" s="36"/>
      <c r="HHI62" s="36"/>
      <c r="HHJ62" s="36"/>
      <c r="HHK62" s="36"/>
      <c r="HHL62" s="36"/>
      <c r="HHM62" s="36"/>
      <c r="HHN62" s="36"/>
      <c r="HHO62" s="36"/>
      <c r="HHP62" s="36"/>
      <c r="HHQ62" s="36"/>
      <c r="HHR62" s="36"/>
      <c r="HHS62" s="36"/>
      <c r="HHT62" s="36"/>
      <c r="HHU62" s="36"/>
      <c r="HHV62" s="36"/>
      <c r="HHW62" s="36"/>
      <c r="HHX62" s="36"/>
      <c r="HHY62" s="36"/>
      <c r="HHZ62" s="36"/>
      <c r="HIA62" s="36"/>
      <c r="HIB62" s="36"/>
      <c r="HIC62" s="36"/>
      <c r="HID62" s="36"/>
      <c r="HIE62" s="36"/>
      <c r="HIF62" s="36"/>
      <c r="HIG62" s="36"/>
      <c r="HIH62" s="36"/>
      <c r="HII62" s="36"/>
      <c r="HIJ62" s="36"/>
      <c r="HIK62" s="36"/>
      <c r="HIL62" s="36"/>
      <c r="HIM62" s="36"/>
      <c r="HIN62" s="36"/>
      <c r="HIO62" s="36"/>
      <c r="HIP62" s="36"/>
      <c r="HIQ62" s="36"/>
      <c r="HIR62" s="36"/>
      <c r="HIS62" s="36"/>
      <c r="HIT62" s="36"/>
      <c r="HIU62" s="36"/>
      <c r="HIV62" s="36"/>
      <c r="HIW62" s="36"/>
      <c r="HIX62" s="36"/>
      <c r="HIY62" s="36"/>
      <c r="HIZ62" s="36"/>
      <c r="HJA62" s="36"/>
      <c r="HJB62" s="36"/>
      <c r="HJC62" s="36"/>
      <c r="HJD62" s="36"/>
      <c r="HJE62" s="36"/>
      <c r="HJF62" s="36"/>
      <c r="HJG62" s="36"/>
      <c r="HJH62" s="36"/>
      <c r="HJI62" s="36"/>
      <c r="HJJ62" s="36"/>
      <c r="HJK62" s="36"/>
      <c r="HJL62" s="36"/>
      <c r="HJM62" s="36"/>
      <c r="HJN62" s="36"/>
      <c r="HJO62" s="36"/>
      <c r="HJP62" s="36"/>
      <c r="HJQ62" s="36"/>
      <c r="HJR62" s="36"/>
      <c r="HJS62" s="36"/>
      <c r="HJT62" s="36"/>
      <c r="HJU62" s="36"/>
      <c r="HJV62" s="36"/>
      <c r="HJW62" s="36"/>
      <c r="HJX62" s="36"/>
      <c r="HJY62" s="36"/>
      <c r="HJZ62" s="36"/>
      <c r="HKA62" s="36"/>
      <c r="HKB62" s="36"/>
      <c r="HKC62" s="36"/>
      <c r="HKD62" s="36"/>
      <c r="HKE62" s="36"/>
      <c r="HKF62" s="36"/>
      <c r="HKG62" s="36"/>
      <c r="HKH62" s="36"/>
      <c r="HKI62" s="36"/>
      <c r="HKJ62" s="36"/>
      <c r="HKK62" s="36"/>
      <c r="HKL62" s="36"/>
      <c r="HKM62" s="36"/>
      <c r="HKN62" s="36"/>
      <c r="HKO62" s="36"/>
      <c r="HKP62" s="36"/>
      <c r="HKQ62" s="36"/>
      <c r="HKR62" s="36"/>
      <c r="HKS62" s="36"/>
      <c r="HKT62" s="36"/>
      <c r="HKU62" s="36"/>
      <c r="HKV62" s="36"/>
      <c r="HKW62" s="36"/>
      <c r="HKX62" s="36"/>
      <c r="HKY62" s="36"/>
      <c r="HKZ62" s="36"/>
      <c r="HLA62" s="36"/>
      <c r="HLB62" s="36"/>
      <c r="HLC62" s="36"/>
      <c r="HLD62" s="36"/>
      <c r="HLE62" s="36"/>
      <c r="HLF62" s="36"/>
      <c r="HLG62" s="36"/>
      <c r="HLH62" s="36"/>
      <c r="HLI62" s="36"/>
      <c r="HLJ62" s="36"/>
      <c r="HLK62" s="36"/>
      <c r="HLL62" s="36"/>
      <c r="HLM62" s="36"/>
      <c r="HLN62" s="36"/>
      <c r="HLO62" s="36"/>
      <c r="HLP62" s="36"/>
      <c r="HLQ62" s="36"/>
      <c r="HLR62" s="36"/>
      <c r="HLS62" s="36"/>
      <c r="HLT62" s="36"/>
      <c r="HLU62" s="36"/>
      <c r="HLV62" s="36"/>
      <c r="HLW62" s="36"/>
      <c r="HLX62" s="36"/>
      <c r="HLY62" s="36"/>
      <c r="HLZ62" s="36"/>
      <c r="HMA62" s="36"/>
      <c r="HMB62" s="36"/>
      <c r="HMC62" s="36"/>
      <c r="HMD62" s="36"/>
      <c r="HME62" s="36"/>
      <c r="HMF62" s="36"/>
      <c r="HMG62" s="36"/>
      <c r="HMH62" s="36"/>
      <c r="HMI62" s="36"/>
      <c r="HMJ62" s="36"/>
      <c r="HMK62" s="36"/>
      <c r="HML62" s="36"/>
      <c r="HMM62" s="36"/>
      <c r="HMN62" s="36"/>
      <c r="HMO62" s="36"/>
      <c r="HMP62" s="36"/>
      <c r="HMQ62" s="36"/>
      <c r="HMR62" s="36"/>
      <c r="HMS62" s="36"/>
      <c r="HMT62" s="36"/>
      <c r="HMU62" s="36"/>
      <c r="HMV62" s="36"/>
      <c r="HMW62" s="36"/>
      <c r="HMX62" s="36"/>
      <c r="HMY62" s="36"/>
      <c r="HMZ62" s="36"/>
      <c r="HNA62" s="36"/>
      <c r="HNB62" s="36"/>
      <c r="HNC62" s="36"/>
      <c r="HND62" s="36"/>
      <c r="HNE62" s="36"/>
      <c r="HNF62" s="36"/>
      <c r="HNG62" s="36"/>
      <c r="HNH62" s="36"/>
      <c r="HNI62" s="36"/>
      <c r="HNJ62" s="36"/>
      <c r="HNK62" s="36"/>
      <c r="HNL62" s="36"/>
      <c r="HNM62" s="36"/>
      <c r="HNN62" s="36"/>
      <c r="HNO62" s="36"/>
      <c r="HNP62" s="36"/>
      <c r="HNQ62" s="36"/>
      <c r="HNR62" s="36"/>
      <c r="HNS62" s="36"/>
      <c r="HNT62" s="36"/>
      <c r="HNU62" s="36"/>
      <c r="HNV62" s="36"/>
      <c r="HNW62" s="36"/>
      <c r="HNX62" s="36"/>
      <c r="HNY62" s="36"/>
      <c r="HNZ62" s="36"/>
      <c r="HOA62" s="36"/>
      <c r="HOB62" s="36"/>
      <c r="HOC62" s="36"/>
      <c r="HOD62" s="36"/>
      <c r="HOE62" s="36"/>
      <c r="HOF62" s="36"/>
      <c r="HOG62" s="36"/>
      <c r="HOH62" s="36"/>
      <c r="HOI62" s="36"/>
      <c r="HOJ62" s="36"/>
      <c r="HOK62" s="36"/>
      <c r="HOL62" s="36"/>
      <c r="HOM62" s="36"/>
      <c r="HON62" s="36"/>
      <c r="HOO62" s="36"/>
      <c r="HOP62" s="36"/>
      <c r="HOQ62" s="36"/>
      <c r="HOR62" s="36"/>
      <c r="HOS62" s="36"/>
      <c r="HOT62" s="36"/>
      <c r="HOU62" s="36"/>
      <c r="HOV62" s="36"/>
      <c r="HOW62" s="36"/>
      <c r="HOX62" s="36"/>
      <c r="HOY62" s="36"/>
      <c r="HOZ62" s="36"/>
      <c r="HPA62" s="36"/>
      <c r="HPB62" s="36"/>
      <c r="HPC62" s="36"/>
      <c r="HPD62" s="36"/>
      <c r="HPE62" s="36"/>
      <c r="HPF62" s="36"/>
      <c r="HPG62" s="36"/>
      <c r="HPH62" s="36"/>
      <c r="HPI62" s="36"/>
      <c r="HPJ62" s="36"/>
      <c r="HPK62" s="36"/>
      <c r="HPL62" s="36"/>
      <c r="HPM62" s="36"/>
      <c r="HPN62" s="36"/>
      <c r="HPO62" s="36"/>
      <c r="HPP62" s="36"/>
      <c r="HPQ62" s="36"/>
      <c r="HPR62" s="36"/>
      <c r="HPS62" s="36"/>
      <c r="HPT62" s="36"/>
      <c r="HPU62" s="36"/>
      <c r="HPV62" s="36"/>
      <c r="HPW62" s="36"/>
      <c r="HPX62" s="36"/>
      <c r="HPY62" s="36"/>
      <c r="HPZ62" s="36"/>
      <c r="HQA62" s="36"/>
      <c r="HQB62" s="36"/>
      <c r="HQC62" s="36"/>
      <c r="HQD62" s="36"/>
      <c r="HQE62" s="36"/>
      <c r="HQF62" s="36"/>
      <c r="HQG62" s="36"/>
      <c r="HQH62" s="36"/>
      <c r="HQI62" s="36"/>
      <c r="HQJ62" s="36"/>
      <c r="HQK62" s="36"/>
      <c r="HQL62" s="36"/>
      <c r="HQM62" s="36"/>
      <c r="HQN62" s="36"/>
      <c r="HQO62" s="36"/>
      <c r="HQP62" s="36"/>
      <c r="HQQ62" s="36"/>
      <c r="HQR62" s="36"/>
      <c r="HQS62" s="36"/>
      <c r="HQT62" s="36"/>
      <c r="HQU62" s="36"/>
      <c r="HQV62" s="36"/>
      <c r="HQW62" s="36"/>
      <c r="HQX62" s="36"/>
      <c r="HQY62" s="36"/>
      <c r="HQZ62" s="36"/>
      <c r="HRA62" s="36"/>
      <c r="HRB62" s="36"/>
      <c r="HRC62" s="36"/>
      <c r="HRD62" s="36"/>
      <c r="HRE62" s="36"/>
      <c r="HRF62" s="36"/>
      <c r="HRG62" s="36"/>
      <c r="HRH62" s="36"/>
      <c r="HRI62" s="36"/>
      <c r="HRJ62" s="36"/>
      <c r="HRK62" s="36"/>
      <c r="HRL62" s="36"/>
      <c r="HRM62" s="36"/>
      <c r="HRN62" s="36"/>
      <c r="HRO62" s="36"/>
      <c r="HRP62" s="36"/>
      <c r="HRQ62" s="36"/>
      <c r="HRR62" s="36"/>
      <c r="HRS62" s="36"/>
      <c r="HRT62" s="36"/>
      <c r="HRU62" s="36"/>
      <c r="HRV62" s="36"/>
      <c r="HRW62" s="36"/>
      <c r="HRX62" s="36"/>
      <c r="HRY62" s="36"/>
      <c r="HRZ62" s="36"/>
      <c r="HSA62" s="36"/>
      <c r="HSB62" s="36"/>
      <c r="HSC62" s="36"/>
      <c r="HSD62" s="36"/>
      <c r="HSE62" s="36"/>
      <c r="HSF62" s="36"/>
      <c r="HSG62" s="36"/>
      <c r="HSH62" s="36"/>
      <c r="HSI62" s="36"/>
      <c r="HSJ62" s="36"/>
      <c r="HSK62" s="36"/>
      <c r="HSL62" s="36"/>
      <c r="HSM62" s="36"/>
      <c r="HSN62" s="36"/>
      <c r="HSO62" s="36"/>
      <c r="HSP62" s="36"/>
      <c r="HSQ62" s="36"/>
      <c r="HSR62" s="36"/>
      <c r="HSS62" s="36"/>
      <c r="HST62" s="36"/>
      <c r="HSU62" s="36"/>
      <c r="HSV62" s="36"/>
      <c r="HSW62" s="36"/>
      <c r="HSX62" s="36"/>
      <c r="HSY62" s="36"/>
      <c r="HSZ62" s="36"/>
      <c r="HTA62" s="36"/>
      <c r="HTB62" s="36"/>
      <c r="HTC62" s="36"/>
      <c r="HTD62" s="36"/>
      <c r="HTE62" s="36"/>
      <c r="HTF62" s="36"/>
      <c r="HTG62" s="36"/>
      <c r="HTH62" s="36"/>
      <c r="HTI62" s="36"/>
      <c r="HTJ62" s="36"/>
      <c r="HTK62" s="36"/>
      <c r="HTL62" s="36"/>
      <c r="HTM62" s="36"/>
      <c r="HTN62" s="36"/>
      <c r="HTO62" s="36"/>
      <c r="HTP62" s="36"/>
      <c r="HTQ62" s="36"/>
      <c r="HTR62" s="36"/>
      <c r="HTS62" s="36"/>
      <c r="HTT62" s="36"/>
      <c r="HTU62" s="36"/>
      <c r="HTV62" s="36"/>
      <c r="HTW62" s="36"/>
      <c r="HTX62" s="36"/>
      <c r="HTY62" s="36"/>
      <c r="HTZ62" s="36"/>
      <c r="HUA62" s="36"/>
      <c r="HUB62" s="36"/>
      <c r="HUC62" s="36"/>
      <c r="HUD62" s="36"/>
      <c r="HUE62" s="36"/>
      <c r="HUF62" s="36"/>
      <c r="HUG62" s="36"/>
      <c r="HUH62" s="36"/>
      <c r="HUI62" s="36"/>
      <c r="HUJ62" s="36"/>
      <c r="HUK62" s="36"/>
      <c r="HUL62" s="36"/>
      <c r="HUM62" s="36"/>
      <c r="HUN62" s="36"/>
      <c r="HUO62" s="36"/>
      <c r="HUP62" s="36"/>
      <c r="HUQ62" s="36"/>
      <c r="HUR62" s="36"/>
      <c r="HUS62" s="36"/>
      <c r="HUT62" s="36"/>
      <c r="HUU62" s="36"/>
      <c r="HUV62" s="36"/>
      <c r="HUW62" s="36"/>
      <c r="HUX62" s="36"/>
      <c r="HUY62" s="36"/>
      <c r="HUZ62" s="36"/>
      <c r="HVA62" s="36"/>
      <c r="HVB62" s="36"/>
      <c r="HVC62" s="36"/>
      <c r="HVD62" s="36"/>
      <c r="HVE62" s="36"/>
      <c r="HVF62" s="36"/>
      <c r="HVG62" s="36"/>
      <c r="HVH62" s="36"/>
      <c r="HVI62" s="36"/>
      <c r="HVJ62" s="36"/>
      <c r="HVK62" s="36"/>
      <c r="HVL62" s="36"/>
      <c r="HVM62" s="36"/>
      <c r="HVN62" s="36"/>
      <c r="HVO62" s="36"/>
      <c r="HVP62" s="36"/>
      <c r="HVQ62" s="36"/>
      <c r="HVR62" s="36"/>
      <c r="HVS62" s="36"/>
      <c r="HVT62" s="36"/>
      <c r="HVU62" s="36"/>
      <c r="HVV62" s="36"/>
      <c r="HVW62" s="36"/>
      <c r="HVX62" s="36"/>
      <c r="HVY62" s="36"/>
      <c r="HVZ62" s="36"/>
      <c r="HWA62" s="36"/>
      <c r="HWB62" s="36"/>
      <c r="HWC62" s="36"/>
      <c r="HWD62" s="36"/>
      <c r="HWE62" s="36"/>
      <c r="HWF62" s="36"/>
      <c r="HWG62" s="36"/>
      <c r="HWH62" s="36"/>
      <c r="HWI62" s="36"/>
      <c r="HWJ62" s="36"/>
      <c r="HWK62" s="36"/>
      <c r="HWL62" s="36"/>
      <c r="HWM62" s="36"/>
      <c r="HWN62" s="36"/>
      <c r="HWO62" s="36"/>
      <c r="HWP62" s="36"/>
      <c r="HWQ62" s="36"/>
      <c r="HWR62" s="36"/>
      <c r="HWS62" s="36"/>
      <c r="HWT62" s="36"/>
      <c r="HWU62" s="36"/>
      <c r="HWV62" s="36"/>
      <c r="HWW62" s="36"/>
      <c r="HWX62" s="36"/>
      <c r="HWY62" s="36"/>
      <c r="HWZ62" s="36"/>
      <c r="HXA62" s="36"/>
      <c r="HXB62" s="36"/>
      <c r="HXC62" s="36"/>
      <c r="HXD62" s="36"/>
      <c r="HXE62" s="36"/>
      <c r="HXF62" s="36"/>
      <c r="HXG62" s="36"/>
      <c r="HXH62" s="36"/>
      <c r="HXI62" s="36"/>
      <c r="HXJ62" s="36"/>
      <c r="HXK62" s="36"/>
      <c r="HXL62" s="36"/>
      <c r="HXM62" s="36"/>
      <c r="HXN62" s="36"/>
      <c r="HXO62" s="36"/>
      <c r="HXP62" s="36"/>
      <c r="HXQ62" s="36"/>
      <c r="HXR62" s="36"/>
      <c r="HXS62" s="36"/>
      <c r="HXT62" s="36"/>
      <c r="HXU62" s="36"/>
      <c r="HXV62" s="36"/>
      <c r="HXW62" s="36"/>
      <c r="HXX62" s="36"/>
      <c r="HXY62" s="36"/>
      <c r="HXZ62" s="36"/>
      <c r="HYA62" s="36"/>
      <c r="HYB62" s="36"/>
      <c r="HYC62" s="36"/>
      <c r="HYD62" s="36"/>
      <c r="HYE62" s="36"/>
      <c r="HYF62" s="36"/>
      <c r="HYG62" s="36"/>
      <c r="HYH62" s="36"/>
      <c r="HYI62" s="36"/>
      <c r="HYJ62" s="36"/>
      <c r="HYK62" s="36"/>
      <c r="HYL62" s="36"/>
      <c r="HYM62" s="36"/>
      <c r="HYN62" s="36"/>
      <c r="HYO62" s="36"/>
      <c r="HYP62" s="36"/>
      <c r="HYQ62" s="36"/>
      <c r="HYR62" s="36"/>
      <c r="HYS62" s="36"/>
      <c r="HYT62" s="36"/>
      <c r="HYU62" s="36"/>
      <c r="HYV62" s="36"/>
      <c r="HYW62" s="36"/>
      <c r="HYX62" s="36"/>
      <c r="HYY62" s="36"/>
      <c r="HYZ62" s="36"/>
      <c r="HZA62" s="36"/>
      <c r="HZB62" s="36"/>
      <c r="HZC62" s="36"/>
      <c r="HZD62" s="36"/>
      <c r="HZE62" s="36"/>
      <c r="HZF62" s="36"/>
      <c r="HZG62" s="36"/>
      <c r="HZH62" s="36"/>
      <c r="HZI62" s="36"/>
      <c r="HZJ62" s="36"/>
      <c r="HZK62" s="36"/>
      <c r="HZL62" s="36"/>
      <c r="HZM62" s="36"/>
      <c r="HZN62" s="36"/>
      <c r="HZO62" s="36"/>
      <c r="HZP62" s="36"/>
      <c r="HZQ62" s="36"/>
      <c r="HZR62" s="36"/>
      <c r="HZS62" s="36"/>
      <c r="HZT62" s="36"/>
      <c r="HZU62" s="36"/>
      <c r="HZV62" s="36"/>
      <c r="HZW62" s="36"/>
      <c r="HZX62" s="36"/>
      <c r="HZY62" s="36"/>
      <c r="HZZ62" s="36"/>
      <c r="IAA62" s="36"/>
      <c r="IAB62" s="36"/>
      <c r="IAC62" s="36"/>
      <c r="IAD62" s="36"/>
      <c r="IAE62" s="36"/>
      <c r="IAF62" s="36"/>
      <c r="IAG62" s="36"/>
      <c r="IAH62" s="36"/>
      <c r="IAI62" s="36"/>
      <c r="IAJ62" s="36"/>
      <c r="IAK62" s="36"/>
      <c r="IAL62" s="36"/>
      <c r="IAM62" s="36"/>
      <c r="IAN62" s="36"/>
      <c r="IAO62" s="36"/>
      <c r="IAP62" s="36"/>
      <c r="IAQ62" s="36"/>
      <c r="IAR62" s="36"/>
      <c r="IAS62" s="36"/>
      <c r="IAT62" s="36"/>
      <c r="IAU62" s="36"/>
      <c r="IAV62" s="36"/>
      <c r="IAW62" s="36"/>
      <c r="IAX62" s="36"/>
      <c r="IAY62" s="36"/>
      <c r="IAZ62" s="36"/>
      <c r="IBA62" s="36"/>
      <c r="IBB62" s="36"/>
      <c r="IBC62" s="36"/>
      <c r="IBD62" s="36"/>
      <c r="IBE62" s="36"/>
      <c r="IBF62" s="36"/>
      <c r="IBG62" s="36"/>
      <c r="IBH62" s="36"/>
      <c r="IBI62" s="36"/>
      <c r="IBJ62" s="36"/>
      <c r="IBK62" s="36"/>
      <c r="IBL62" s="36"/>
      <c r="IBM62" s="36"/>
      <c r="IBN62" s="36"/>
      <c r="IBO62" s="36"/>
      <c r="IBP62" s="36"/>
      <c r="IBQ62" s="36"/>
      <c r="IBR62" s="36"/>
      <c r="IBS62" s="36"/>
      <c r="IBT62" s="36"/>
      <c r="IBU62" s="36"/>
      <c r="IBV62" s="36"/>
      <c r="IBW62" s="36"/>
      <c r="IBX62" s="36"/>
      <c r="IBY62" s="36"/>
      <c r="IBZ62" s="36"/>
      <c r="ICA62" s="36"/>
      <c r="ICB62" s="36"/>
      <c r="ICC62" s="36"/>
      <c r="ICD62" s="36"/>
      <c r="ICE62" s="36"/>
      <c r="ICF62" s="36"/>
      <c r="ICG62" s="36"/>
      <c r="ICH62" s="36"/>
      <c r="ICI62" s="36"/>
      <c r="ICJ62" s="36"/>
      <c r="ICK62" s="36"/>
      <c r="ICL62" s="36"/>
      <c r="ICM62" s="36"/>
      <c r="ICN62" s="36"/>
      <c r="ICO62" s="36"/>
      <c r="ICP62" s="36"/>
      <c r="ICQ62" s="36"/>
      <c r="ICR62" s="36"/>
      <c r="ICS62" s="36"/>
      <c r="ICT62" s="36"/>
      <c r="ICU62" s="36"/>
      <c r="ICV62" s="36"/>
      <c r="ICW62" s="36"/>
      <c r="ICX62" s="36"/>
      <c r="ICY62" s="36"/>
      <c r="ICZ62" s="36"/>
      <c r="IDA62" s="36"/>
      <c r="IDB62" s="36"/>
      <c r="IDC62" s="36"/>
      <c r="IDD62" s="36"/>
      <c r="IDE62" s="36"/>
      <c r="IDF62" s="36"/>
      <c r="IDG62" s="36"/>
      <c r="IDH62" s="36"/>
      <c r="IDI62" s="36"/>
      <c r="IDJ62" s="36"/>
      <c r="IDK62" s="36"/>
      <c r="IDL62" s="36"/>
      <c r="IDM62" s="36"/>
      <c r="IDN62" s="36"/>
      <c r="IDO62" s="36"/>
      <c r="IDP62" s="36"/>
      <c r="IDQ62" s="36"/>
      <c r="IDR62" s="36"/>
      <c r="IDS62" s="36"/>
      <c r="IDT62" s="36"/>
      <c r="IDU62" s="36"/>
      <c r="IDV62" s="36"/>
      <c r="IDW62" s="36"/>
      <c r="IDX62" s="36"/>
      <c r="IDY62" s="36"/>
      <c r="IDZ62" s="36"/>
      <c r="IEA62" s="36"/>
      <c r="IEB62" s="36"/>
      <c r="IEC62" s="36"/>
      <c r="IED62" s="36"/>
      <c r="IEE62" s="36"/>
      <c r="IEF62" s="36"/>
      <c r="IEG62" s="36"/>
      <c r="IEH62" s="36"/>
      <c r="IEI62" s="36"/>
      <c r="IEJ62" s="36"/>
      <c r="IEK62" s="36"/>
      <c r="IEL62" s="36"/>
      <c r="IEM62" s="36"/>
      <c r="IEN62" s="36"/>
      <c r="IEO62" s="36"/>
      <c r="IEP62" s="36"/>
      <c r="IEQ62" s="36"/>
      <c r="IER62" s="36"/>
      <c r="IES62" s="36"/>
      <c r="IET62" s="36"/>
      <c r="IEU62" s="36"/>
      <c r="IEV62" s="36"/>
      <c r="IEW62" s="36"/>
      <c r="IEX62" s="36"/>
      <c r="IEY62" s="36"/>
      <c r="IEZ62" s="36"/>
      <c r="IFA62" s="36"/>
      <c r="IFB62" s="36"/>
      <c r="IFC62" s="36"/>
      <c r="IFD62" s="36"/>
      <c r="IFE62" s="36"/>
      <c r="IFF62" s="36"/>
      <c r="IFG62" s="36"/>
      <c r="IFH62" s="36"/>
      <c r="IFI62" s="36"/>
      <c r="IFJ62" s="36"/>
      <c r="IFK62" s="36"/>
      <c r="IFL62" s="36"/>
      <c r="IFM62" s="36"/>
      <c r="IFN62" s="36"/>
      <c r="IFO62" s="36"/>
      <c r="IFP62" s="36"/>
      <c r="IFQ62" s="36"/>
      <c r="IFR62" s="36"/>
      <c r="IFS62" s="36"/>
      <c r="IFT62" s="36"/>
      <c r="IFU62" s="36"/>
      <c r="IFV62" s="36"/>
      <c r="IFW62" s="36"/>
      <c r="IFX62" s="36"/>
      <c r="IFY62" s="36"/>
      <c r="IFZ62" s="36"/>
      <c r="IGA62" s="36"/>
      <c r="IGB62" s="36"/>
      <c r="IGC62" s="36"/>
      <c r="IGD62" s="36"/>
      <c r="IGE62" s="36"/>
      <c r="IGF62" s="36"/>
      <c r="IGG62" s="36"/>
      <c r="IGH62" s="36"/>
      <c r="IGI62" s="36"/>
      <c r="IGJ62" s="36"/>
      <c r="IGK62" s="36"/>
      <c r="IGL62" s="36"/>
      <c r="IGM62" s="36"/>
      <c r="IGN62" s="36"/>
      <c r="IGO62" s="36"/>
      <c r="IGP62" s="36"/>
      <c r="IGQ62" s="36"/>
      <c r="IGR62" s="36"/>
      <c r="IGS62" s="36"/>
      <c r="IGT62" s="36"/>
      <c r="IGU62" s="36"/>
      <c r="IGV62" s="36"/>
      <c r="IGW62" s="36"/>
      <c r="IGX62" s="36"/>
      <c r="IGY62" s="36"/>
      <c r="IGZ62" s="36"/>
      <c r="IHA62" s="36"/>
      <c r="IHB62" s="36"/>
      <c r="IHC62" s="36"/>
      <c r="IHD62" s="36"/>
      <c r="IHE62" s="36"/>
      <c r="IHF62" s="36"/>
      <c r="IHG62" s="36"/>
      <c r="IHH62" s="36"/>
      <c r="IHI62" s="36"/>
      <c r="IHJ62" s="36"/>
      <c r="IHK62" s="36"/>
      <c r="IHL62" s="36"/>
      <c r="IHM62" s="36"/>
      <c r="IHN62" s="36"/>
      <c r="IHO62" s="36"/>
      <c r="IHP62" s="36"/>
      <c r="IHQ62" s="36"/>
      <c r="IHR62" s="36"/>
      <c r="IHS62" s="36"/>
      <c r="IHT62" s="36"/>
      <c r="IHU62" s="36"/>
      <c r="IHV62" s="36"/>
      <c r="IHW62" s="36"/>
      <c r="IHX62" s="36"/>
      <c r="IHY62" s="36"/>
      <c r="IHZ62" s="36"/>
      <c r="IIA62" s="36"/>
      <c r="IIB62" s="36"/>
      <c r="IIC62" s="36"/>
      <c r="IID62" s="36"/>
      <c r="IIE62" s="36"/>
      <c r="IIF62" s="36"/>
      <c r="IIG62" s="36"/>
      <c r="IIH62" s="36"/>
      <c r="III62" s="36"/>
      <c r="IIJ62" s="36"/>
      <c r="IIK62" s="36"/>
      <c r="IIL62" s="36"/>
      <c r="IIM62" s="36"/>
      <c r="IIN62" s="36"/>
      <c r="IIO62" s="36"/>
      <c r="IIP62" s="36"/>
      <c r="IIQ62" s="36"/>
      <c r="IIR62" s="36"/>
      <c r="IIS62" s="36"/>
      <c r="IIT62" s="36"/>
      <c r="IIU62" s="36"/>
      <c r="IIV62" s="36"/>
      <c r="IIW62" s="36"/>
      <c r="IIX62" s="36"/>
      <c r="IIY62" s="36"/>
      <c r="IIZ62" s="36"/>
      <c r="IJA62" s="36"/>
      <c r="IJB62" s="36"/>
      <c r="IJC62" s="36"/>
      <c r="IJD62" s="36"/>
      <c r="IJE62" s="36"/>
      <c r="IJF62" s="36"/>
      <c r="IJG62" s="36"/>
      <c r="IJH62" s="36"/>
      <c r="IJI62" s="36"/>
      <c r="IJJ62" s="36"/>
      <c r="IJK62" s="36"/>
      <c r="IJL62" s="36"/>
      <c r="IJM62" s="36"/>
      <c r="IJN62" s="36"/>
      <c r="IJO62" s="36"/>
      <c r="IJP62" s="36"/>
      <c r="IJQ62" s="36"/>
      <c r="IJR62" s="36"/>
      <c r="IJS62" s="36"/>
      <c r="IJT62" s="36"/>
      <c r="IJU62" s="36"/>
      <c r="IJV62" s="36"/>
      <c r="IJW62" s="36"/>
      <c r="IJX62" s="36"/>
      <c r="IJY62" s="36"/>
      <c r="IJZ62" s="36"/>
      <c r="IKA62" s="36"/>
      <c r="IKB62" s="36"/>
      <c r="IKC62" s="36"/>
      <c r="IKD62" s="36"/>
      <c r="IKE62" s="36"/>
      <c r="IKF62" s="36"/>
      <c r="IKG62" s="36"/>
      <c r="IKH62" s="36"/>
      <c r="IKI62" s="36"/>
      <c r="IKJ62" s="36"/>
      <c r="IKK62" s="36"/>
      <c r="IKL62" s="36"/>
      <c r="IKM62" s="36"/>
      <c r="IKN62" s="36"/>
      <c r="IKO62" s="36"/>
      <c r="IKP62" s="36"/>
      <c r="IKQ62" s="36"/>
      <c r="IKR62" s="36"/>
      <c r="IKS62" s="36"/>
      <c r="IKT62" s="36"/>
      <c r="IKU62" s="36"/>
      <c r="IKV62" s="36"/>
      <c r="IKW62" s="36"/>
      <c r="IKX62" s="36"/>
      <c r="IKY62" s="36"/>
      <c r="IKZ62" s="36"/>
      <c r="ILA62" s="36"/>
      <c r="ILB62" s="36"/>
      <c r="ILC62" s="36"/>
      <c r="ILD62" s="36"/>
      <c r="ILE62" s="36"/>
      <c r="ILF62" s="36"/>
      <c r="ILG62" s="36"/>
      <c r="ILH62" s="36"/>
      <c r="ILI62" s="36"/>
      <c r="ILJ62" s="36"/>
      <c r="ILK62" s="36"/>
      <c r="ILL62" s="36"/>
      <c r="ILM62" s="36"/>
      <c r="ILN62" s="36"/>
      <c r="ILO62" s="36"/>
      <c r="ILP62" s="36"/>
      <c r="ILQ62" s="36"/>
      <c r="ILR62" s="36"/>
      <c r="ILS62" s="36"/>
      <c r="ILT62" s="36"/>
      <c r="ILU62" s="36"/>
      <c r="ILV62" s="36"/>
      <c r="ILW62" s="36"/>
      <c r="ILX62" s="36"/>
      <c r="ILY62" s="36"/>
      <c r="ILZ62" s="36"/>
      <c r="IMA62" s="36"/>
      <c r="IMB62" s="36"/>
      <c r="IMC62" s="36"/>
      <c r="IMD62" s="36"/>
      <c r="IME62" s="36"/>
      <c r="IMF62" s="36"/>
      <c r="IMG62" s="36"/>
      <c r="IMH62" s="36"/>
      <c r="IMI62" s="36"/>
      <c r="IMJ62" s="36"/>
      <c r="IMK62" s="36"/>
      <c r="IML62" s="36"/>
      <c r="IMM62" s="36"/>
      <c r="IMN62" s="36"/>
      <c r="IMO62" s="36"/>
      <c r="IMP62" s="36"/>
      <c r="IMQ62" s="36"/>
      <c r="IMR62" s="36"/>
      <c r="IMS62" s="36"/>
      <c r="IMT62" s="36"/>
      <c r="IMU62" s="36"/>
      <c r="IMV62" s="36"/>
      <c r="IMW62" s="36"/>
      <c r="IMX62" s="36"/>
      <c r="IMY62" s="36"/>
      <c r="IMZ62" s="36"/>
      <c r="INA62" s="36"/>
      <c r="INB62" s="36"/>
      <c r="INC62" s="36"/>
      <c r="IND62" s="36"/>
      <c r="INE62" s="36"/>
      <c r="INF62" s="36"/>
      <c r="ING62" s="36"/>
      <c r="INH62" s="36"/>
      <c r="INI62" s="36"/>
      <c r="INJ62" s="36"/>
      <c r="INK62" s="36"/>
      <c r="INL62" s="36"/>
      <c r="INM62" s="36"/>
      <c r="INN62" s="36"/>
      <c r="INO62" s="36"/>
      <c r="INP62" s="36"/>
      <c r="INQ62" s="36"/>
      <c r="INR62" s="36"/>
      <c r="INS62" s="36"/>
      <c r="INT62" s="36"/>
      <c r="INU62" s="36"/>
      <c r="INV62" s="36"/>
      <c r="INW62" s="36"/>
      <c r="INX62" s="36"/>
      <c r="INY62" s="36"/>
      <c r="INZ62" s="36"/>
      <c r="IOA62" s="36"/>
      <c r="IOB62" s="36"/>
      <c r="IOC62" s="36"/>
      <c r="IOD62" s="36"/>
      <c r="IOE62" s="36"/>
      <c r="IOF62" s="36"/>
      <c r="IOG62" s="36"/>
      <c r="IOH62" s="36"/>
      <c r="IOI62" s="36"/>
      <c r="IOJ62" s="36"/>
      <c r="IOK62" s="36"/>
      <c r="IOL62" s="36"/>
      <c r="IOM62" s="36"/>
      <c r="ION62" s="36"/>
      <c r="IOO62" s="36"/>
      <c r="IOP62" s="36"/>
      <c r="IOQ62" s="36"/>
      <c r="IOR62" s="36"/>
      <c r="IOS62" s="36"/>
      <c r="IOT62" s="36"/>
      <c r="IOU62" s="36"/>
      <c r="IOV62" s="36"/>
      <c r="IOW62" s="36"/>
      <c r="IOX62" s="36"/>
      <c r="IOY62" s="36"/>
      <c r="IOZ62" s="36"/>
      <c r="IPA62" s="36"/>
      <c r="IPB62" s="36"/>
      <c r="IPC62" s="36"/>
      <c r="IPD62" s="36"/>
      <c r="IPE62" s="36"/>
      <c r="IPF62" s="36"/>
      <c r="IPG62" s="36"/>
      <c r="IPH62" s="36"/>
      <c r="IPI62" s="36"/>
      <c r="IPJ62" s="36"/>
      <c r="IPK62" s="36"/>
      <c r="IPL62" s="36"/>
      <c r="IPM62" s="36"/>
      <c r="IPN62" s="36"/>
      <c r="IPO62" s="36"/>
      <c r="IPP62" s="36"/>
      <c r="IPQ62" s="36"/>
      <c r="IPR62" s="36"/>
      <c r="IPS62" s="36"/>
      <c r="IPT62" s="36"/>
      <c r="IPU62" s="36"/>
      <c r="IPV62" s="36"/>
      <c r="IPW62" s="36"/>
      <c r="IPX62" s="36"/>
      <c r="IPY62" s="36"/>
      <c r="IPZ62" s="36"/>
      <c r="IQA62" s="36"/>
      <c r="IQB62" s="36"/>
      <c r="IQC62" s="36"/>
      <c r="IQD62" s="36"/>
      <c r="IQE62" s="36"/>
      <c r="IQF62" s="36"/>
      <c r="IQG62" s="36"/>
      <c r="IQH62" s="36"/>
      <c r="IQI62" s="36"/>
      <c r="IQJ62" s="36"/>
      <c r="IQK62" s="36"/>
      <c r="IQL62" s="36"/>
      <c r="IQM62" s="36"/>
      <c r="IQN62" s="36"/>
      <c r="IQO62" s="36"/>
      <c r="IQP62" s="36"/>
      <c r="IQQ62" s="36"/>
      <c r="IQR62" s="36"/>
      <c r="IQS62" s="36"/>
      <c r="IQT62" s="36"/>
      <c r="IQU62" s="36"/>
      <c r="IQV62" s="36"/>
      <c r="IQW62" s="36"/>
      <c r="IQX62" s="36"/>
      <c r="IQY62" s="36"/>
      <c r="IQZ62" s="36"/>
      <c r="IRA62" s="36"/>
      <c r="IRB62" s="36"/>
      <c r="IRC62" s="36"/>
      <c r="IRD62" s="36"/>
      <c r="IRE62" s="36"/>
      <c r="IRF62" s="36"/>
      <c r="IRG62" s="36"/>
      <c r="IRH62" s="36"/>
      <c r="IRI62" s="36"/>
      <c r="IRJ62" s="36"/>
      <c r="IRK62" s="36"/>
      <c r="IRL62" s="36"/>
      <c r="IRM62" s="36"/>
      <c r="IRN62" s="36"/>
      <c r="IRO62" s="36"/>
      <c r="IRP62" s="36"/>
      <c r="IRQ62" s="36"/>
      <c r="IRR62" s="36"/>
      <c r="IRS62" s="36"/>
      <c r="IRT62" s="36"/>
      <c r="IRU62" s="36"/>
      <c r="IRV62" s="36"/>
      <c r="IRW62" s="36"/>
      <c r="IRX62" s="36"/>
      <c r="IRY62" s="36"/>
      <c r="IRZ62" s="36"/>
      <c r="ISA62" s="36"/>
      <c r="ISB62" s="36"/>
      <c r="ISC62" s="36"/>
      <c r="ISD62" s="36"/>
      <c r="ISE62" s="36"/>
      <c r="ISF62" s="36"/>
      <c r="ISG62" s="36"/>
      <c r="ISH62" s="36"/>
      <c r="ISI62" s="36"/>
      <c r="ISJ62" s="36"/>
      <c r="ISK62" s="36"/>
      <c r="ISL62" s="36"/>
      <c r="ISM62" s="36"/>
      <c r="ISN62" s="36"/>
      <c r="ISO62" s="36"/>
      <c r="ISP62" s="36"/>
      <c r="ISQ62" s="36"/>
      <c r="ISR62" s="36"/>
      <c r="ISS62" s="36"/>
      <c r="IST62" s="36"/>
      <c r="ISU62" s="36"/>
      <c r="ISV62" s="36"/>
      <c r="ISW62" s="36"/>
      <c r="ISX62" s="36"/>
      <c r="ISY62" s="36"/>
      <c r="ISZ62" s="36"/>
      <c r="ITA62" s="36"/>
      <c r="ITB62" s="36"/>
      <c r="ITC62" s="36"/>
      <c r="ITD62" s="36"/>
      <c r="ITE62" s="36"/>
      <c r="ITF62" s="36"/>
      <c r="ITG62" s="36"/>
      <c r="ITH62" s="36"/>
      <c r="ITI62" s="36"/>
      <c r="ITJ62" s="36"/>
      <c r="ITK62" s="36"/>
      <c r="ITL62" s="36"/>
      <c r="ITM62" s="36"/>
      <c r="ITN62" s="36"/>
      <c r="ITO62" s="36"/>
      <c r="ITP62" s="36"/>
      <c r="ITQ62" s="36"/>
      <c r="ITR62" s="36"/>
      <c r="ITS62" s="36"/>
      <c r="ITT62" s="36"/>
      <c r="ITU62" s="36"/>
      <c r="ITV62" s="36"/>
      <c r="ITW62" s="36"/>
      <c r="ITX62" s="36"/>
      <c r="ITY62" s="36"/>
      <c r="ITZ62" s="36"/>
      <c r="IUA62" s="36"/>
      <c r="IUB62" s="36"/>
      <c r="IUC62" s="36"/>
      <c r="IUD62" s="36"/>
      <c r="IUE62" s="36"/>
      <c r="IUF62" s="36"/>
      <c r="IUG62" s="36"/>
      <c r="IUH62" s="36"/>
      <c r="IUI62" s="36"/>
      <c r="IUJ62" s="36"/>
      <c r="IUK62" s="36"/>
      <c r="IUL62" s="36"/>
      <c r="IUM62" s="36"/>
      <c r="IUN62" s="36"/>
      <c r="IUO62" s="36"/>
      <c r="IUP62" s="36"/>
      <c r="IUQ62" s="36"/>
      <c r="IUR62" s="36"/>
      <c r="IUS62" s="36"/>
      <c r="IUT62" s="36"/>
      <c r="IUU62" s="36"/>
      <c r="IUV62" s="36"/>
      <c r="IUW62" s="36"/>
      <c r="IUX62" s="36"/>
      <c r="IUY62" s="36"/>
      <c r="IUZ62" s="36"/>
      <c r="IVA62" s="36"/>
      <c r="IVB62" s="36"/>
      <c r="IVC62" s="36"/>
      <c r="IVD62" s="36"/>
      <c r="IVE62" s="36"/>
      <c r="IVF62" s="36"/>
      <c r="IVG62" s="36"/>
      <c r="IVH62" s="36"/>
      <c r="IVI62" s="36"/>
      <c r="IVJ62" s="36"/>
      <c r="IVK62" s="36"/>
      <c r="IVL62" s="36"/>
      <c r="IVM62" s="36"/>
      <c r="IVN62" s="36"/>
      <c r="IVO62" s="36"/>
      <c r="IVP62" s="36"/>
      <c r="IVQ62" s="36"/>
      <c r="IVR62" s="36"/>
      <c r="IVS62" s="36"/>
      <c r="IVT62" s="36"/>
      <c r="IVU62" s="36"/>
      <c r="IVV62" s="36"/>
      <c r="IVW62" s="36"/>
      <c r="IVX62" s="36"/>
      <c r="IVY62" s="36"/>
      <c r="IVZ62" s="36"/>
      <c r="IWA62" s="36"/>
      <c r="IWB62" s="36"/>
      <c r="IWC62" s="36"/>
      <c r="IWD62" s="36"/>
      <c r="IWE62" s="36"/>
      <c r="IWF62" s="36"/>
      <c r="IWG62" s="36"/>
      <c r="IWH62" s="36"/>
      <c r="IWI62" s="36"/>
      <c r="IWJ62" s="36"/>
      <c r="IWK62" s="36"/>
      <c r="IWL62" s="36"/>
      <c r="IWM62" s="36"/>
      <c r="IWN62" s="36"/>
      <c r="IWO62" s="36"/>
      <c r="IWP62" s="36"/>
      <c r="IWQ62" s="36"/>
      <c r="IWR62" s="36"/>
      <c r="IWS62" s="36"/>
      <c r="IWT62" s="36"/>
      <c r="IWU62" s="36"/>
      <c r="IWV62" s="36"/>
      <c r="IWW62" s="36"/>
      <c r="IWX62" s="36"/>
      <c r="IWY62" s="36"/>
      <c r="IWZ62" s="36"/>
      <c r="IXA62" s="36"/>
      <c r="IXB62" s="36"/>
      <c r="IXC62" s="36"/>
      <c r="IXD62" s="36"/>
      <c r="IXE62" s="36"/>
      <c r="IXF62" s="36"/>
      <c r="IXG62" s="36"/>
      <c r="IXH62" s="36"/>
      <c r="IXI62" s="36"/>
      <c r="IXJ62" s="36"/>
      <c r="IXK62" s="36"/>
      <c r="IXL62" s="36"/>
      <c r="IXM62" s="36"/>
      <c r="IXN62" s="36"/>
      <c r="IXO62" s="36"/>
      <c r="IXP62" s="36"/>
      <c r="IXQ62" s="36"/>
      <c r="IXR62" s="36"/>
      <c r="IXS62" s="36"/>
      <c r="IXT62" s="36"/>
      <c r="IXU62" s="36"/>
      <c r="IXV62" s="36"/>
      <c r="IXW62" s="36"/>
      <c r="IXX62" s="36"/>
      <c r="IXY62" s="36"/>
      <c r="IXZ62" s="36"/>
      <c r="IYA62" s="36"/>
      <c r="IYB62" s="36"/>
      <c r="IYC62" s="36"/>
      <c r="IYD62" s="36"/>
      <c r="IYE62" s="36"/>
      <c r="IYF62" s="36"/>
      <c r="IYG62" s="36"/>
      <c r="IYH62" s="36"/>
      <c r="IYI62" s="36"/>
      <c r="IYJ62" s="36"/>
      <c r="IYK62" s="36"/>
      <c r="IYL62" s="36"/>
      <c r="IYM62" s="36"/>
      <c r="IYN62" s="36"/>
      <c r="IYO62" s="36"/>
      <c r="IYP62" s="36"/>
      <c r="IYQ62" s="36"/>
      <c r="IYR62" s="36"/>
      <c r="IYS62" s="36"/>
      <c r="IYT62" s="36"/>
      <c r="IYU62" s="36"/>
      <c r="IYV62" s="36"/>
      <c r="IYW62" s="36"/>
      <c r="IYX62" s="36"/>
      <c r="IYY62" s="36"/>
      <c r="IYZ62" s="36"/>
      <c r="IZA62" s="36"/>
      <c r="IZB62" s="36"/>
      <c r="IZC62" s="36"/>
      <c r="IZD62" s="36"/>
      <c r="IZE62" s="36"/>
      <c r="IZF62" s="36"/>
      <c r="IZG62" s="36"/>
      <c r="IZH62" s="36"/>
      <c r="IZI62" s="36"/>
      <c r="IZJ62" s="36"/>
      <c r="IZK62" s="36"/>
      <c r="IZL62" s="36"/>
      <c r="IZM62" s="36"/>
      <c r="IZN62" s="36"/>
      <c r="IZO62" s="36"/>
      <c r="IZP62" s="36"/>
      <c r="IZQ62" s="36"/>
      <c r="IZR62" s="36"/>
      <c r="IZS62" s="36"/>
      <c r="IZT62" s="36"/>
      <c r="IZU62" s="36"/>
      <c r="IZV62" s="36"/>
      <c r="IZW62" s="36"/>
      <c r="IZX62" s="36"/>
      <c r="IZY62" s="36"/>
      <c r="IZZ62" s="36"/>
      <c r="JAA62" s="36"/>
      <c r="JAB62" s="36"/>
      <c r="JAC62" s="36"/>
      <c r="JAD62" s="36"/>
      <c r="JAE62" s="36"/>
      <c r="JAF62" s="36"/>
      <c r="JAG62" s="36"/>
      <c r="JAH62" s="36"/>
      <c r="JAI62" s="36"/>
      <c r="JAJ62" s="36"/>
      <c r="JAK62" s="36"/>
      <c r="JAL62" s="36"/>
      <c r="JAM62" s="36"/>
      <c r="JAN62" s="36"/>
      <c r="JAO62" s="36"/>
      <c r="JAP62" s="36"/>
      <c r="JAQ62" s="36"/>
      <c r="JAR62" s="36"/>
      <c r="JAS62" s="36"/>
      <c r="JAT62" s="36"/>
      <c r="JAU62" s="36"/>
      <c r="JAV62" s="36"/>
      <c r="JAW62" s="36"/>
      <c r="JAX62" s="36"/>
      <c r="JAY62" s="36"/>
      <c r="JAZ62" s="36"/>
      <c r="JBA62" s="36"/>
      <c r="JBB62" s="36"/>
      <c r="JBC62" s="36"/>
      <c r="JBD62" s="36"/>
      <c r="JBE62" s="36"/>
      <c r="JBF62" s="36"/>
      <c r="JBG62" s="36"/>
      <c r="JBH62" s="36"/>
      <c r="JBI62" s="36"/>
      <c r="JBJ62" s="36"/>
      <c r="JBK62" s="36"/>
      <c r="JBL62" s="36"/>
      <c r="JBM62" s="36"/>
      <c r="JBN62" s="36"/>
      <c r="JBO62" s="36"/>
      <c r="JBP62" s="36"/>
      <c r="JBQ62" s="36"/>
      <c r="JBR62" s="36"/>
      <c r="JBS62" s="36"/>
      <c r="JBT62" s="36"/>
      <c r="JBU62" s="36"/>
      <c r="JBV62" s="36"/>
      <c r="JBW62" s="36"/>
      <c r="JBX62" s="36"/>
      <c r="JBY62" s="36"/>
      <c r="JBZ62" s="36"/>
      <c r="JCA62" s="36"/>
      <c r="JCB62" s="36"/>
      <c r="JCC62" s="36"/>
      <c r="JCD62" s="36"/>
      <c r="JCE62" s="36"/>
      <c r="JCF62" s="36"/>
      <c r="JCG62" s="36"/>
      <c r="JCH62" s="36"/>
      <c r="JCI62" s="36"/>
      <c r="JCJ62" s="36"/>
      <c r="JCK62" s="36"/>
      <c r="JCL62" s="36"/>
      <c r="JCM62" s="36"/>
      <c r="JCN62" s="36"/>
      <c r="JCO62" s="36"/>
      <c r="JCP62" s="36"/>
      <c r="JCQ62" s="36"/>
      <c r="JCR62" s="36"/>
      <c r="JCS62" s="36"/>
      <c r="JCT62" s="36"/>
      <c r="JCU62" s="36"/>
      <c r="JCV62" s="36"/>
      <c r="JCW62" s="36"/>
      <c r="JCX62" s="36"/>
      <c r="JCY62" s="36"/>
      <c r="JCZ62" s="36"/>
      <c r="JDA62" s="36"/>
      <c r="JDB62" s="36"/>
      <c r="JDC62" s="36"/>
      <c r="JDD62" s="36"/>
      <c r="JDE62" s="36"/>
      <c r="JDF62" s="36"/>
      <c r="JDG62" s="36"/>
      <c r="JDH62" s="36"/>
      <c r="JDI62" s="36"/>
      <c r="JDJ62" s="36"/>
      <c r="JDK62" s="36"/>
      <c r="JDL62" s="36"/>
      <c r="JDM62" s="36"/>
      <c r="JDN62" s="36"/>
      <c r="JDO62" s="36"/>
      <c r="JDP62" s="36"/>
      <c r="JDQ62" s="36"/>
      <c r="JDR62" s="36"/>
      <c r="JDS62" s="36"/>
      <c r="JDT62" s="36"/>
      <c r="JDU62" s="36"/>
      <c r="JDV62" s="36"/>
      <c r="JDW62" s="36"/>
      <c r="JDX62" s="36"/>
      <c r="JDY62" s="36"/>
      <c r="JDZ62" s="36"/>
      <c r="JEA62" s="36"/>
      <c r="JEB62" s="36"/>
      <c r="JEC62" s="36"/>
      <c r="JED62" s="36"/>
      <c r="JEE62" s="36"/>
      <c r="JEF62" s="36"/>
      <c r="JEG62" s="36"/>
      <c r="JEH62" s="36"/>
      <c r="JEI62" s="36"/>
      <c r="JEJ62" s="36"/>
      <c r="JEK62" s="36"/>
      <c r="JEL62" s="36"/>
      <c r="JEM62" s="36"/>
      <c r="JEN62" s="36"/>
      <c r="JEO62" s="36"/>
      <c r="JEP62" s="36"/>
      <c r="JEQ62" s="36"/>
      <c r="JER62" s="36"/>
      <c r="JES62" s="36"/>
      <c r="JET62" s="36"/>
      <c r="JEU62" s="36"/>
      <c r="JEV62" s="36"/>
      <c r="JEW62" s="36"/>
      <c r="JEX62" s="36"/>
      <c r="JEY62" s="36"/>
      <c r="JEZ62" s="36"/>
      <c r="JFA62" s="36"/>
      <c r="JFB62" s="36"/>
      <c r="JFC62" s="36"/>
      <c r="JFD62" s="36"/>
      <c r="JFE62" s="36"/>
      <c r="JFF62" s="36"/>
      <c r="JFG62" s="36"/>
      <c r="JFH62" s="36"/>
      <c r="JFI62" s="36"/>
      <c r="JFJ62" s="36"/>
      <c r="JFK62" s="36"/>
      <c r="JFL62" s="36"/>
      <c r="JFM62" s="36"/>
      <c r="JFN62" s="36"/>
      <c r="JFO62" s="36"/>
      <c r="JFP62" s="36"/>
      <c r="JFQ62" s="36"/>
      <c r="JFR62" s="36"/>
      <c r="JFS62" s="36"/>
      <c r="JFT62" s="36"/>
      <c r="JFU62" s="36"/>
      <c r="JFV62" s="36"/>
      <c r="JFW62" s="36"/>
      <c r="JFX62" s="36"/>
      <c r="JFY62" s="36"/>
      <c r="JFZ62" s="36"/>
      <c r="JGA62" s="36"/>
      <c r="JGB62" s="36"/>
      <c r="JGC62" s="36"/>
      <c r="JGD62" s="36"/>
      <c r="JGE62" s="36"/>
      <c r="JGF62" s="36"/>
      <c r="JGG62" s="36"/>
      <c r="JGH62" s="36"/>
      <c r="JGI62" s="36"/>
      <c r="JGJ62" s="36"/>
      <c r="JGK62" s="36"/>
      <c r="JGL62" s="36"/>
      <c r="JGM62" s="36"/>
      <c r="JGN62" s="36"/>
      <c r="JGO62" s="36"/>
      <c r="JGP62" s="36"/>
      <c r="JGQ62" s="36"/>
      <c r="JGR62" s="36"/>
      <c r="JGS62" s="36"/>
      <c r="JGT62" s="36"/>
      <c r="JGU62" s="36"/>
      <c r="JGV62" s="36"/>
      <c r="JGW62" s="36"/>
      <c r="JGX62" s="36"/>
      <c r="JGY62" s="36"/>
      <c r="JGZ62" s="36"/>
      <c r="JHA62" s="36"/>
      <c r="JHB62" s="36"/>
      <c r="JHC62" s="36"/>
      <c r="JHD62" s="36"/>
      <c r="JHE62" s="36"/>
      <c r="JHF62" s="36"/>
      <c r="JHG62" s="36"/>
      <c r="JHH62" s="36"/>
      <c r="JHI62" s="36"/>
      <c r="JHJ62" s="36"/>
      <c r="JHK62" s="36"/>
      <c r="JHL62" s="36"/>
      <c r="JHM62" s="36"/>
      <c r="JHN62" s="36"/>
      <c r="JHO62" s="36"/>
      <c r="JHP62" s="36"/>
      <c r="JHQ62" s="36"/>
      <c r="JHR62" s="36"/>
      <c r="JHS62" s="36"/>
      <c r="JHT62" s="36"/>
      <c r="JHU62" s="36"/>
      <c r="JHV62" s="36"/>
      <c r="JHW62" s="36"/>
      <c r="JHX62" s="36"/>
      <c r="JHY62" s="36"/>
      <c r="JHZ62" s="36"/>
      <c r="JIA62" s="36"/>
      <c r="JIB62" s="36"/>
      <c r="JIC62" s="36"/>
      <c r="JID62" s="36"/>
      <c r="JIE62" s="36"/>
      <c r="JIF62" s="36"/>
      <c r="JIG62" s="36"/>
      <c r="JIH62" s="36"/>
      <c r="JII62" s="36"/>
      <c r="JIJ62" s="36"/>
      <c r="JIK62" s="36"/>
      <c r="JIL62" s="36"/>
      <c r="JIM62" s="36"/>
      <c r="JIN62" s="36"/>
      <c r="JIO62" s="36"/>
      <c r="JIP62" s="36"/>
      <c r="JIQ62" s="36"/>
      <c r="JIR62" s="36"/>
      <c r="JIS62" s="36"/>
      <c r="JIT62" s="36"/>
      <c r="JIU62" s="36"/>
      <c r="JIV62" s="36"/>
      <c r="JIW62" s="36"/>
      <c r="JIX62" s="36"/>
      <c r="JIY62" s="36"/>
      <c r="JIZ62" s="36"/>
      <c r="JJA62" s="36"/>
      <c r="JJB62" s="36"/>
      <c r="JJC62" s="36"/>
      <c r="JJD62" s="36"/>
      <c r="JJE62" s="36"/>
      <c r="JJF62" s="36"/>
      <c r="JJG62" s="36"/>
      <c r="JJH62" s="36"/>
      <c r="JJI62" s="36"/>
      <c r="JJJ62" s="36"/>
      <c r="JJK62" s="36"/>
      <c r="JJL62" s="36"/>
      <c r="JJM62" s="36"/>
      <c r="JJN62" s="36"/>
      <c r="JJO62" s="36"/>
      <c r="JJP62" s="36"/>
      <c r="JJQ62" s="36"/>
      <c r="JJR62" s="36"/>
      <c r="JJS62" s="36"/>
      <c r="JJT62" s="36"/>
      <c r="JJU62" s="36"/>
      <c r="JJV62" s="36"/>
      <c r="JJW62" s="36"/>
      <c r="JJX62" s="36"/>
      <c r="JJY62" s="36"/>
      <c r="JJZ62" s="36"/>
      <c r="JKA62" s="36"/>
      <c r="JKB62" s="36"/>
      <c r="JKC62" s="36"/>
      <c r="JKD62" s="36"/>
      <c r="JKE62" s="36"/>
      <c r="JKF62" s="36"/>
      <c r="JKG62" s="36"/>
      <c r="JKH62" s="36"/>
      <c r="JKI62" s="36"/>
      <c r="JKJ62" s="36"/>
      <c r="JKK62" s="36"/>
      <c r="JKL62" s="36"/>
      <c r="JKM62" s="36"/>
      <c r="JKN62" s="36"/>
      <c r="JKO62" s="36"/>
      <c r="JKP62" s="36"/>
      <c r="JKQ62" s="36"/>
      <c r="JKR62" s="36"/>
      <c r="JKS62" s="36"/>
      <c r="JKT62" s="36"/>
      <c r="JKU62" s="36"/>
      <c r="JKV62" s="36"/>
      <c r="JKW62" s="36"/>
      <c r="JKX62" s="36"/>
      <c r="JKY62" s="36"/>
      <c r="JKZ62" s="36"/>
      <c r="JLA62" s="36"/>
      <c r="JLB62" s="36"/>
      <c r="JLC62" s="36"/>
      <c r="JLD62" s="36"/>
      <c r="JLE62" s="36"/>
      <c r="JLF62" s="36"/>
      <c r="JLG62" s="36"/>
      <c r="JLH62" s="36"/>
      <c r="JLI62" s="36"/>
      <c r="JLJ62" s="36"/>
      <c r="JLK62" s="36"/>
      <c r="JLL62" s="36"/>
      <c r="JLM62" s="36"/>
      <c r="JLN62" s="36"/>
      <c r="JLO62" s="36"/>
      <c r="JLP62" s="36"/>
      <c r="JLQ62" s="36"/>
      <c r="JLR62" s="36"/>
      <c r="JLS62" s="36"/>
      <c r="JLT62" s="36"/>
      <c r="JLU62" s="36"/>
      <c r="JLV62" s="36"/>
      <c r="JLW62" s="36"/>
      <c r="JLX62" s="36"/>
      <c r="JLY62" s="36"/>
      <c r="JLZ62" s="36"/>
      <c r="JMA62" s="36"/>
      <c r="JMB62" s="36"/>
      <c r="JMC62" s="36"/>
      <c r="JMD62" s="36"/>
      <c r="JME62" s="36"/>
      <c r="JMF62" s="36"/>
      <c r="JMG62" s="36"/>
      <c r="JMH62" s="36"/>
      <c r="JMI62" s="36"/>
      <c r="JMJ62" s="36"/>
      <c r="JMK62" s="36"/>
      <c r="JML62" s="36"/>
      <c r="JMM62" s="36"/>
      <c r="JMN62" s="36"/>
      <c r="JMO62" s="36"/>
      <c r="JMP62" s="36"/>
      <c r="JMQ62" s="36"/>
      <c r="JMR62" s="36"/>
      <c r="JMS62" s="36"/>
      <c r="JMT62" s="36"/>
      <c r="JMU62" s="36"/>
      <c r="JMV62" s="36"/>
      <c r="JMW62" s="36"/>
      <c r="JMX62" s="36"/>
      <c r="JMY62" s="36"/>
      <c r="JMZ62" s="36"/>
      <c r="JNA62" s="36"/>
      <c r="JNB62" s="36"/>
      <c r="JNC62" s="36"/>
      <c r="JND62" s="36"/>
      <c r="JNE62" s="36"/>
      <c r="JNF62" s="36"/>
      <c r="JNG62" s="36"/>
      <c r="JNH62" s="36"/>
      <c r="JNI62" s="36"/>
      <c r="JNJ62" s="36"/>
      <c r="JNK62" s="36"/>
      <c r="JNL62" s="36"/>
      <c r="JNM62" s="36"/>
      <c r="JNN62" s="36"/>
      <c r="JNO62" s="36"/>
      <c r="JNP62" s="36"/>
      <c r="JNQ62" s="36"/>
      <c r="JNR62" s="36"/>
      <c r="JNS62" s="36"/>
      <c r="JNT62" s="36"/>
      <c r="JNU62" s="36"/>
      <c r="JNV62" s="36"/>
      <c r="JNW62" s="36"/>
      <c r="JNX62" s="36"/>
      <c r="JNY62" s="36"/>
      <c r="JNZ62" s="36"/>
      <c r="JOA62" s="36"/>
      <c r="JOB62" s="36"/>
      <c r="JOC62" s="36"/>
      <c r="JOD62" s="36"/>
      <c r="JOE62" s="36"/>
      <c r="JOF62" s="36"/>
      <c r="JOG62" s="36"/>
      <c r="JOH62" s="36"/>
      <c r="JOI62" s="36"/>
      <c r="JOJ62" s="36"/>
      <c r="JOK62" s="36"/>
      <c r="JOL62" s="36"/>
      <c r="JOM62" s="36"/>
      <c r="JON62" s="36"/>
      <c r="JOO62" s="36"/>
      <c r="JOP62" s="36"/>
      <c r="JOQ62" s="36"/>
      <c r="JOR62" s="36"/>
      <c r="JOS62" s="36"/>
      <c r="JOT62" s="36"/>
      <c r="JOU62" s="36"/>
      <c r="JOV62" s="36"/>
      <c r="JOW62" s="36"/>
      <c r="JOX62" s="36"/>
      <c r="JOY62" s="36"/>
      <c r="JOZ62" s="36"/>
      <c r="JPA62" s="36"/>
      <c r="JPB62" s="36"/>
      <c r="JPC62" s="36"/>
      <c r="JPD62" s="36"/>
      <c r="JPE62" s="36"/>
      <c r="JPF62" s="36"/>
      <c r="JPG62" s="36"/>
      <c r="JPH62" s="36"/>
      <c r="JPI62" s="36"/>
      <c r="JPJ62" s="36"/>
      <c r="JPK62" s="36"/>
      <c r="JPL62" s="36"/>
      <c r="JPM62" s="36"/>
      <c r="JPN62" s="36"/>
      <c r="JPO62" s="36"/>
      <c r="JPP62" s="36"/>
      <c r="JPQ62" s="36"/>
      <c r="JPR62" s="36"/>
      <c r="JPS62" s="36"/>
      <c r="JPT62" s="36"/>
      <c r="JPU62" s="36"/>
      <c r="JPV62" s="36"/>
      <c r="JPW62" s="36"/>
      <c r="JPX62" s="36"/>
      <c r="JPY62" s="36"/>
      <c r="JPZ62" s="36"/>
      <c r="JQA62" s="36"/>
      <c r="JQB62" s="36"/>
      <c r="JQC62" s="36"/>
      <c r="JQD62" s="36"/>
      <c r="JQE62" s="36"/>
      <c r="JQF62" s="36"/>
      <c r="JQG62" s="36"/>
      <c r="JQH62" s="36"/>
      <c r="JQI62" s="36"/>
      <c r="JQJ62" s="36"/>
      <c r="JQK62" s="36"/>
      <c r="JQL62" s="36"/>
      <c r="JQM62" s="36"/>
      <c r="JQN62" s="36"/>
      <c r="JQO62" s="36"/>
      <c r="JQP62" s="36"/>
      <c r="JQQ62" s="36"/>
      <c r="JQR62" s="36"/>
      <c r="JQS62" s="36"/>
      <c r="JQT62" s="36"/>
      <c r="JQU62" s="36"/>
      <c r="JQV62" s="36"/>
      <c r="JQW62" s="36"/>
      <c r="JQX62" s="36"/>
      <c r="JQY62" s="36"/>
      <c r="JQZ62" s="36"/>
      <c r="JRA62" s="36"/>
      <c r="JRB62" s="36"/>
      <c r="JRC62" s="36"/>
      <c r="JRD62" s="36"/>
      <c r="JRE62" s="36"/>
      <c r="JRF62" s="36"/>
      <c r="JRG62" s="36"/>
      <c r="JRH62" s="36"/>
      <c r="JRI62" s="36"/>
      <c r="JRJ62" s="36"/>
      <c r="JRK62" s="36"/>
      <c r="JRL62" s="36"/>
      <c r="JRM62" s="36"/>
      <c r="JRN62" s="36"/>
      <c r="JRO62" s="36"/>
      <c r="JRP62" s="36"/>
      <c r="JRQ62" s="36"/>
      <c r="JRR62" s="36"/>
      <c r="JRS62" s="36"/>
      <c r="JRT62" s="36"/>
      <c r="JRU62" s="36"/>
      <c r="JRV62" s="36"/>
      <c r="JRW62" s="36"/>
      <c r="JRX62" s="36"/>
      <c r="JRY62" s="36"/>
      <c r="JRZ62" s="36"/>
      <c r="JSA62" s="36"/>
      <c r="JSB62" s="36"/>
      <c r="JSC62" s="36"/>
      <c r="JSD62" s="36"/>
      <c r="JSE62" s="36"/>
      <c r="JSF62" s="36"/>
      <c r="JSG62" s="36"/>
      <c r="JSH62" s="36"/>
      <c r="JSI62" s="36"/>
      <c r="JSJ62" s="36"/>
      <c r="JSK62" s="36"/>
      <c r="JSL62" s="36"/>
      <c r="JSM62" s="36"/>
      <c r="JSN62" s="36"/>
      <c r="JSO62" s="36"/>
      <c r="JSP62" s="36"/>
      <c r="JSQ62" s="36"/>
      <c r="JSR62" s="36"/>
      <c r="JSS62" s="36"/>
      <c r="JST62" s="36"/>
      <c r="JSU62" s="36"/>
      <c r="JSV62" s="36"/>
      <c r="JSW62" s="36"/>
      <c r="JSX62" s="36"/>
      <c r="JSY62" s="36"/>
      <c r="JSZ62" s="36"/>
      <c r="JTA62" s="36"/>
      <c r="JTB62" s="36"/>
      <c r="JTC62" s="36"/>
      <c r="JTD62" s="36"/>
      <c r="JTE62" s="36"/>
      <c r="JTF62" s="36"/>
      <c r="JTG62" s="36"/>
      <c r="JTH62" s="36"/>
      <c r="JTI62" s="36"/>
      <c r="JTJ62" s="36"/>
      <c r="JTK62" s="36"/>
      <c r="JTL62" s="36"/>
      <c r="JTM62" s="36"/>
      <c r="JTN62" s="36"/>
      <c r="JTO62" s="36"/>
      <c r="JTP62" s="36"/>
      <c r="JTQ62" s="36"/>
      <c r="JTR62" s="36"/>
      <c r="JTS62" s="36"/>
      <c r="JTT62" s="36"/>
      <c r="JTU62" s="36"/>
      <c r="JTV62" s="36"/>
      <c r="JTW62" s="36"/>
      <c r="JTX62" s="36"/>
      <c r="JTY62" s="36"/>
      <c r="JTZ62" s="36"/>
      <c r="JUA62" s="36"/>
      <c r="JUB62" s="36"/>
      <c r="JUC62" s="36"/>
      <c r="JUD62" s="36"/>
      <c r="JUE62" s="36"/>
      <c r="JUF62" s="36"/>
      <c r="JUG62" s="36"/>
      <c r="JUH62" s="36"/>
      <c r="JUI62" s="36"/>
      <c r="JUJ62" s="36"/>
      <c r="JUK62" s="36"/>
      <c r="JUL62" s="36"/>
      <c r="JUM62" s="36"/>
      <c r="JUN62" s="36"/>
      <c r="JUO62" s="36"/>
      <c r="JUP62" s="36"/>
      <c r="JUQ62" s="36"/>
      <c r="JUR62" s="36"/>
      <c r="JUS62" s="36"/>
      <c r="JUT62" s="36"/>
      <c r="JUU62" s="36"/>
      <c r="JUV62" s="36"/>
      <c r="JUW62" s="36"/>
      <c r="JUX62" s="36"/>
      <c r="JUY62" s="36"/>
      <c r="JUZ62" s="36"/>
      <c r="JVA62" s="36"/>
      <c r="JVB62" s="36"/>
      <c r="JVC62" s="36"/>
      <c r="JVD62" s="36"/>
      <c r="JVE62" s="36"/>
      <c r="JVF62" s="36"/>
      <c r="JVG62" s="36"/>
      <c r="JVH62" s="36"/>
      <c r="JVI62" s="36"/>
      <c r="JVJ62" s="36"/>
      <c r="JVK62" s="36"/>
      <c r="JVL62" s="36"/>
      <c r="JVM62" s="36"/>
      <c r="JVN62" s="36"/>
      <c r="JVO62" s="36"/>
      <c r="JVP62" s="36"/>
      <c r="JVQ62" s="36"/>
      <c r="JVR62" s="36"/>
      <c r="JVS62" s="36"/>
      <c r="JVT62" s="36"/>
      <c r="JVU62" s="36"/>
      <c r="JVV62" s="36"/>
      <c r="JVW62" s="36"/>
      <c r="JVX62" s="36"/>
      <c r="JVY62" s="36"/>
      <c r="JVZ62" s="36"/>
      <c r="JWA62" s="36"/>
      <c r="JWB62" s="36"/>
      <c r="JWC62" s="36"/>
      <c r="JWD62" s="36"/>
      <c r="JWE62" s="36"/>
      <c r="JWF62" s="36"/>
      <c r="JWG62" s="36"/>
      <c r="JWH62" s="36"/>
      <c r="JWI62" s="36"/>
      <c r="JWJ62" s="36"/>
      <c r="JWK62" s="36"/>
      <c r="JWL62" s="36"/>
      <c r="JWM62" s="36"/>
      <c r="JWN62" s="36"/>
      <c r="JWO62" s="36"/>
      <c r="JWP62" s="36"/>
      <c r="JWQ62" s="36"/>
      <c r="JWR62" s="36"/>
      <c r="JWS62" s="36"/>
      <c r="JWT62" s="36"/>
      <c r="JWU62" s="36"/>
      <c r="JWV62" s="36"/>
      <c r="JWW62" s="36"/>
      <c r="JWX62" s="36"/>
      <c r="JWY62" s="36"/>
      <c r="JWZ62" s="36"/>
      <c r="JXA62" s="36"/>
      <c r="JXB62" s="36"/>
      <c r="JXC62" s="36"/>
      <c r="JXD62" s="36"/>
      <c r="JXE62" s="36"/>
      <c r="JXF62" s="36"/>
      <c r="JXG62" s="36"/>
      <c r="JXH62" s="36"/>
      <c r="JXI62" s="36"/>
      <c r="JXJ62" s="36"/>
      <c r="JXK62" s="36"/>
      <c r="JXL62" s="36"/>
      <c r="JXM62" s="36"/>
      <c r="JXN62" s="36"/>
      <c r="JXO62" s="36"/>
      <c r="JXP62" s="36"/>
      <c r="JXQ62" s="36"/>
      <c r="JXR62" s="36"/>
      <c r="JXS62" s="36"/>
      <c r="JXT62" s="36"/>
      <c r="JXU62" s="36"/>
      <c r="JXV62" s="36"/>
      <c r="JXW62" s="36"/>
      <c r="JXX62" s="36"/>
      <c r="JXY62" s="36"/>
      <c r="JXZ62" s="36"/>
      <c r="JYA62" s="36"/>
      <c r="JYB62" s="36"/>
      <c r="JYC62" s="36"/>
      <c r="JYD62" s="36"/>
      <c r="JYE62" s="36"/>
      <c r="JYF62" s="36"/>
      <c r="JYG62" s="36"/>
      <c r="JYH62" s="36"/>
      <c r="JYI62" s="36"/>
      <c r="JYJ62" s="36"/>
      <c r="JYK62" s="36"/>
      <c r="JYL62" s="36"/>
      <c r="JYM62" s="36"/>
      <c r="JYN62" s="36"/>
      <c r="JYO62" s="36"/>
      <c r="JYP62" s="36"/>
      <c r="JYQ62" s="36"/>
      <c r="JYR62" s="36"/>
      <c r="JYS62" s="36"/>
      <c r="JYT62" s="36"/>
      <c r="JYU62" s="36"/>
      <c r="JYV62" s="36"/>
      <c r="JYW62" s="36"/>
      <c r="JYX62" s="36"/>
      <c r="JYY62" s="36"/>
      <c r="JYZ62" s="36"/>
      <c r="JZA62" s="36"/>
      <c r="JZB62" s="36"/>
      <c r="JZC62" s="36"/>
      <c r="JZD62" s="36"/>
      <c r="JZE62" s="36"/>
      <c r="JZF62" s="36"/>
      <c r="JZG62" s="36"/>
      <c r="JZH62" s="36"/>
      <c r="JZI62" s="36"/>
      <c r="JZJ62" s="36"/>
      <c r="JZK62" s="36"/>
      <c r="JZL62" s="36"/>
      <c r="JZM62" s="36"/>
      <c r="JZN62" s="36"/>
      <c r="JZO62" s="36"/>
      <c r="JZP62" s="36"/>
      <c r="JZQ62" s="36"/>
      <c r="JZR62" s="36"/>
      <c r="JZS62" s="36"/>
      <c r="JZT62" s="36"/>
      <c r="JZU62" s="36"/>
      <c r="JZV62" s="36"/>
      <c r="JZW62" s="36"/>
      <c r="JZX62" s="36"/>
      <c r="JZY62" s="36"/>
      <c r="JZZ62" s="36"/>
      <c r="KAA62" s="36"/>
      <c r="KAB62" s="36"/>
      <c r="KAC62" s="36"/>
      <c r="KAD62" s="36"/>
      <c r="KAE62" s="36"/>
      <c r="KAF62" s="36"/>
      <c r="KAG62" s="36"/>
      <c r="KAH62" s="36"/>
      <c r="KAI62" s="36"/>
      <c r="KAJ62" s="36"/>
      <c r="KAK62" s="36"/>
      <c r="KAL62" s="36"/>
      <c r="KAM62" s="36"/>
      <c r="KAN62" s="36"/>
      <c r="KAO62" s="36"/>
      <c r="KAP62" s="36"/>
      <c r="KAQ62" s="36"/>
      <c r="KAR62" s="36"/>
      <c r="KAS62" s="36"/>
      <c r="KAT62" s="36"/>
      <c r="KAU62" s="36"/>
      <c r="KAV62" s="36"/>
      <c r="KAW62" s="36"/>
      <c r="KAX62" s="36"/>
      <c r="KAY62" s="36"/>
      <c r="KAZ62" s="36"/>
      <c r="KBA62" s="36"/>
      <c r="KBB62" s="36"/>
      <c r="KBC62" s="36"/>
      <c r="KBD62" s="36"/>
      <c r="KBE62" s="36"/>
      <c r="KBF62" s="36"/>
      <c r="KBG62" s="36"/>
      <c r="KBH62" s="36"/>
      <c r="KBI62" s="36"/>
      <c r="KBJ62" s="36"/>
      <c r="KBK62" s="36"/>
      <c r="KBL62" s="36"/>
      <c r="KBM62" s="36"/>
      <c r="KBN62" s="36"/>
      <c r="KBO62" s="36"/>
      <c r="KBP62" s="36"/>
      <c r="KBQ62" s="36"/>
      <c r="KBR62" s="36"/>
      <c r="KBS62" s="36"/>
      <c r="KBT62" s="36"/>
      <c r="KBU62" s="36"/>
      <c r="KBV62" s="36"/>
      <c r="KBW62" s="36"/>
      <c r="KBX62" s="36"/>
      <c r="KBY62" s="36"/>
      <c r="KBZ62" s="36"/>
      <c r="KCA62" s="36"/>
      <c r="KCB62" s="36"/>
      <c r="KCC62" s="36"/>
      <c r="KCD62" s="36"/>
      <c r="KCE62" s="36"/>
      <c r="KCF62" s="36"/>
      <c r="KCG62" s="36"/>
      <c r="KCH62" s="36"/>
      <c r="KCI62" s="36"/>
      <c r="KCJ62" s="36"/>
      <c r="KCK62" s="36"/>
      <c r="KCL62" s="36"/>
      <c r="KCM62" s="36"/>
      <c r="KCN62" s="36"/>
      <c r="KCO62" s="36"/>
      <c r="KCP62" s="36"/>
      <c r="KCQ62" s="36"/>
      <c r="KCR62" s="36"/>
      <c r="KCS62" s="36"/>
      <c r="KCT62" s="36"/>
      <c r="KCU62" s="36"/>
      <c r="KCV62" s="36"/>
      <c r="KCW62" s="36"/>
      <c r="KCX62" s="36"/>
      <c r="KCY62" s="36"/>
      <c r="KCZ62" s="36"/>
      <c r="KDA62" s="36"/>
      <c r="KDB62" s="36"/>
      <c r="KDC62" s="36"/>
      <c r="KDD62" s="36"/>
      <c r="KDE62" s="36"/>
      <c r="KDF62" s="36"/>
      <c r="KDG62" s="36"/>
      <c r="KDH62" s="36"/>
      <c r="KDI62" s="36"/>
      <c r="KDJ62" s="36"/>
      <c r="KDK62" s="36"/>
      <c r="KDL62" s="36"/>
      <c r="KDM62" s="36"/>
      <c r="KDN62" s="36"/>
      <c r="KDO62" s="36"/>
      <c r="KDP62" s="36"/>
      <c r="KDQ62" s="36"/>
      <c r="KDR62" s="36"/>
      <c r="KDS62" s="36"/>
      <c r="KDT62" s="36"/>
      <c r="KDU62" s="36"/>
      <c r="KDV62" s="36"/>
      <c r="KDW62" s="36"/>
      <c r="KDX62" s="36"/>
      <c r="KDY62" s="36"/>
      <c r="KDZ62" s="36"/>
      <c r="KEA62" s="36"/>
      <c r="KEB62" s="36"/>
      <c r="KEC62" s="36"/>
      <c r="KED62" s="36"/>
      <c r="KEE62" s="36"/>
      <c r="KEF62" s="36"/>
      <c r="KEG62" s="36"/>
      <c r="KEH62" s="36"/>
      <c r="KEI62" s="36"/>
      <c r="KEJ62" s="36"/>
      <c r="KEK62" s="36"/>
      <c r="KEL62" s="36"/>
      <c r="KEM62" s="36"/>
      <c r="KEN62" s="36"/>
      <c r="KEO62" s="36"/>
      <c r="KEP62" s="36"/>
      <c r="KEQ62" s="36"/>
      <c r="KER62" s="36"/>
      <c r="KES62" s="36"/>
      <c r="KET62" s="36"/>
      <c r="KEU62" s="36"/>
      <c r="KEV62" s="36"/>
      <c r="KEW62" s="36"/>
      <c r="KEX62" s="36"/>
      <c r="KEY62" s="36"/>
      <c r="KEZ62" s="36"/>
      <c r="KFA62" s="36"/>
      <c r="KFB62" s="36"/>
      <c r="KFC62" s="36"/>
      <c r="KFD62" s="36"/>
      <c r="KFE62" s="36"/>
      <c r="KFF62" s="36"/>
      <c r="KFG62" s="36"/>
      <c r="KFH62" s="36"/>
      <c r="KFI62" s="36"/>
      <c r="KFJ62" s="36"/>
      <c r="KFK62" s="36"/>
      <c r="KFL62" s="36"/>
      <c r="KFM62" s="36"/>
      <c r="KFN62" s="36"/>
      <c r="KFO62" s="36"/>
      <c r="KFP62" s="36"/>
      <c r="KFQ62" s="36"/>
      <c r="KFR62" s="36"/>
      <c r="KFS62" s="36"/>
      <c r="KFT62" s="36"/>
      <c r="KFU62" s="36"/>
      <c r="KFV62" s="36"/>
      <c r="KFW62" s="36"/>
      <c r="KFX62" s="36"/>
      <c r="KFY62" s="36"/>
      <c r="KFZ62" s="36"/>
      <c r="KGA62" s="36"/>
      <c r="KGB62" s="36"/>
      <c r="KGC62" s="36"/>
      <c r="KGD62" s="36"/>
      <c r="KGE62" s="36"/>
      <c r="KGF62" s="36"/>
      <c r="KGG62" s="36"/>
      <c r="KGH62" s="36"/>
      <c r="KGI62" s="36"/>
      <c r="KGJ62" s="36"/>
      <c r="KGK62" s="36"/>
      <c r="KGL62" s="36"/>
      <c r="KGM62" s="36"/>
      <c r="KGN62" s="36"/>
      <c r="KGO62" s="36"/>
      <c r="KGP62" s="36"/>
      <c r="KGQ62" s="36"/>
      <c r="KGR62" s="36"/>
      <c r="KGS62" s="36"/>
      <c r="KGT62" s="36"/>
      <c r="KGU62" s="36"/>
      <c r="KGV62" s="36"/>
      <c r="KGW62" s="36"/>
      <c r="KGX62" s="36"/>
      <c r="KGY62" s="36"/>
      <c r="KGZ62" s="36"/>
      <c r="KHA62" s="36"/>
      <c r="KHB62" s="36"/>
      <c r="KHC62" s="36"/>
      <c r="KHD62" s="36"/>
      <c r="KHE62" s="36"/>
      <c r="KHF62" s="36"/>
      <c r="KHG62" s="36"/>
      <c r="KHH62" s="36"/>
      <c r="KHI62" s="36"/>
      <c r="KHJ62" s="36"/>
      <c r="KHK62" s="36"/>
      <c r="KHL62" s="36"/>
      <c r="KHM62" s="36"/>
      <c r="KHN62" s="36"/>
      <c r="KHO62" s="36"/>
      <c r="KHP62" s="36"/>
      <c r="KHQ62" s="36"/>
      <c r="KHR62" s="36"/>
      <c r="KHS62" s="36"/>
      <c r="KHT62" s="36"/>
      <c r="KHU62" s="36"/>
      <c r="KHV62" s="36"/>
      <c r="KHW62" s="36"/>
      <c r="KHX62" s="36"/>
      <c r="KHY62" s="36"/>
      <c r="KHZ62" s="36"/>
      <c r="KIA62" s="36"/>
      <c r="KIB62" s="36"/>
      <c r="KIC62" s="36"/>
      <c r="KID62" s="36"/>
      <c r="KIE62" s="36"/>
      <c r="KIF62" s="36"/>
      <c r="KIG62" s="36"/>
      <c r="KIH62" s="36"/>
      <c r="KII62" s="36"/>
      <c r="KIJ62" s="36"/>
      <c r="KIK62" s="36"/>
      <c r="KIL62" s="36"/>
      <c r="KIM62" s="36"/>
      <c r="KIN62" s="36"/>
      <c r="KIO62" s="36"/>
      <c r="KIP62" s="36"/>
      <c r="KIQ62" s="36"/>
      <c r="KIR62" s="36"/>
      <c r="KIS62" s="36"/>
      <c r="KIT62" s="36"/>
      <c r="KIU62" s="36"/>
      <c r="KIV62" s="36"/>
      <c r="KIW62" s="36"/>
      <c r="KIX62" s="36"/>
      <c r="KIY62" s="36"/>
      <c r="KIZ62" s="36"/>
      <c r="KJA62" s="36"/>
      <c r="KJB62" s="36"/>
      <c r="KJC62" s="36"/>
      <c r="KJD62" s="36"/>
      <c r="KJE62" s="36"/>
      <c r="KJF62" s="36"/>
      <c r="KJG62" s="36"/>
      <c r="KJH62" s="36"/>
      <c r="KJI62" s="36"/>
      <c r="KJJ62" s="36"/>
      <c r="KJK62" s="36"/>
      <c r="KJL62" s="36"/>
      <c r="KJM62" s="36"/>
      <c r="KJN62" s="36"/>
      <c r="KJO62" s="36"/>
      <c r="KJP62" s="36"/>
      <c r="KJQ62" s="36"/>
      <c r="KJR62" s="36"/>
      <c r="KJS62" s="36"/>
      <c r="KJT62" s="36"/>
      <c r="KJU62" s="36"/>
      <c r="KJV62" s="36"/>
      <c r="KJW62" s="36"/>
      <c r="KJX62" s="36"/>
      <c r="KJY62" s="36"/>
      <c r="KJZ62" s="36"/>
      <c r="KKA62" s="36"/>
      <c r="KKB62" s="36"/>
      <c r="KKC62" s="36"/>
      <c r="KKD62" s="36"/>
      <c r="KKE62" s="36"/>
      <c r="KKF62" s="36"/>
      <c r="KKG62" s="36"/>
      <c r="KKH62" s="36"/>
      <c r="KKI62" s="36"/>
      <c r="KKJ62" s="36"/>
      <c r="KKK62" s="36"/>
      <c r="KKL62" s="36"/>
      <c r="KKM62" s="36"/>
      <c r="KKN62" s="36"/>
      <c r="KKO62" s="36"/>
      <c r="KKP62" s="36"/>
      <c r="KKQ62" s="36"/>
      <c r="KKR62" s="36"/>
      <c r="KKS62" s="36"/>
      <c r="KKT62" s="36"/>
      <c r="KKU62" s="36"/>
      <c r="KKV62" s="36"/>
      <c r="KKW62" s="36"/>
      <c r="KKX62" s="36"/>
      <c r="KKY62" s="36"/>
      <c r="KKZ62" s="36"/>
      <c r="KLA62" s="36"/>
      <c r="KLB62" s="36"/>
      <c r="KLC62" s="36"/>
      <c r="KLD62" s="36"/>
      <c r="KLE62" s="36"/>
      <c r="KLF62" s="36"/>
      <c r="KLG62" s="36"/>
      <c r="KLH62" s="36"/>
      <c r="KLI62" s="36"/>
      <c r="KLJ62" s="36"/>
      <c r="KLK62" s="36"/>
      <c r="KLL62" s="36"/>
      <c r="KLM62" s="36"/>
      <c r="KLN62" s="36"/>
      <c r="KLO62" s="36"/>
      <c r="KLP62" s="36"/>
      <c r="KLQ62" s="36"/>
      <c r="KLR62" s="36"/>
      <c r="KLS62" s="36"/>
      <c r="KLT62" s="36"/>
      <c r="KLU62" s="36"/>
      <c r="KLV62" s="36"/>
      <c r="KLW62" s="36"/>
      <c r="KLX62" s="36"/>
      <c r="KLY62" s="36"/>
      <c r="KLZ62" s="36"/>
      <c r="KMA62" s="36"/>
      <c r="KMB62" s="36"/>
      <c r="KMC62" s="36"/>
      <c r="KMD62" s="36"/>
      <c r="KME62" s="36"/>
      <c r="KMF62" s="36"/>
      <c r="KMG62" s="36"/>
      <c r="KMH62" s="36"/>
      <c r="KMI62" s="36"/>
      <c r="KMJ62" s="36"/>
      <c r="KMK62" s="36"/>
      <c r="KML62" s="36"/>
      <c r="KMM62" s="36"/>
      <c r="KMN62" s="36"/>
      <c r="KMO62" s="36"/>
      <c r="KMP62" s="36"/>
      <c r="KMQ62" s="36"/>
      <c r="KMR62" s="36"/>
      <c r="KMS62" s="36"/>
      <c r="KMT62" s="36"/>
      <c r="KMU62" s="36"/>
      <c r="KMV62" s="36"/>
      <c r="KMW62" s="36"/>
      <c r="KMX62" s="36"/>
      <c r="KMY62" s="36"/>
      <c r="KMZ62" s="36"/>
      <c r="KNA62" s="36"/>
      <c r="KNB62" s="36"/>
      <c r="KNC62" s="36"/>
      <c r="KND62" s="36"/>
      <c r="KNE62" s="36"/>
      <c r="KNF62" s="36"/>
      <c r="KNG62" s="36"/>
      <c r="KNH62" s="36"/>
      <c r="KNI62" s="36"/>
      <c r="KNJ62" s="36"/>
      <c r="KNK62" s="36"/>
      <c r="KNL62" s="36"/>
      <c r="KNM62" s="36"/>
      <c r="KNN62" s="36"/>
      <c r="KNO62" s="36"/>
      <c r="KNP62" s="36"/>
      <c r="KNQ62" s="36"/>
      <c r="KNR62" s="36"/>
      <c r="KNS62" s="36"/>
      <c r="KNT62" s="36"/>
      <c r="KNU62" s="36"/>
      <c r="KNV62" s="36"/>
      <c r="KNW62" s="36"/>
      <c r="KNX62" s="36"/>
      <c r="KNY62" s="36"/>
      <c r="KNZ62" s="36"/>
      <c r="KOA62" s="36"/>
      <c r="KOB62" s="36"/>
      <c r="KOC62" s="36"/>
      <c r="KOD62" s="36"/>
      <c r="KOE62" s="36"/>
      <c r="KOF62" s="36"/>
      <c r="KOG62" s="36"/>
      <c r="KOH62" s="36"/>
      <c r="KOI62" s="36"/>
      <c r="KOJ62" s="36"/>
      <c r="KOK62" s="36"/>
      <c r="KOL62" s="36"/>
      <c r="KOM62" s="36"/>
      <c r="KON62" s="36"/>
      <c r="KOO62" s="36"/>
      <c r="KOP62" s="36"/>
      <c r="KOQ62" s="36"/>
      <c r="KOR62" s="36"/>
      <c r="KOS62" s="36"/>
      <c r="KOT62" s="36"/>
      <c r="KOU62" s="36"/>
      <c r="KOV62" s="36"/>
      <c r="KOW62" s="36"/>
      <c r="KOX62" s="36"/>
      <c r="KOY62" s="36"/>
      <c r="KOZ62" s="36"/>
      <c r="KPA62" s="36"/>
      <c r="KPB62" s="36"/>
      <c r="KPC62" s="36"/>
      <c r="KPD62" s="36"/>
      <c r="KPE62" s="36"/>
      <c r="KPF62" s="36"/>
      <c r="KPG62" s="36"/>
      <c r="KPH62" s="36"/>
      <c r="KPI62" s="36"/>
      <c r="KPJ62" s="36"/>
      <c r="KPK62" s="36"/>
      <c r="KPL62" s="36"/>
      <c r="KPM62" s="36"/>
      <c r="KPN62" s="36"/>
      <c r="KPO62" s="36"/>
      <c r="KPP62" s="36"/>
      <c r="KPQ62" s="36"/>
      <c r="KPR62" s="36"/>
      <c r="KPS62" s="36"/>
      <c r="KPT62" s="36"/>
      <c r="KPU62" s="36"/>
      <c r="KPV62" s="36"/>
      <c r="KPW62" s="36"/>
      <c r="KPX62" s="36"/>
      <c r="KPY62" s="36"/>
      <c r="KPZ62" s="36"/>
      <c r="KQA62" s="36"/>
      <c r="KQB62" s="36"/>
      <c r="KQC62" s="36"/>
      <c r="KQD62" s="36"/>
      <c r="KQE62" s="36"/>
      <c r="KQF62" s="36"/>
      <c r="KQG62" s="36"/>
      <c r="KQH62" s="36"/>
      <c r="KQI62" s="36"/>
      <c r="KQJ62" s="36"/>
      <c r="KQK62" s="36"/>
      <c r="KQL62" s="36"/>
      <c r="KQM62" s="36"/>
      <c r="KQN62" s="36"/>
      <c r="KQO62" s="36"/>
      <c r="KQP62" s="36"/>
      <c r="KQQ62" s="36"/>
      <c r="KQR62" s="36"/>
      <c r="KQS62" s="36"/>
      <c r="KQT62" s="36"/>
      <c r="KQU62" s="36"/>
      <c r="KQV62" s="36"/>
      <c r="KQW62" s="36"/>
      <c r="KQX62" s="36"/>
      <c r="KQY62" s="36"/>
      <c r="KQZ62" s="36"/>
      <c r="KRA62" s="36"/>
      <c r="KRB62" s="36"/>
      <c r="KRC62" s="36"/>
      <c r="KRD62" s="36"/>
      <c r="KRE62" s="36"/>
      <c r="KRF62" s="36"/>
      <c r="KRG62" s="36"/>
      <c r="KRH62" s="36"/>
      <c r="KRI62" s="36"/>
      <c r="KRJ62" s="36"/>
      <c r="KRK62" s="36"/>
      <c r="KRL62" s="36"/>
      <c r="KRM62" s="36"/>
      <c r="KRN62" s="36"/>
      <c r="KRO62" s="36"/>
      <c r="KRP62" s="36"/>
      <c r="KRQ62" s="36"/>
      <c r="KRR62" s="36"/>
      <c r="KRS62" s="36"/>
      <c r="KRT62" s="36"/>
      <c r="KRU62" s="36"/>
      <c r="KRV62" s="36"/>
      <c r="KRW62" s="36"/>
      <c r="KRX62" s="36"/>
      <c r="KRY62" s="36"/>
      <c r="KRZ62" s="36"/>
      <c r="KSA62" s="36"/>
      <c r="KSB62" s="36"/>
      <c r="KSC62" s="36"/>
      <c r="KSD62" s="36"/>
      <c r="KSE62" s="36"/>
      <c r="KSF62" s="36"/>
      <c r="KSG62" s="36"/>
      <c r="KSH62" s="36"/>
      <c r="KSI62" s="36"/>
      <c r="KSJ62" s="36"/>
      <c r="KSK62" s="36"/>
      <c r="KSL62" s="36"/>
      <c r="KSM62" s="36"/>
      <c r="KSN62" s="36"/>
      <c r="KSO62" s="36"/>
      <c r="KSP62" s="36"/>
      <c r="KSQ62" s="36"/>
      <c r="KSR62" s="36"/>
      <c r="KSS62" s="36"/>
      <c r="KST62" s="36"/>
      <c r="KSU62" s="36"/>
      <c r="KSV62" s="36"/>
      <c r="KSW62" s="36"/>
      <c r="KSX62" s="36"/>
      <c r="KSY62" s="36"/>
      <c r="KSZ62" s="36"/>
      <c r="KTA62" s="36"/>
      <c r="KTB62" s="36"/>
      <c r="KTC62" s="36"/>
      <c r="KTD62" s="36"/>
      <c r="KTE62" s="36"/>
      <c r="KTF62" s="36"/>
      <c r="KTG62" s="36"/>
      <c r="KTH62" s="36"/>
      <c r="KTI62" s="36"/>
      <c r="KTJ62" s="36"/>
      <c r="KTK62" s="36"/>
      <c r="KTL62" s="36"/>
      <c r="KTM62" s="36"/>
      <c r="KTN62" s="36"/>
      <c r="KTO62" s="36"/>
      <c r="KTP62" s="36"/>
      <c r="KTQ62" s="36"/>
      <c r="KTR62" s="36"/>
      <c r="KTS62" s="36"/>
      <c r="KTT62" s="36"/>
      <c r="KTU62" s="36"/>
      <c r="KTV62" s="36"/>
      <c r="KTW62" s="36"/>
      <c r="KTX62" s="36"/>
      <c r="KTY62" s="36"/>
      <c r="KTZ62" s="36"/>
      <c r="KUA62" s="36"/>
      <c r="KUB62" s="36"/>
      <c r="KUC62" s="36"/>
      <c r="KUD62" s="36"/>
      <c r="KUE62" s="36"/>
      <c r="KUF62" s="36"/>
      <c r="KUG62" s="36"/>
      <c r="KUH62" s="36"/>
      <c r="KUI62" s="36"/>
      <c r="KUJ62" s="36"/>
      <c r="KUK62" s="36"/>
      <c r="KUL62" s="36"/>
      <c r="KUM62" s="36"/>
      <c r="KUN62" s="36"/>
      <c r="KUO62" s="36"/>
      <c r="KUP62" s="36"/>
      <c r="KUQ62" s="36"/>
      <c r="KUR62" s="36"/>
      <c r="KUS62" s="36"/>
      <c r="KUT62" s="36"/>
      <c r="KUU62" s="36"/>
      <c r="KUV62" s="36"/>
      <c r="KUW62" s="36"/>
      <c r="KUX62" s="36"/>
      <c r="KUY62" s="36"/>
      <c r="KUZ62" s="36"/>
      <c r="KVA62" s="36"/>
      <c r="KVB62" s="36"/>
      <c r="KVC62" s="36"/>
      <c r="KVD62" s="36"/>
      <c r="KVE62" s="36"/>
      <c r="KVF62" s="36"/>
      <c r="KVG62" s="36"/>
      <c r="KVH62" s="36"/>
      <c r="KVI62" s="36"/>
      <c r="KVJ62" s="36"/>
      <c r="KVK62" s="36"/>
      <c r="KVL62" s="36"/>
      <c r="KVM62" s="36"/>
      <c r="KVN62" s="36"/>
      <c r="KVO62" s="36"/>
      <c r="KVP62" s="36"/>
      <c r="KVQ62" s="36"/>
      <c r="KVR62" s="36"/>
      <c r="KVS62" s="36"/>
      <c r="KVT62" s="36"/>
      <c r="KVU62" s="36"/>
      <c r="KVV62" s="36"/>
      <c r="KVW62" s="36"/>
      <c r="KVX62" s="36"/>
      <c r="KVY62" s="36"/>
      <c r="KVZ62" s="36"/>
      <c r="KWA62" s="36"/>
      <c r="KWB62" s="36"/>
      <c r="KWC62" s="36"/>
      <c r="KWD62" s="36"/>
      <c r="KWE62" s="36"/>
      <c r="KWF62" s="36"/>
      <c r="KWG62" s="36"/>
      <c r="KWH62" s="36"/>
      <c r="KWI62" s="36"/>
      <c r="KWJ62" s="36"/>
      <c r="KWK62" s="36"/>
      <c r="KWL62" s="36"/>
      <c r="KWM62" s="36"/>
      <c r="KWN62" s="36"/>
      <c r="KWO62" s="36"/>
      <c r="KWP62" s="36"/>
      <c r="KWQ62" s="36"/>
      <c r="KWR62" s="36"/>
      <c r="KWS62" s="36"/>
      <c r="KWT62" s="36"/>
      <c r="KWU62" s="36"/>
      <c r="KWV62" s="36"/>
      <c r="KWW62" s="36"/>
      <c r="KWX62" s="36"/>
      <c r="KWY62" s="36"/>
      <c r="KWZ62" s="36"/>
      <c r="KXA62" s="36"/>
      <c r="KXB62" s="36"/>
      <c r="KXC62" s="36"/>
      <c r="KXD62" s="36"/>
      <c r="KXE62" s="36"/>
      <c r="KXF62" s="36"/>
      <c r="KXG62" s="36"/>
      <c r="KXH62" s="36"/>
      <c r="KXI62" s="36"/>
      <c r="KXJ62" s="36"/>
      <c r="KXK62" s="36"/>
      <c r="KXL62" s="36"/>
      <c r="KXM62" s="36"/>
      <c r="KXN62" s="36"/>
      <c r="KXO62" s="36"/>
      <c r="KXP62" s="36"/>
      <c r="KXQ62" s="36"/>
      <c r="KXR62" s="36"/>
      <c r="KXS62" s="36"/>
      <c r="KXT62" s="36"/>
      <c r="KXU62" s="36"/>
      <c r="KXV62" s="36"/>
      <c r="KXW62" s="36"/>
      <c r="KXX62" s="36"/>
      <c r="KXY62" s="36"/>
      <c r="KXZ62" s="36"/>
      <c r="KYA62" s="36"/>
      <c r="KYB62" s="36"/>
      <c r="KYC62" s="36"/>
      <c r="KYD62" s="36"/>
      <c r="KYE62" s="36"/>
      <c r="KYF62" s="36"/>
      <c r="KYG62" s="36"/>
      <c r="KYH62" s="36"/>
      <c r="KYI62" s="36"/>
      <c r="KYJ62" s="36"/>
      <c r="KYK62" s="36"/>
      <c r="KYL62" s="36"/>
      <c r="KYM62" s="36"/>
      <c r="KYN62" s="36"/>
      <c r="KYO62" s="36"/>
      <c r="KYP62" s="36"/>
      <c r="KYQ62" s="36"/>
      <c r="KYR62" s="36"/>
      <c r="KYS62" s="36"/>
      <c r="KYT62" s="36"/>
      <c r="KYU62" s="36"/>
      <c r="KYV62" s="36"/>
      <c r="KYW62" s="36"/>
      <c r="KYX62" s="36"/>
      <c r="KYY62" s="36"/>
      <c r="KYZ62" s="36"/>
      <c r="KZA62" s="36"/>
      <c r="KZB62" s="36"/>
      <c r="KZC62" s="36"/>
      <c r="KZD62" s="36"/>
      <c r="KZE62" s="36"/>
      <c r="KZF62" s="36"/>
      <c r="KZG62" s="36"/>
      <c r="KZH62" s="36"/>
      <c r="KZI62" s="36"/>
      <c r="KZJ62" s="36"/>
      <c r="KZK62" s="36"/>
      <c r="KZL62" s="36"/>
      <c r="KZM62" s="36"/>
      <c r="KZN62" s="36"/>
      <c r="KZO62" s="36"/>
      <c r="KZP62" s="36"/>
      <c r="KZQ62" s="36"/>
      <c r="KZR62" s="36"/>
      <c r="KZS62" s="36"/>
      <c r="KZT62" s="36"/>
      <c r="KZU62" s="36"/>
      <c r="KZV62" s="36"/>
      <c r="KZW62" s="36"/>
      <c r="KZX62" s="36"/>
      <c r="KZY62" s="36"/>
      <c r="KZZ62" s="36"/>
      <c r="LAA62" s="36"/>
      <c r="LAB62" s="36"/>
      <c r="LAC62" s="36"/>
      <c r="LAD62" s="36"/>
      <c r="LAE62" s="36"/>
      <c r="LAF62" s="36"/>
      <c r="LAG62" s="36"/>
      <c r="LAH62" s="36"/>
      <c r="LAI62" s="36"/>
      <c r="LAJ62" s="36"/>
      <c r="LAK62" s="36"/>
      <c r="LAL62" s="36"/>
      <c r="LAM62" s="36"/>
      <c r="LAN62" s="36"/>
      <c r="LAO62" s="36"/>
      <c r="LAP62" s="36"/>
      <c r="LAQ62" s="36"/>
      <c r="LAR62" s="36"/>
      <c r="LAS62" s="36"/>
      <c r="LAT62" s="36"/>
      <c r="LAU62" s="36"/>
      <c r="LAV62" s="36"/>
      <c r="LAW62" s="36"/>
      <c r="LAX62" s="36"/>
      <c r="LAY62" s="36"/>
      <c r="LAZ62" s="36"/>
      <c r="LBA62" s="36"/>
      <c r="LBB62" s="36"/>
      <c r="LBC62" s="36"/>
      <c r="LBD62" s="36"/>
      <c r="LBE62" s="36"/>
      <c r="LBF62" s="36"/>
      <c r="LBG62" s="36"/>
      <c r="LBH62" s="36"/>
      <c r="LBI62" s="36"/>
      <c r="LBJ62" s="36"/>
      <c r="LBK62" s="36"/>
      <c r="LBL62" s="36"/>
      <c r="LBM62" s="36"/>
      <c r="LBN62" s="36"/>
      <c r="LBO62" s="36"/>
      <c r="LBP62" s="36"/>
      <c r="LBQ62" s="36"/>
      <c r="LBR62" s="36"/>
      <c r="LBS62" s="36"/>
      <c r="LBT62" s="36"/>
      <c r="LBU62" s="36"/>
      <c r="LBV62" s="36"/>
      <c r="LBW62" s="36"/>
      <c r="LBX62" s="36"/>
      <c r="LBY62" s="36"/>
      <c r="LBZ62" s="36"/>
      <c r="LCA62" s="36"/>
      <c r="LCB62" s="36"/>
      <c r="LCC62" s="36"/>
      <c r="LCD62" s="36"/>
      <c r="LCE62" s="36"/>
      <c r="LCF62" s="36"/>
      <c r="LCG62" s="36"/>
      <c r="LCH62" s="36"/>
      <c r="LCI62" s="36"/>
      <c r="LCJ62" s="36"/>
      <c r="LCK62" s="36"/>
      <c r="LCL62" s="36"/>
      <c r="LCM62" s="36"/>
      <c r="LCN62" s="36"/>
      <c r="LCO62" s="36"/>
      <c r="LCP62" s="36"/>
      <c r="LCQ62" s="36"/>
      <c r="LCR62" s="36"/>
      <c r="LCS62" s="36"/>
      <c r="LCT62" s="36"/>
      <c r="LCU62" s="36"/>
      <c r="LCV62" s="36"/>
      <c r="LCW62" s="36"/>
      <c r="LCX62" s="36"/>
      <c r="LCY62" s="36"/>
      <c r="LCZ62" s="36"/>
      <c r="LDA62" s="36"/>
      <c r="LDB62" s="36"/>
      <c r="LDC62" s="36"/>
      <c r="LDD62" s="36"/>
      <c r="LDE62" s="36"/>
      <c r="LDF62" s="36"/>
      <c r="LDG62" s="36"/>
      <c r="LDH62" s="36"/>
      <c r="LDI62" s="36"/>
      <c r="LDJ62" s="36"/>
      <c r="LDK62" s="36"/>
      <c r="LDL62" s="36"/>
      <c r="LDM62" s="36"/>
      <c r="LDN62" s="36"/>
      <c r="LDO62" s="36"/>
      <c r="LDP62" s="36"/>
      <c r="LDQ62" s="36"/>
      <c r="LDR62" s="36"/>
      <c r="LDS62" s="36"/>
      <c r="LDT62" s="36"/>
      <c r="LDU62" s="36"/>
      <c r="LDV62" s="36"/>
      <c r="LDW62" s="36"/>
      <c r="LDX62" s="36"/>
      <c r="LDY62" s="36"/>
      <c r="LDZ62" s="36"/>
      <c r="LEA62" s="36"/>
      <c r="LEB62" s="36"/>
      <c r="LEC62" s="36"/>
      <c r="LED62" s="36"/>
      <c r="LEE62" s="36"/>
      <c r="LEF62" s="36"/>
      <c r="LEG62" s="36"/>
      <c r="LEH62" s="36"/>
      <c r="LEI62" s="36"/>
      <c r="LEJ62" s="36"/>
      <c r="LEK62" s="36"/>
      <c r="LEL62" s="36"/>
      <c r="LEM62" s="36"/>
      <c r="LEN62" s="36"/>
      <c r="LEO62" s="36"/>
      <c r="LEP62" s="36"/>
      <c r="LEQ62" s="36"/>
      <c r="LER62" s="36"/>
      <c r="LES62" s="36"/>
      <c r="LET62" s="36"/>
      <c r="LEU62" s="36"/>
      <c r="LEV62" s="36"/>
      <c r="LEW62" s="36"/>
      <c r="LEX62" s="36"/>
      <c r="LEY62" s="36"/>
      <c r="LEZ62" s="36"/>
      <c r="LFA62" s="36"/>
      <c r="LFB62" s="36"/>
      <c r="LFC62" s="36"/>
      <c r="LFD62" s="36"/>
      <c r="LFE62" s="36"/>
      <c r="LFF62" s="36"/>
      <c r="LFG62" s="36"/>
      <c r="LFH62" s="36"/>
      <c r="LFI62" s="36"/>
      <c r="LFJ62" s="36"/>
      <c r="LFK62" s="36"/>
      <c r="LFL62" s="36"/>
      <c r="LFM62" s="36"/>
      <c r="LFN62" s="36"/>
      <c r="LFO62" s="36"/>
      <c r="LFP62" s="36"/>
      <c r="LFQ62" s="36"/>
      <c r="LFR62" s="36"/>
      <c r="LFS62" s="36"/>
      <c r="LFT62" s="36"/>
      <c r="LFU62" s="36"/>
      <c r="LFV62" s="36"/>
      <c r="LFW62" s="36"/>
      <c r="LFX62" s="36"/>
      <c r="LFY62" s="36"/>
      <c r="LFZ62" s="36"/>
      <c r="LGA62" s="36"/>
      <c r="LGB62" s="36"/>
      <c r="LGC62" s="36"/>
      <c r="LGD62" s="36"/>
      <c r="LGE62" s="36"/>
      <c r="LGF62" s="36"/>
      <c r="LGG62" s="36"/>
      <c r="LGH62" s="36"/>
      <c r="LGI62" s="36"/>
      <c r="LGJ62" s="36"/>
      <c r="LGK62" s="36"/>
      <c r="LGL62" s="36"/>
      <c r="LGM62" s="36"/>
      <c r="LGN62" s="36"/>
      <c r="LGO62" s="36"/>
      <c r="LGP62" s="36"/>
      <c r="LGQ62" s="36"/>
      <c r="LGR62" s="36"/>
      <c r="LGS62" s="36"/>
      <c r="LGT62" s="36"/>
      <c r="LGU62" s="36"/>
      <c r="LGV62" s="36"/>
      <c r="LGW62" s="36"/>
      <c r="LGX62" s="36"/>
      <c r="LGY62" s="36"/>
      <c r="LGZ62" s="36"/>
      <c r="LHA62" s="36"/>
      <c r="LHB62" s="36"/>
      <c r="LHC62" s="36"/>
      <c r="LHD62" s="36"/>
      <c r="LHE62" s="36"/>
      <c r="LHF62" s="36"/>
      <c r="LHG62" s="36"/>
      <c r="LHH62" s="36"/>
      <c r="LHI62" s="36"/>
      <c r="LHJ62" s="36"/>
      <c r="LHK62" s="36"/>
      <c r="LHL62" s="36"/>
      <c r="LHM62" s="36"/>
      <c r="LHN62" s="36"/>
      <c r="LHO62" s="36"/>
      <c r="LHP62" s="36"/>
      <c r="LHQ62" s="36"/>
      <c r="LHR62" s="36"/>
      <c r="LHS62" s="36"/>
      <c r="LHT62" s="36"/>
      <c r="LHU62" s="36"/>
      <c r="LHV62" s="36"/>
      <c r="LHW62" s="36"/>
      <c r="LHX62" s="36"/>
      <c r="LHY62" s="36"/>
      <c r="LHZ62" s="36"/>
      <c r="LIA62" s="36"/>
      <c r="LIB62" s="36"/>
      <c r="LIC62" s="36"/>
      <c r="LID62" s="36"/>
      <c r="LIE62" s="36"/>
      <c r="LIF62" s="36"/>
      <c r="LIG62" s="36"/>
      <c r="LIH62" s="36"/>
      <c r="LII62" s="36"/>
      <c r="LIJ62" s="36"/>
      <c r="LIK62" s="36"/>
      <c r="LIL62" s="36"/>
      <c r="LIM62" s="36"/>
      <c r="LIN62" s="36"/>
      <c r="LIO62" s="36"/>
      <c r="LIP62" s="36"/>
      <c r="LIQ62" s="36"/>
      <c r="LIR62" s="36"/>
      <c r="LIS62" s="36"/>
      <c r="LIT62" s="36"/>
      <c r="LIU62" s="36"/>
      <c r="LIV62" s="36"/>
      <c r="LIW62" s="36"/>
      <c r="LIX62" s="36"/>
      <c r="LIY62" s="36"/>
      <c r="LIZ62" s="36"/>
      <c r="LJA62" s="36"/>
      <c r="LJB62" s="36"/>
      <c r="LJC62" s="36"/>
      <c r="LJD62" s="36"/>
      <c r="LJE62" s="36"/>
      <c r="LJF62" s="36"/>
      <c r="LJG62" s="36"/>
      <c r="LJH62" s="36"/>
      <c r="LJI62" s="36"/>
      <c r="LJJ62" s="36"/>
      <c r="LJK62" s="36"/>
      <c r="LJL62" s="36"/>
      <c r="LJM62" s="36"/>
      <c r="LJN62" s="36"/>
      <c r="LJO62" s="36"/>
      <c r="LJP62" s="36"/>
      <c r="LJQ62" s="36"/>
      <c r="LJR62" s="36"/>
      <c r="LJS62" s="36"/>
      <c r="LJT62" s="36"/>
      <c r="LJU62" s="36"/>
      <c r="LJV62" s="36"/>
      <c r="LJW62" s="36"/>
      <c r="LJX62" s="36"/>
      <c r="LJY62" s="36"/>
      <c r="LJZ62" s="36"/>
      <c r="LKA62" s="36"/>
      <c r="LKB62" s="36"/>
      <c r="LKC62" s="36"/>
      <c r="LKD62" s="36"/>
      <c r="LKE62" s="36"/>
      <c r="LKF62" s="36"/>
      <c r="LKG62" s="36"/>
      <c r="LKH62" s="36"/>
      <c r="LKI62" s="36"/>
      <c r="LKJ62" s="36"/>
      <c r="LKK62" s="36"/>
      <c r="LKL62" s="36"/>
      <c r="LKM62" s="36"/>
      <c r="LKN62" s="36"/>
      <c r="LKO62" s="36"/>
      <c r="LKP62" s="36"/>
      <c r="LKQ62" s="36"/>
      <c r="LKR62" s="36"/>
      <c r="LKS62" s="36"/>
      <c r="LKT62" s="36"/>
      <c r="LKU62" s="36"/>
      <c r="LKV62" s="36"/>
      <c r="LKW62" s="36"/>
      <c r="LKX62" s="36"/>
      <c r="LKY62" s="36"/>
      <c r="LKZ62" s="36"/>
      <c r="LLA62" s="36"/>
      <c r="LLB62" s="36"/>
      <c r="LLC62" s="36"/>
      <c r="LLD62" s="36"/>
      <c r="LLE62" s="36"/>
      <c r="LLF62" s="36"/>
      <c r="LLG62" s="36"/>
      <c r="LLH62" s="36"/>
      <c r="LLI62" s="36"/>
      <c r="LLJ62" s="36"/>
      <c r="LLK62" s="36"/>
      <c r="LLL62" s="36"/>
      <c r="LLM62" s="36"/>
      <c r="LLN62" s="36"/>
      <c r="LLO62" s="36"/>
      <c r="LLP62" s="36"/>
      <c r="LLQ62" s="36"/>
      <c r="LLR62" s="36"/>
      <c r="LLS62" s="36"/>
      <c r="LLT62" s="36"/>
      <c r="LLU62" s="36"/>
      <c r="LLV62" s="36"/>
      <c r="LLW62" s="36"/>
      <c r="LLX62" s="36"/>
      <c r="LLY62" s="36"/>
      <c r="LLZ62" s="36"/>
      <c r="LMA62" s="36"/>
      <c r="LMB62" s="36"/>
      <c r="LMC62" s="36"/>
      <c r="LMD62" s="36"/>
      <c r="LME62" s="36"/>
      <c r="LMF62" s="36"/>
      <c r="LMG62" s="36"/>
      <c r="LMH62" s="36"/>
      <c r="LMI62" s="36"/>
      <c r="LMJ62" s="36"/>
      <c r="LMK62" s="36"/>
      <c r="LML62" s="36"/>
      <c r="LMM62" s="36"/>
      <c r="LMN62" s="36"/>
      <c r="LMO62" s="36"/>
      <c r="LMP62" s="36"/>
      <c r="LMQ62" s="36"/>
      <c r="LMR62" s="36"/>
      <c r="LMS62" s="36"/>
      <c r="LMT62" s="36"/>
      <c r="LMU62" s="36"/>
      <c r="LMV62" s="36"/>
      <c r="LMW62" s="36"/>
      <c r="LMX62" s="36"/>
      <c r="LMY62" s="36"/>
      <c r="LMZ62" s="36"/>
      <c r="LNA62" s="36"/>
      <c r="LNB62" s="36"/>
      <c r="LNC62" s="36"/>
      <c r="LND62" s="36"/>
      <c r="LNE62" s="36"/>
      <c r="LNF62" s="36"/>
      <c r="LNG62" s="36"/>
      <c r="LNH62" s="36"/>
      <c r="LNI62" s="36"/>
      <c r="LNJ62" s="36"/>
      <c r="LNK62" s="36"/>
      <c r="LNL62" s="36"/>
      <c r="LNM62" s="36"/>
      <c r="LNN62" s="36"/>
      <c r="LNO62" s="36"/>
      <c r="LNP62" s="36"/>
      <c r="LNQ62" s="36"/>
      <c r="LNR62" s="36"/>
      <c r="LNS62" s="36"/>
      <c r="LNT62" s="36"/>
      <c r="LNU62" s="36"/>
      <c r="LNV62" s="36"/>
      <c r="LNW62" s="36"/>
      <c r="LNX62" s="36"/>
      <c r="LNY62" s="36"/>
      <c r="LNZ62" s="36"/>
      <c r="LOA62" s="36"/>
      <c r="LOB62" s="36"/>
      <c r="LOC62" s="36"/>
      <c r="LOD62" s="36"/>
      <c r="LOE62" s="36"/>
      <c r="LOF62" s="36"/>
      <c r="LOG62" s="36"/>
      <c r="LOH62" s="36"/>
      <c r="LOI62" s="36"/>
      <c r="LOJ62" s="36"/>
      <c r="LOK62" s="36"/>
      <c r="LOL62" s="36"/>
      <c r="LOM62" s="36"/>
      <c r="LON62" s="36"/>
      <c r="LOO62" s="36"/>
      <c r="LOP62" s="36"/>
      <c r="LOQ62" s="36"/>
      <c r="LOR62" s="36"/>
      <c r="LOS62" s="36"/>
      <c r="LOT62" s="36"/>
      <c r="LOU62" s="36"/>
      <c r="LOV62" s="36"/>
      <c r="LOW62" s="36"/>
      <c r="LOX62" s="36"/>
      <c r="LOY62" s="36"/>
      <c r="LOZ62" s="36"/>
      <c r="LPA62" s="36"/>
      <c r="LPB62" s="36"/>
      <c r="LPC62" s="36"/>
      <c r="LPD62" s="36"/>
      <c r="LPE62" s="36"/>
      <c r="LPF62" s="36"/>
      <c r="LPG62" s="36"/>
      <c r="LPH62" s="36"/>
      <c r="LPI62" s="36"/>
      <c r="LPJ62" s="36"/>
      <c r="LPK62" s="36"/>
      <c r="LPL62" s="36"/>
      <c r="LPM62" s="36"/>
      <c r="LPN62" s="36"/>
      <c r="LPO62" s="36"/>
      <c r="LPP62" s="36"/>
      <c r="LPQ62" s="36"/>
      <c r="LPR62" s="36"/>
      <c r="LPS62" s="36"/>
      <c r="LPT62" s="36"/>
      <c r="LPU62" s="36"/>
      <c r="LPV62" s="36"/>
      <c r="LPW62" s="36"/>
      <c r="LPX62" s="36"/>
      <c r="LPY62" s="36"/>
      <c r="LPZ62" s="36"/>
      <c r="LQA62" s="36"/>
      <c r="LQB62" s="36"/>
      <c r="LQC62" s="36"/>
      <c r="LQD62" s="36"/>
      <c r="LQE62" s="36"/>
      <c r="LQF62" s="36"/>
      <c r="LQG62" s="36"/>
      <c r="LQH62" s="36"/>
      <c r="LQI62" s="36"/>
      <c r="LQJ62" s="36"/>
      <c r="LQK62" s="36"/>
      <c r="LQL62" s="36"/>
      <c r="LQM62" s="36"/>
      <c r="LQN62" s="36"/>
      <c r="LQO62" s="36"/>
      <c r="LQP62" s="36"/>
      <c r="LQQ62" s="36"/>
      <c r="LQR62" s="36"/>
      <c r="LQS62" s="36"/>
      <c r="LQT62" s="36"/>
      <c r="LQU62" s="36"/>
      <c r="LQV62" s="36"/>
      <c r="LQW62" s="36"/>
      <c r="LQX62" s="36"/>
      <c r="LQY62" s="36"/>
      <c r="LQZ62" s="36"/>
      <c r="LRA62" s="36"/>
      <c r="LRB62" s="36"/>
      <c r="LRC62" s="36"/>
      <c r="LRD62" s="36"/>
      <c r="LRE62" s="36"/>
      <c r="LRF62" s="36"/>
      <c r="LRG62" s="36"/>
      <c r="LRH62" s="36"/>
      <c r="LRI62" s="36"/>
      <c r="LRJ62" s="36"/>
      <c r="LRK62" s="36"/>
      <c r="LRL62" s="36"/>
      <c r="LRM62" s="36"/>
      <c r="LRN62" s="36"/>
      <c r="LRO62" s="36"/>
      <c r="LRP62" s="36"/>
      <c r="LRQ62" s="36"/>
      <c r="LRR62" s="36"/>
      <c r="LRS62" s="36"/>
      <c r="LRT62" s="36"/>
      <c r="LRU62" s="36"/>
      <c r="LRV62" s="36"/>
      <c r="LRW62" s="36"/>
      <c r="LRX62" s="36"/>
      <c r="LRY62" s="36"/>
      <c r="LRZ62" s="36"/>
      <c r="LSA62" s="36"/>
      <c r="LSB62" s="36"/>
      <c r="LSC62" s="36"/>
      <c r="LSD62" s="36"/>
      <c r="LSE62" s="36"/>
      <c r="LSF62" s="36"/>
      <c r="LSG62" s="36"/>
      <c r="LSH62" s="36"/>
      <c r="LSI62" s="36"/>
      <c r="LSJ62" s="36"/>
      <c r="LSK62" s="36"/>
      <c r="LSL62" s="36"/>
      <c r="LSM62" s="36"/>
      <c r="LSN62" s="36"/>
      <c r="LSO62" s="36"/>
      <c r="LSP62" s="36"/>
      <c r="LSQ62" s="36"/>
      <c r="LSR62" s="36"/>
      <c r="LSS62" s="36"/>
      <c r="LST62" s="36"/>
      <c r="LSU62" s="36"/>
      <c r="LSV62" s="36"/>
      <c r="LSW62" s="36"/>
      <c r="LSX62" s="36"/>
      <c r="LSY62" s="36"/>
      <c r="LSZ62" s="36"/>
      <c r="LTA62" s="36"/>
      <c r="LTB62" s="36"/>
      <c r="LTC62" s="36"/>
      <c r="LTD62" s="36"/>
      <c r="LTE62" s="36"/>
      <c r="LTF62" s="36"/>
      <c r="LTG62" s="36"/>
      <c r="LTH62" s="36"/>
      <c r="LTI62" s="36"/>
      <c r="LTJ62" s="36"/>
      <c r="LTK62" s="36"/>
      <c r="LTL62" s="36"/>
      <c r="LTM62" s="36"/>
      <c r="LTN62" s="36"/>
      <c r="LTO62" s="36"/>
      <c r="LTP62" s="36"/>
      <c r="LTQ62" s="36"/>
      <c r="LTR62" s="36"/>
      <c r="LTS62" s="36"/>
      <c r="LTT62" s="36"/>
      <c r="LTU62" s="36"/>
      <c r="LTV62" s="36"/>
      <c r="LTW62" s="36"/>
      <c r="LTX62" s="36"/>
      <c r="LTY62" s="36"/>
      <c r="LTZ62" s="36"/>
      <c r="LUA62" s="36"/>
      <c r="LUB62" s="36"/>
      <c r="LUC62" s="36"/>
      <c r="LUD62" s="36"/>
      <c r="LUE62" s="36"/>
      <c r="LUF62" s="36"/>
      <c r="LUG62" s="36"/>
      <c r="LUH62" s="36"/>
      <c r="LUI62" s="36"/>
      <c r="LUJ62" s="36"/>
      <c r="LUK62" s="36"/>
      <c r="LUL62" s="36"/>
      <c r="LUM62" s="36"/>
      <c r="LUN62" s="36"/>
      <c r="LUO62" s="36"/>
      <c r="LUP62" s="36"/>
      <c r="LUQ62" s="36"/>
      <c r="LUR62" s="36"/>
      <c r="LUS62" s="36"/>
      <c r="LUT62" s="36"/>
      <c r="LUU62" s="36"/>
      <c r="LUV62" s="36"/>
      <c r="LUW62" s="36"/>
      <c r="LUX62" s="36"/>
      <c r="LUY62" s="36"/>
      <c r="LUZ62" s="36"/>
      <c r="LVA62" s="36"/>
      <c r="LVB62" s="36"/>
      <c r="LVC62" s="36"/>
      <c r="LVD62" s="36"/>
      <c r="LVE62" s="36"/>
      <c r="LVF62" s="36"/>
      <c r="LVG62" s="36"/>
      <c r="LVH62" s="36"/>
      <c r="LVI62" s="36"/>
      <c r="LVJ62" s="36"/>
      <c r="LVK62" s="36"/>
      <c r="LVL62" s="36"/>
      <c r="LVM62" s="36"/>
      <c r="LVN62" s="36"/>
      <c r="LVO62" s="36"/>
      <c r="LVP62" s="36"/>
      <c r="LVQ62" s="36"/>
      <c r="LVR62" s="36"/>
      <c r="LVS62" s="36"/>
      <c r="LVT62" s="36"/>
      <c r="LVU62" s="36"/>
      <c r="LVV62" s="36"/>
      <c r="LVW62" s="36"/>
      <c r="LVX62" s="36"/>
      <c r="LVY62" s="36"/>
      <c r="LVZ62" s="36"/>
      <c r="LWA62" s="36"/>
      <c r="LWB62" s="36"/>
      <c r="LWC62" s="36"/>
      <c r="LWD62" s="36"/>
      <c r="LWE62" s="36"/>
      <c r="LWF62" s="36"/>
      <c r="LWG62" s="36"/>
      <c r="LWH62" s="36"/>
      <c r="LWI62" s="36"/>
      <c r="LWJ62" s="36"/>
      <c r="LWK62" s="36"/>
      <c r="LWL62" s="36"/>
      <c r="LWM62" s="36"/>
      <c r="LWN62" s="36"/>
      <c r="LWO62" s="36"/>
      <c r="LWP62" s="36"/>
      <c r="LWQ62" s="36"/>
      <c r="LWR62" s="36"/>
      <c r="LWS62" s="36"/>
      <c r="LWT62" s="36"/>
      <c r="LWU62" s="36"/>
      <c r="LWV62" s="36"/>
      <c r="LWW62" s="36"/>
      <c r="LWX62" s="36"/>
      <c r="LWY62" s="36"/>
      <c r="LWZ62" s="36"/>
      <c r="LXA62" s="36"/>
      <c r="LXB62" s="36"/>
      <c r="LXC62" s="36"/>
      <c r="LXD62" s="36"/>
      <c r="LXE62" s="36"/>
      <c r="LXF62" s="36"/>
      <c r="LXG62" s="36"/>
      <c r="LXH62" s="36"/>
      <c r="LXI62" s="36"/>
      <c r="LXJ62" s="36"/>
      <c r="LXK62" s="36"/>
      <c r="LXL62" s="36"/>
      <c r="LXM62" s="36"/>
      <c r="LXN62" s="36"/>
      <c r="LXO62" s="36"/>
      <c r="LXP62" s="36"/>
      <c r="LXQ62" s="36"/>
      <c r="LXR62" s="36"/>
      <c r="LXS62" s="36"/>
      <c r="LXT62" s="36"/>
      <c r="LXU62" s="36"/>
      <c r="LXV62" s="36"/>
      <c r="LXW62" s="36"/>
      <c r="LXX62" s="36"/>
      <c r="LXY62" s="36"/>
      <c r="LXZ62" s="36"/>
      <c r="LYA62" s="36"/>
      <c r="LYB62" s="36"/>
      <c r="LYC62" s="36"/>
      <c r="LYD62" s="36"/>
      <c r="LYE62" s="36"/>
      <c r="LYF62" s="36"/>
      <c r="LYG62" s="36"/>
      <c r="LYH62" s="36"/>
      <c r="LYI62" s="36"/>
      <c r="LYJ62" s="36"/>
      <c r="LYK62" s="36"/>
      <c r="LYL62" s="36"/>
      <c r="LYM62" s="36"/>
      <c r="LYN62" s="36"/>
      <c r="LYO62" s="36"/>
      <c r="LYP62" s="36"/>
      <c r="LYQ62" s="36"/>
      <c r="LYR62" s="36"/>
      <c r="LYS62" s="36"/>
      <c r="LYT62" s="36"/>
      <c r="LYU62" s="36"/>
      <c r="LYV62" s="36"/>
      <c r="LYW62" s="36"/>
      <c r="LYX62" s="36"/>
      <c r="LYY62" s="36"/>
      <c r="LYZ62" s="36"/>
      <c r="LZA62" s="36"/>
      <c r="LZB62" s="36"/>
      <c r="LZC62" s="36"/>
      <c r="LZD62" s="36"/>
      <c r="LZE62" s="36"/>
      <c r="LZF62" s="36"/>
      <c r="LZG62" s="36"/>
      <c r="LZH62" s="36"/>
      <c r="LZI62" s="36"/>
      <c r="LZJ62" s="36"/>
      <c r="LZK62" s="36"/>
      <c r="LZL62" s="36"/>
      <c r="LZM62" s="36"/>
      <c r="LZN62" s="36"/>
      <c r="LZO62" s="36"/>
      <c r="LZP62" s="36"/>
      <c r="LZQ62" s="36"/>
      <c r="LZR62" s="36"/>
      <c r="LZS62" s="36"/>
      <c r="LZT62" s="36"/>
      <c r="LZU62" s="36"/>
      <c r="LZV62" s="36"/>
      <c r="LZW62" s="36"/>
      <c r="LZX62" s="36"/>
      <c r="LZY62" s="36"/>
      <c r="LZZ62" s="36"/>
      <c r="MAA62" s="36"/>
      <c r="MAB62" s="36"/>
      <c r="MAC62" s="36"/>
      <c r="MAD62" s="36"/>
      <c r="MAE62" s="36"/>
      <c r="MAF62" s="36"/>
      <c r="MAG62" s="36"/>
      <c r="MAH62" s="36"/>
      <c r="MAI62" s="36"/>
      <c r="MAJ62" s="36"/>
      <c r="MAK62" s="36"/>
      <c r="MAL62" s="36"/>
      <c r="MAM62" s="36"/>
      <c r="MAN62" s="36"/>
      <c r="MAO62" s="36"/>
      <c r="MAP62" s="36"/>
      <c r="MAQ62" s="36"/>
      <c r="MAR62" s="36"/>
      <c r="MAS62" s="36"/>
      <c r="MAT62" s="36"/>
      <c r="MAU62" s="36"/>
      <c r="MAV62" s="36"/>
      <c r="MAW62" s="36"/>
      <c r="MAX62" s="36"/>
      <c r="MAY62" s="36"/>
      <c r="MAZ62" s="36"/>
      <c r="MBA62" s="36"/>
      <c r="MBB62" s="36"/>
      <c r="MBC62" s="36"/>
      <c r="MBD62" s="36"/>
      <c r="MBE62" s="36"/>
      <c r="MBF62" s="36"/>
      <c r="MBG62" s="36"/>
      <c r="MBH62" s="36"/>
      <c r="MBI62" s="36"/>
      <c r="MBJ62" s="36"/>
      <c r="MBK62" s="36"/>
      <c r="MBL62" s="36"/>
      <c r="MBM62" s="36"/>
      <c r="MBN62" s="36"/>
      <c r="MBO62" s="36"/>
      <c r="MBP62" s="36"/>
      <c r="MBQ62" s="36"/>
      <c r="MBR62" s="36"/>
      <c r="MBS62" s="36"/>
      <c r="MBT62" s="36"/>
      <c r="MBU62" s="36"/>
      <c r="MBV62" s="36"/>
      <c r="MBW62" s="36"/>
      <c r="MBX62" s="36"/>
      <c r="MBY62" s="36"/>
      <c r="MBZ62" s="36"/>
      <c r="MCA62" s="36"/>
      <c r="MCB62" s="36"/>
      <c r="MCC62" s="36"/>
      <c r="MCD62" s="36"/>
      <c r="MCE62" s="36"/>
      <c r="MCF62" s="36"/>
      <c r="MCG62" s="36"/>
      <c r="MCH62" s="36"/>
      <c r="MCI62" s="36"/>
      <c r="MCJ62" s="36"/>
      <c r="MCK62" s="36"/>
      <c r="MCL62" s="36"/>
      <c r="MCM62" s="36"/>
      <c r="MCN62" s="36"/>
      <c r="MCO62" s="36"/>
      <c r="MCP62" s="36"/>
      <c r="MCQ62" s="36"/>
      <c r="MCR62" s="36"/>
      <c r="MCS62" s="36"/>
      <c r="MCT62" s="36"/>
      <c r="MCU62" s="36"/>
      <c r="MCV62" s="36"/>
      <c r="MCW62" s="36"/>
      <c r="MCX62" s="36"/>
      <c r="MCY62" s="36"/>
      <c r="MCZ62" s="36"/>
      <c r="MDA62" s="36"/>
      <c r="MDB62" s="36"/>
      <c r="MDC62" s="36"/>
      <c r="MDD62" s="36"/>
      <c r="MDE62" s="36"/>
      <c r="MDF62" s="36"/>
      <c r="MDG62" s="36"/>
      <c r="MDH62" s="36"/>
      <c r="MDI62" s="36"/>
      <c r="MDJ62" s="36"/>
      <c r="MDK62" s="36"/>
      <c r="MDL62" s="36"/>
      <c r="MDM62" s="36"/>
      <c r="MDN62" s="36"/>
      <c r="MDO62" s="36"/>
      <c r="MDP62" s="36"/>
      <c r="MDQ62" s="36"/>
      <c r="MDR62" s="36"/>
      <c r="MDS62" s="36"/>
      <c r="MDT62" s="36"/>
      <c r="MDU62" s="36"/>
      <c r="MDV62" s="36"/>
      <c r="MDW62" s="36"/>
      <c r="MDX62" s="36"/>
      <c r="MDY62" s="36"/>
      <c r="MDZ62" s="36"/>
      <c r="MEA62" s="36"/>
      <c r="MEB62" s="36"/>
      <c r="MEC62" s="36"/>
      <c r="MED62" s="36"/>
      <c r="MEE62" s="36"/>
      <c r="MEF62" s="36"/>
      <c r="MEG62" s="36"/>
      <c r="MEH62" s="36"/>
      <c r="MEI62" s="36"/>
      <c r="MEJ62" s="36"/>
      <c r="MEK62" s="36"/>
      <c r="MEL62" s="36"/>
      <c r="MEM62" s="36"/>
      <c r="MEN62" s="36"/>
      <c r="MEO62" s="36"/>
      <c r="MEP62" s="36"/>
      <c r="MEQ62" s="36"/>
      <c r="MER62" s="36"/>
      <c r="MES62" s="36"/>
      <c r="MET62" s="36"/>
      <c r="MEU62" s="36"/>
      <c r="MEV62" s="36"/>
      <c r="MEW62" s="36"/>
      <c r="MEX62" s="36"/>
      <c r="MEY62" s="36"/>
      <c r="MEZ62" s="36"/>
      <c r="MFA62" s="36"/>
      <c r="MFB62" s="36"/>
      <c r="MFC62" s="36"/>
      <c r="MFD62" s="36"/>
      <c r="MFE62" s="36"/>
      <c r="MFF62" s="36"/>
      <c r="MFG62" s="36"/>
      <c r="MFH62" s="36"/>
      <c r="MFI62" s="36"/>
      <c r="MFJ62" s="36"/>
      <c r="MFK62" s="36"/>
      <c r="MFL62" s="36"/>
      <c r="MFM62" s="36"/>
      <c r="MFN62" s="36"/>
      <c r="MFO62" s="36"/>
      <c r="MFP62" s="36"/>
      <c r="MFQ62" s="36"/>
      <c r="MFR62" s="36"/>
      <c r="MFS62" s="36"/>
      <c r="MFT62" s="36"/>
      <c r="MFU62" s="36"/>
      <c r="MFV62" s="36"/>
      <c r="MFW62" s="36"/>
      <c r="MFX62" s="36"/>
      <c r="MFY62" s="36"/>
      <c r="MFZ62" s="36"/>
      <c r="MGA62" s="36"/>
      <c r="MGB62" s="36"/>
      <c r="MGC62" s="36"/>
      <c r="MGD62" s="36"/>
      <c r="MGE62" s="36"/>
      <c r="MGF62" s="36"/>
      <c r="MGG62" s="36"/>
      <c r="MGH62" s="36"/>
      <c r="MGI62" s="36"/>
      <c r="MGJ62" s="36"/>
      <c r="MGK62" s="36"/>
      <c r="MGL62" s="36"/>
      <c r="MGM62" s="36"/>
      <c r="MGN62" s="36"/>
      <c r="MGO62" s="36"/>
      <c r="MGP62" s="36"/>
      <c r="MGQ62" s="36"/>
      <c r="MGR62" s="36"/>
      <c r="MGS62" s="36"/>
      <c r="MGT62" s="36"/>
      <c r="MGU62" s="36"/>
      <c r="MGV62" s="36"/>
      <c r="MGW62" s="36"/>
      <c r="MGX62" s="36"/>
      <c r="MGY62" s="36"/>
      <c r="MGZ62" s="36"/>
      <c r="MHA62" s="36"/>
      <c r="MHB62" s="36"/>
      <c r="MHC62" s="36"/>
      <c r="MHD62" s="36"/>
      <c r="MHE62" s="36"/>
      <c r="MHF62" s="36"/>
      <c r="MHG62" s="36"/>
      <c r="MHH62" s="36"/>
      <c r="MHI62" s="36"/>
      <c r="MHJ62" s="36"/>
      <c r="MHK62" s="36"/>
      <c r="MHL62" s="36"/>
      <c r="MHM62" s="36"/>
      <c r="MHN62" s="36"/>
      <c r="MHO62" s="36"/>
      <c r="MHP62" s="36"/>
      <c r="MHQ62" s="36"/>
      <c r="MHR62" s="36"/>
      <c r="MHS62" s="36"/>
      <c r="MHT62" s="36"/>
      <c r="MHU62" s="36"/>
      <c r="MHV62" s="36"/>
      <c r="MHW62" s="36"/>
      <c r="MHX62" s="36"/>
      <c r="MHY62" s="36"/>
      <c r="MHZ62" s="36"/>
      <c r="MIA62" s="36"/>
      <c r="MIB62" s="36"/>
      <c r="MIC62" s="36"/>
      <c r="MID62" s="36"/>
      <c r="MIE62" s="36"/>
      <c r="MIF62" s="36"/>
      <c r="MIG62" s="36"/>
      <c r="MIH62" s="36"/>
      <c r="MII62" s="36"/>
      <c r="MIJ62" s="36"/>
      <c r="MIK62" s="36"/>
      <c r="MIL62" s="36"/>
      <c r="MIM62" s="36"/>
      <c r="MIN62" s="36"/>
      <c r="MIO62" s="36"/>
      <c r="MIP62" s="36"/>
      <c r="MIQ62" s="36"/>
      <c r="MIR62" s="36"/>
      <c r="MIS62" s="36"/>
      <c r="MIT62" s="36"/>
      <c r="MIU62" s="36"/>
      <c r="MIV62" s="36"/>
      <c r="MIW62" s="36"/>
      <c r="MIX62" s="36"/>
      <c r="MIY62" s="36"/>
      <c r="MIZ62" s="36"/>
      <c r="MJA62" s="36"/>
      <c r="MJB62" s="36"/>
      <c r="MJC62" s="36"/>
      <c r="MJD62" s="36"/>
      <c r="MJE62" s="36"/>
      <c r="MJF62" s="36"/>
      <c r="MJG62" s="36"/>
      <c r="MJH62" s="36"/>
      <c r="MJI62" s="36"/>
      <c r="MJJ62" s="36"/>
      <c r="MJK62" s="36"/>
      <c r="MJL62" s="36"/>
      <c r="MJM62" s="36"/>
      <c r="MJN62" s="36"/>
      <c r="MJO62" s="36"/>
      <c r="MJP62" s="36"/>
      <c r="MJQ62" s="36"/>
      <c r="MJR62" s="36"/>
      <c r="MJS62" s="36"/>
      <c r="MJT62" s="36"/>
      <c r="MJU62" s="36"/>
      <c r="MJV62" s="36"/>
      <c r="MJW62" s="36"/>
      <c r="MJX62" s="36"/>
      <c r="MJY62" s="36"/>
      <c r="MJZ62" s="36"/>
      <c r="MKA62" s="36"/>
      <c r="MKB62" s="36"/>
      <c r="MKC62" s="36"/>
      <c r="MKD62" s="36"/>
      <c r="MKE62" s="36"/>
      <c r="MKF62" s="36"/>
      <c r="MKG62" s="36"/>
      <c r="MKH62" s="36"/>
      <c r="MKI62" s="36"/>
      <c r="MKJ62" s="36"/>
      <c r="MKK62" s="36"/>
      <c r="MKL62" s="36"/>
      <c r="MKM62" s="36"/>
      <c r="MKN62" s="36"/>
      <c r="MKO62" s="36"/>
      <c r="MKP62" s="36"/>
      <c r="MKQ62" s="36"/>
      <c r="MKR62" s="36"/>
      <c r="MKS62" s="36"/>
      <c r="MKT62" s="36"/>
      <c r="MKU62" s="36"/>
      <c r="MKV62" s="36"/>
      <c r="MKW62" s="36"/>
      <c r="MKX62" s="36"/>
      <c r="MKY62" s="36"/>
      <c r="MKZ62" s="36"/>
      <c r="MLA62" s="36"/>
      <c r="MLB62" s="36"/>
      <c r="MLC62" s="36"/>
      <c r="MLD62" s="36"/>
      <c r="MLE62" s="36"/>
      <c r="MLF62" s="36"/>
      <c r="MLG62" s="36"/>
      <c r="MLH62" s="36"/>
      <c r="MLI62" s="36"/>
      <c r="MLJ62" s="36"/>
      <c r="MLK62" s="36"/>
      <c r="MLL62" s="36"/>
      <c r="MLM62" s="36"/>
      <c r="MLN62" s="36"/>
      <c r="MLO62" s="36"/>
      <c r="MLP62" s="36"/>
      <c r="MLQ62" s="36"/>
      <c r="MLR62" s="36"/>
      <c r="MLS62" s="36"/>
      <c r="MLT62" s="36"/>
      <c r="MLU62" s="36"/>
      <c r="MLV62" s="36"/>
      <c r="MLW62" s="36"/>
      <c r="MLX62" s="36"/>
      <c r="MLY62" s="36"/>
      <c r="MLZ62" s="36"/>
      <c r="MMA62" s="36"/>
      <c r="MMB62" s="36"/>
      <c r="MMC62" s="36"/>
      <c r="MMD62" s="36"/>
      <c r="MME62" s="36"/>
      <c r="MMF62" s="36"/>
      <c r="MMG62" s="36"/>
      <c r="MMH62" s="36"/>
      <c r="MMI62" s="36"/>
      <c r="MMJ62" s="36"/>
      <c r="MMK62" s="36"/>
      <c r="MML62" s="36"/>
      <c r="MMM62" s="36"/>
      <c r="MMN62" s="36"/>
      <c r="MMO62" s="36"/>
      <c r="MMP62" s="36"/>
      <c r="MMQ62" s="36"/>
      <c r="MMR62" s="36"/>
      <c r="MMS62" s="36"/>
      <c r="MMT62" s="36"/>
      <c r="MMU62" s="36"/>
      <c r="MMV62" s="36"/>
      <c r="MMW62" s="36"/>
      <c r="MMX62" s="36"/>
      <c r="MMY62" s="36"/>
      <c r="MMZ62" s="36"/>
      <c r="MNA62" s="36"/>
      <c r="MNB62" s="36"/>
      <c r="MNC62" s="36"/>
      <c r="MND62" s="36"/>
      <c r="MNE62" s="36"/>
      <c r="MNF62" s="36"/>
      <c r="MNG62" s="36"/>
      <c r="MNH62" s="36"/>
      <c r="MNI62" s="36"/>
      <c r="MNJ62" s="36"/>
      <c r="MNK62" s="36"/>
      <c r="MNL62" s="36"/>
      <c r="MNM62" s="36"/>
      <c r="MNN62" s="36"/>
      <c r="MNO62" s="36"/>
      <c r="MNP62" s="36"/>
      <c r="MNQ62" s="36"/>
      <c r="MNR62" s="36"/>
      <c r="MNS62" s="36"/>
      <c r="MNT62" s="36"/>
      <c r="MNU62" s="36"/>
      <c r="MNV62" s="36"/>
      <c r="MNW62" s="36"/>
      <c r="MNX62" s="36"/>
      <c r="MNY62" s="36"/>
      <c r="MNZ62" s="36"/>
      <c r="MOA62" s="36"/>
      <c r="MOB62" s="36"/>
      <c r="MOC62" s="36"/>
      <c r="MOD62" s="36"/>
      <c r="MOE62" s="36"/>
      <c r="MOF62" s="36"/>
      <c r="MOG62" s="36"/>
      <c r="MOH62" s="36"/>
      <c r="MOI62" s="36"/>
      <c r="MOJ62" s="36"/>
      <c r="MOK62" s="36"/>
      <c r="MOL62" s="36"/>
      <c r="MOM62" s="36"/>
      <c r="MON62" s="36"/>
      <c r="MOO62" s="36"/>
      <c r="MOP62" s="36"/>
      <c r="MOQ62" s="36"/>
      <c r="MOR62" s="36"/>
      <c r="MOS62" s="36"/>
      <c r="MOT62" s="36"/>
      <c r="MOU62" s="36"/>
      <c r="MOV62" s="36"/>
      <c r="MOW62" s="36"/>
      <c r="MOX62" s="36"/>
      <c r="MOY62" s="36"/>
      <c r="MOZ62" s="36"/>
      <c r="MPA62" s="36"/>
      <c r="MPB62" s="36"/>
      <c r="MPC62" s="36"/>
      <c r="MPD62" s="36"/>
      <c r="MPE62" s="36"/>
      <c r="MPF62" s="36"/>
      <c r="MPG62" s="36"/>
      <c r="MPH62" s="36"/>
      <c r="MPI62" s="36"/>
      <c r="MPJ62" s="36"/>
      <c r="MPK62" s="36"/>
      <c r="MPL62" s="36"/>
      <c r="MPM62" s="36"/>
      <c r="MPN62" s="36"/>
      <c r="MPO62" s="36"/>
      <c r="MPP62" s="36"/>
      <c r="MPQ62" s="36"/>
      <c r="MPR62" s="36"/>
      <c r="MPS62" s="36"/>
      <c r="MPT62" s="36"/>
      <c r="MPU62" s="36"/>
      <c r="MPV62" s="36"/>
      <c r="MPW62" s="36"/>
      <c r="MPX62" s="36"/>
      <c r="MPY62" s="36"/>
      <c r="MPZ62" s="36"/>
      <c r="MQA62" s="36"/>
      <c r="MQB62" s="36"/>
      <c r="MQC62" s="36"/>
      <c r="MQD62" s="36"/>
      <c r="MQE62" s="36"/>
      <c r="MQF62" s="36"/>
      <c r="MQG62" s="36"/>
      <c r="MQH62" s="36"/>
      <c r="MQI62" s="36"/>
      <c r="MQJ62" s="36"/>
      <c r="MQK62" s="36"/>
      <c r="MQL62" s="36"/>
      <c r="MQM62" s="36"/>
      <c r="MQN62" s="36"/>
      <c r="MQO62" s="36"/>
      <c r="MQP62" s="36"/>
      <c r="MQQ62" s="36"/>
      <c r="MQR62" s="36"/>
      <c r="MQS62" s="36"/>
      <c r="MQT62" s="36"/>
      <c r="MQU62" s="36"/>
      <c r="MQV62" s="36"/>
      <c r="MQW62" s="36"/>
      <c r="MQX62" s="36"/>
      <c r="MQY62" s="36"/>
      <c r="MQZ62" s="36"/>
      <c r="MRA62" s="36"/>
      <c r="MRB62" s="36"/>
      <c r="MRC62" s="36"/>
      <c r="MRD62" s="36"/>
      <c r="MRE62" s="36"/>
      <c r="MRF62" s="36"/>
      <c r="MRG62" s="36"/>
      <c r="MRH62" s="36"/>
      <c r="MRI62" s="36"/>
      <c r="MRJ62" s="36"/>
      <c r="MRK62" s="36"/>
      <c r="MRL62" s="36"/>
      <c r="MRM62" s="36"/>
      <c r="MRN62" s="36"/>
      <c r="MRO62" s="36"/>
      <c r="MRP62" s="36"/>
      <c r="MRQ62" s="36"/>
      <c r="MRR62" s="36"/>
      <c r="MRS62" s="36"/>
      <c r="MRT62" s="36"/>
      <c r="MRU62" s="36"/>
      <c r="MRV62" s="36"/>
      <c r="MRW62" s="36"/>
      <c r="MRX62" s="36"/>
      <c r="MRY62" s="36"/>
      <c r="MRZ62" s="36"/>
      <c r="MSA62" s="36"/>
      <c r="MSB62" s="36"/>
      <c r="MSC62" s="36"/>
      <c r="MSD62" s="36"/>
      <c r="MSE62" s="36"/>
      <c r="MSF62" s="36"/>
      <c r="MSG62" s="36"/>
      <c r="MSH62" s="36"/>
      <c r="MSI62" s="36"/>
      <c r="MSJ62" s="36"/>
      <c r="MSK62" s="36"/>
      <c r="MSL62" s="36"/>
      <c r="MSM62" s="36"/>
      <c r="MSN62" s="36"/>
      <c r="MSO62" s="36"/>
      <c r="MSP62" s="36"/>
      <c r="MSQ62" s="36"/>
      <c r="MSR62" s="36"/>
      <c r="MSS62" s="36"/>
      <c r="MST62" s="36"/>
      <c r="MSU62" s="36"/>
      <c r="MSV62" s="36"/>
      <c r="MSW62" s="36"/>
      <c r="MSX62" s="36"/>
      <c r="MSY62" s="36"/>
      <c r="MSZ62" s="36"/>
      <c r="MTA62" s="36"/>
      <c r="MTB62" s="36"/>
      <c r="MTC62" s="36"/>
      <c r="MTD62" s="36"/>
      <c r="MTE62" s="36"/>
      <c r="MTF62" s="36"/>
      <c r="MTG62" s="36"/>
      <c r="MTH62" s="36"/>
      <c r="MTI62" s="36"/>
      <c r="MTJ62" s="36"/>
      <c r="MTK62" s="36"/>
      <c r="MTL62" s="36"/>
      <c r="MTM62" s="36"/>
      <c r="MTN62" s="36"/>
      <c r="MTO62" s="36"/>
      <c r="MTP62" s="36"/>
      <c r="MTQ62" s="36"/>
      <c r="MTR62" s="36"/>
      <c r="MTS62" s="36"/>
      <c r="MTT62" s="36"/>
      <c r="MTU62" s="36"/>
      <c r="MTV62" s="36"/>
      <c r="MTW62" s="36"/>
      <c r="MTX62" s="36"/>
      <c r="MTY62" s="36"/>
      <c r="MTZ62" s="36"/>
      <c r="MUA62" s="36"/>
      <c r="MUB62" s="36"/>
      <c r="MUC62" s="36"/>
      <c r="MUD62" s="36"/>
      <c r="MUE62" s="36"/>
      <c r="MUF62" s="36"/>
      <c r="MUG62" s="36"/>
      <c r="MUH62" s="36"/>
      <c r="MUI62" s="36"/>
      <c r="MUJ62" s="36"/>
      <c r="MUK62" s="36"/>
      <c r="MUL62" s="36"/>
      <c r="MUM62" s="36"/>
      <c r="MUN62" s="36"/>
      <c r="MUO62" s="36"/>
      <c r="MUP62" s="36"/>
      <c r="MUQ62" s="36"/>
      <c r="MUR62" s="36"/>
      <c r="MUS62" s="36"/>
      <c r="MUT62" s="36"/>
      <c r="MUU62" s="36"/>
      <c r="MUV62" s="36"/>
      <c r="MUW62" s="36"/>
      <c r="MUX62" s="36"/>
      <c r="MUY62" s="36"/>
      <c r="MUZ62" s="36"/>
      <c r="MVA62" s="36"/>
      <c r="MVB62" s="36"/>
      <c r="MVC62" s="36"/>
      <c r="MVD62" s="36"/>
      <c r="MVE62" s="36"/>
      <c r="MVF62" s="36"/>
      <c r="MVG62" s="36"/>
      <c r="MVH62" s="36"/>
      <c r="MVI62" s="36"/>
      <c r="MVJ62" s="36"/>
      <c r="MVK62" s="36"/>
      <c r="MVL62" s="36"/>
      <c r="MVM62" s="36"/>
      <c r="MVN62" s="36"/>
      <c r="MVO62" s="36"/>
      <c r="MVP62" s="36"/>
      <c r="MVQ62" s="36"/>
      <c r="MVR62" s="36"/>
      <c r="MVS62" s="36"/>
      <c r="MVT62" s="36"/>
      <c r="MVU62" s="36"/>
      <c r="MVV62" s="36"/>
      <c r="MVW62" s="36"/>
      <c r="MVX62" s="36"/>
      <c r="MVY62" s="36"/>
      <c r="MVZ62" s="36"/>
      <c r="MWA62" s="36"/>
      <c r="MWB62" s="36"/>
      <c r="MWC62" s="36"/>
      <c r="MWD62" s="36"/>
      <c r="MWE62" s="36"/>
      <c r="MWF62" s="36"/>
      <c r="MWG62" s="36"/>
      <c r="MWH62" s="36"/>
      <c r="MWI62" s="36"/>
      <c r="MWJ62" s="36"/>
      <c r="MWK62" s="36"/>
      <c r="MWL62" s="36"/>
      <c r="MWM62" s="36"/>
      <c r="MWN62" s="36"/>
      <c r="MWO62" s="36"/>
      <c r="MWP62" s="36"/>
      <c r="MWQ62" s="36"/>
      <c r="MWR62" s="36"/>
      <c r="MWS62" s="36"/>
      <c r="MWT62" s="36"/>
      <c r="MWU62" s="36"/>
      <c r="MWV62" s="36"/>
      <c r="MWW62" s="36"/>
      <c r="MWX62" s="36"/>
      <c r="MWY62" s="36"/>
      <c r="MWZ62" s="36"/>
      <c r="MXA62" s="36"/>
      <c r="MXB62" s="36"/>
      <c r="MXC62" s="36"/>
      <c r="MXD62" s="36"/>
      <c r="MXE62" s="36"/>
      <c r="MXF62" s="36"/>
      <c r="MXG62" s="36"/>
      <c r="MXH62" s="36"/>
      <c r="MXI62" s="36"/>
      <c r="MXJ62" s="36"/>
      <c r="MXK62" s="36"/>
      <c r="MXL62" s="36"/>
      <c r="MXM62" s="36"/>
      <c r="MXN62" s="36"/>
      <c r="MXO62" s="36"/>
      <c r="MXP62" s="36"/>
      <c r="MXQ62" s="36"/>
      <c r="MXR62" s="36"/>
      <c r="MXS62" s="36"/>
      <c r="MXT62" s="36"/>
      <c r="MXU62" s="36"/>
      <c r="MXV62" s="36"/>
      <c r="MXW62" s="36"/>
      <c r="MXX62" s="36"/>
      <c r="MXY62" s="36"/>
      <c r="MXZ62" s="36"/>
      <c r="MYA62" s="36"/>
      <c r="MYB62" s="36"/>
      <c r="MYC62" s="36"/>
      <c r="MYD62" s="36"/>
      <c r="MYE62" s="36"/>
      <c r="MYF62" s="36"/>
      <c r="MYG62" s="36"/>
      <c r="MYH62" s="36"/>
      <c r="MYI62" s="36"/>
      <c r="MYJ62" s="36"/>
      <c r="MYK62" s="36"/>
      <c r="MYL62" s="36"/>
      <c r="MYM62" s="36"/>
      <c r="MYN62" s="36"/>
      <c r="MYO62" s="36"/>
      <c r="MYP62" s="36"/>
      <c r="MYQ62" s="36"/>
      <c r="MYR62" s="36"/>
      <c r="MYS62" s="36"/>
      <c r="MYT62" s="36"/>
      <c r="MYU62" s="36"/>
      <c r="MYV62" s="36"/>
      <c r="MYW62" s="36"/>
      <c r="MYX62" s="36"/>
      <c r="MYY62" s="36"/>
      <c r="MYZ62" s="36"/>
      <c r="MZA62" s="36"/>
      <c r="MZB62" s="36"/>
      <c r="MZC62" s="36"/>
      <c r="MZD62" s="36"/>
      <c r="MZE62" s="36"/>
      <c r="MZF62" s="36"/>
      <c r="MZG62" s="36"/>
      <c r="MZH62" s="36"/>
      <c r="MZI62" s="36"/>
      <c r="MZJ62" s="36"/>
      <c r="MZK62" s="36"/>
      <c r="MZL62" s="36"/>
      <c r="MZM62" s="36"/>
      <c r="MZN62" s="36"/>
      <c r="MZO62" s="36"/>
      <c r="MZP62" s="36"/>
      <c r="MZQ62" s="36"/>
      <c r="MZR62" s="36"/>
      <c r="MZS62" s="36"/>
      <c r="MZT62" s="36"/>
      <c r="MZU62" s="36"/>
      <c r="MZV62" s="36"/>
      <c r="MZW62" s="36"/>
      <c r="MZX62" s="36"/>
      <c r="MZY62" s="36"/>
      <c r="MZZ62" s="36"/>
      <c r="NAA62" s="36"/>
      <c r="NAB62" s="36"/>
      <c r="NAC62" s="36"/>
      <c r="NAD62" s="36"/>
      <c r="NAE62" s="36"/>
      <c r="NAF62" s="36"/>
      <c r="NAG62" s="36"/>
      <c r="NAH62" s="36"/>
      <c r="NAI62" s="36"/>
      <c r="NAJ62" s="36"/>
      <c r="NAK62" s="36"/>
      <c r="NAL62" s="36"/>
      <c r="NAM62" s="36"/>
      <c r="NAN62" s="36"/>
      <c r="NAO62" s="36"/>
      <c r="NAP62" s="36"/>
      <c r="NAQ62" s="36"/>
      <c r="NAR62" s="36"/>
      <c r="NAS62" s="36"/>
      <c r="NAT62" s="36"/>
      <c r="NAU62" s="36"/>
      <c r="NAV62" s="36"/>
      <c r="NAW62" s="36"/>
      <c r="NAX62" s="36"/>
      <c r="NAY62" s="36"/>
      <c r="NAZ62" s="36"/>
      <c r="NBA62" s="36"/>
      <c r="NBB62" s="36"/>
      <c r="NBC62" s="36"/>
      <c r="NBD62" s="36"/>
      <c r="NBE62" s="36"/>
      <c r="NBF62" s="36"/>
      <c r="NBG62" s="36"/>
      <c r="NBH62" s="36"/>
      <c r="NBI62" s="36"/>
      <c r="NBJ62" s="36"/>
      <c r="NBK62" s="36"/>
      <c r="NBL62" s="36"/>
      <c r="NBM62" s="36"/>
      <c r="NBN62" s="36"/>
      <c r="NBO62" s="36"/>
      <c r="NBP62" s="36"/>
      <c r="NBQ62" s="36"/>
      <c r="NBR62" s="36"/>
      <c r="NBS62" s="36"/>
      <c r="NBT62" s="36"/>
      <c r="NBU62" s="36"/>
      <c r="NBV62" s="36"/>
      <c r="NBW62" s="36"/>
      <c r="NBX62" s="36"/>
      <c r="NBY62" s="36"/>
      <c r="NBZ62" s="36"/>
      <c r="NCA62" s="36"/>
      <c r="NCB62" s="36"/>
      <c r="NCC62" s="36"/>
      <c r="NCD62" s="36"/>
      <c r="NCE62" s="36"/>
      <c r="NCF62" s="36"/>
      <c r="NCG62" s="36"/>
      <c r="NCH62" s="36"/>
      <c r="NCI62" s="36"/>
      <c r="NCJ62" s="36"/>
      <c r="NCK62" s="36"/>
      <c r="NCL62" s="36"/>
      <c r="NCM62" s="36"/>
      <c r="NCN62" s="36"/>
      <c r="NCO62" s="36"/>
      <c r="NCP62" s="36"/>
      <c r="NCQ62" s="36"/>
      <c r="NCR62" s="36"/>
      <c r="NCS62" s="36"/>
      <c r="NCT62" s="36"/>
      <c r="NCU62" s="36"/>
      <c r="NCV62" s="36"/>
      <c r="NCW62" s="36"/>
      <c r="NCX62" s="36"/>
      <c r="NCY62" s="36"/>
      <c r="NCZ62" s="36"/>
      <c r="NDA62" s="36"/>
      <c r="NDB62" s="36"/>
      <c r="NDC62" s="36"/>
      <c r="NDD62" s="36"/>
      <c r="NDE62" s="36"/>
      <c r="NDF62" s="36"/>
      <c r="NDG62" s="36"/>
      <c r="NDH62" s="36"/>
      <c r="NDI62" s="36"/>
      <c r="NDJ62" s="36"/>
      <c r="NDK62" s="36"/>
      <c r="NDL62" s="36"/>
      <c r="NDM62" s="36"/>
      <c r="NDN62" s="36"/>
      <c r="NDO62" s="36"/>
      <c r="NDP62" s="36"/>
      <c r="NDQ62" s="36"/>
      <c r="NDR62" s="36"/>
      <c r="NDS62" s="36"/>
      <c r="NDT62" s="36"/>
      <c r="NDU62" s="36"/>
      <c r="NDV62" s="36"/>
      <c r="NDW62" s="36"/>
      <c r="NDX62" s="36"/>
      <c r="NDY62" s="36"/>
      <c r="NDZ62" s="36"/>
      <c r="NEA62" s="36"/>
      <c r="NEB62" s="36"/>
      <c r="NEC62" s="36"/>
      <c r="NED62" s="36"/>
      <c r="NEE62" s="36"/>
      <c r="NEF62" s="36"/>
      <c r="NEG62" s="36"/>
      <c r="NEH62" s="36"/>
      <c r="NEI62" s="36"/>
      <c r="NEJ62" s="36"/>
      <c r="NEK62" s="36"/>
      <c r="NEL62" s="36"/>
      <c r="NEM62" s="36"/>
      <c r="NEN62" s="36"/>
      <c r="NEO62" s="36"/>
      <c r="NEP62" s="36"/>
      <c r="NEQ62" s="36"/>
      <c r="NER62" s="36"/>
      <c r="NES62" s="36"/>
      <c r="NET62" s="36"/>
      <c r="NEU62" s="36"/>
      <c r="NEV62" s="36"/>
      <c r="NEW62" s="36"/>
      <c r="NEX62" s="36"/>
      <c r="NEY62" s="36"/>
      <c r="NEZ62" s="36"/>
      <c r="NFA62" s="36"/>
      <c r="NFB62" s="36"/>
      <c r="NFC62" s="36"/>
      <c r="NFD62" s="36"/>
      <c r="NFE62" s="36"/>
      <c r="NFF62" s="36"/>
      <c r="NFG62" s="36"/>
      <c r="NFH62" s="36"/>
      <c r="NFI62" s="36"/>
      <c r="NFJ62" s="36"/>
      <c r="NFK62" s="36"/>
      <c r="NFL62" s="36"/>
      <c r="NFM62" s="36"/>
      <c r="NFN62" s="36"/>
      <c r="NFO62" s="36"/>
      <c r="NFP62" s="36"/>
      <c r="NFQ62" s="36"/>
      <c r="NFR62" s="36"/>
      <c r="NFS62" s="36"/>
      <c r="NFT62" s="36"/>
      <c r="NFU62" s="36"/>
      <c r="NFV62" s="36"/>
      <c r="NFW62" s="36"/>
      <c r="NFX62" s="36"/>
      <c r="NFY62" s="36"/>
      <c r="NFZ62" s="36"/>
      <c r="NGA62" s="36"/>
      <c r="NGB62" s="36"/>
      <c r="NGC62" s="36"/>
      <c r="NGD62" s="36"/>
      <c r="NGE62" s="36"/>
      <c r="NGF62" s="36"/>
      <c r="NGG62" s="36"/>
      <c r="NGH62" s="36"/>
      <c r="NGI62" s="36"/>
      <c r="NGJ62" s="36"/>
      <c r="NGK62" s="36"/>
      <c r="NGL62" s="36"/>
      <c r="NGM62" s="36"/>
      <c r="NGN62" s="36"/>
      <c r="NGO62" s="36"/>
      <c r="NGP62" s="36"/>
      <c r="NGQ62" s="36"/>
      <c r="NGR62" s="36"/>
      <c r="NGS62" s="36"/>
      <c r="NGT62" s="36"/>
      <c r="NGU62" s="36"/>
      <c r="NGV62" s="36"/>
      <c r="NGW62" s="36"/>
      <c r="NGX62" s="36"/>
      <c r="NGY62" s="36"/>
      <c r="NGZ62" s="36"/>
      <c r="NHA62" s="36"/>
      <c r="NHB62" s="36"/>
      <c r="NHC62" s="36"/>
      <c r="NHD62" s="36"/>
      <c r="NHE62" s="36"/>
      <c r="NHF62" s="36"/>
      <c r="NHG62" s="36"/>
      <c r="NHH62" s="36"/>
      <c r="NHI62" s="36"/>
      <c r="NHJ62" s="36"/>
      <c r="NHK62" s="36"/>
      <c r="NHL62" s="36"/>
      <c r="NHM62" s="36"/>
      <c r="NHN62" s="36"/>
      <c r="NHO62" s="36"/>
      <c r="NHP62" s="36"/>
      <c r="NHQ62" s="36"/>
      <c r="NHR62" s="36"/>
      <c r="NHS62" s="36"/>
      <c r="NHT62" s="36"/>
      <c r="NHU62" s="36"/>
      <c r="NHV62" s="36"/>
      <c r="NHW62" s="36"/>
      <c r="NHX62" s="36"/>
      <c r="NHY62" s="36"/>
      <c r="NHZ62" s="36"/>
      <c r="NIA62" s="36"/>
      <c r="NIB62" s="36"/>
      <c r="NIC62" s="36"/>
      <c r="NID62" s="36"/>
      <c r="NIE62" s="36"/>
      <c r="NIF62" s="36"/>
      <c r="NIG62" s="36"/>
      <c r="NIH62" s="36"/>
      <c r="NII62" s="36"/>
      <c r="NIJ62" s="36"/>
      <c r="NIK62" s="36"/>
      <c r="NIL62" s="36"/>
      <c r="NIM62" s="36"/>
      <c r="NIN62" s="36"/>
      <c r="NIO62" s="36"/>
      <c r="NIP62" s="36"/>
      <c r="NIQ62" s="36"/>
      <c r="NIR62" s="36"/>
      <c r="NIS62" s="36"/>
      <c r="NIT62" s="36"/>
      <c r="NIU62" s="36"/>
      <c r="NIV62" s="36"/>
      <c r="NIW62" s="36"/>
      <c r="NIX62" s="36"/>
      <c r="NIY62" s="36"/>
      <c r="NIZ62" s="36"/>
      <c r="NJA62" s="36"/>
      <c r="NJB62" s="36"/>
      <c r="NJC62" s="36"/>
      <c r="NJD62" s="36"/>
      <c r="NJE62" s="36"/>
      <c r="NJF62" s="36"/>
      <c r="NJG62" s="36"/>
      <c r="NJH62" s="36"/>
      <c r="NJI62" s="36"/>
      <c r="NJJ62" s="36"/>
      <c r="NJK62" s="36"/>
      <c r="NJL62" s="36"/>
      <c r="NJM62" s="36"/>
      <c r="NJN62" s="36"/>
      <c r="NJO62" s="36"/>
      <c r="NJP62" s="36"/>
      <c r="NJQ62" s="36"/>
      <c r="NJR62" s="36"/>
      <c r="NJS62" s="36"/>
      <c r="NJT62" s="36"/>
      <c r="NJU62" s="36"/>
      <c r="NJV62" s="36"/>
      <c r="NJW62" s="36"/>
      <c r="NJX62" s="36"/>
      <c r="NJY62" s="36"/>
      <c r="NJZ62" s="36"/>
      <c r="NKA62" s="36"/>
      <c r="NKB62" s="36"/>
      <c r="NKC62" s="36"/>
      <c r="NKD62" s="36"/>
      <c r="NKE62" s="36"/>
      <c r="NKF62" s="36"/>
      <c r="NKG62" s="36"/>
      <c r="NKH62" s="36"/>
      <c r="NKI62" s="36"/>
      <c r="NKJ62" s="36"/>
      <c r="NKK62" s="36"/>
      <c r="NKL62" s="36"/>
      <c r="NKM62" s="36"/>
      <c r="NKN62" s="36"/>
      <c r="NKO62" s="36"/>
      <c r="NKP62" s="36"/>
      <c r="NKQ62" s="36"/>
      <c r="NKR62" s="36"/>
      <c r="NKS62" s="36"/>
      <c r="NKT62" s="36"/>
      <c r="NKU62" s="36"/>
      <c r="NKV62" s="36"/>
      <c r="NKW62" s="36"/>
      <c r="NKX62" s="36"/>
      <c r="NKY62" s="36"/>
      <c r="NKZ62" s="36"/>
      <c r="NLA62" s="36"/>
      <c r="NLB62" s="36"/>
      <c r="NLC62" s="36"/>
      <c r="NLD62" s="36"/>
      <c r="NLE62" s="36"/>
      <c r="NLF62" s="36"/>
      <c r="NLG62" s="36"/>
      <c r="NLH62" s="36"/>
      <c r="NLI62" s="36"/>
      <c r="NLJ62" s="36"/>
      <c r="NLK62" s="36"/>
      <c r="NLL62" s="36"/>
      <c r="NLM62" s="36"/>
      <c r="NLN62" s="36"/>
      <c r="NLO62" s="36"/>
      <c r="NLP62" s="36"/>
      <c r="NLQ62" s="36"/>
      <c r="NLR62" s="36"/>
      <c r="NLS62" s="36"/>
      <c r="NLT62" s="36"/>
      <c r="NLU62" s="36"/>
      <c r="NLV62" s="36"/>
      <c r="NLW62" s="36"/>
      <c r="NLX62" s="36"/>
      <c r="NLY62" s="36"/>
      <c r="NLZ62" s="36"/>
      <c r="NMA62" s="36"/>
      <c r="NMB62" s="36"/>
      <c r="NMC62" s="36"/>
      <c r="NMD62" s="36"/>
      <c r="NME62" s="36"/>
      <c r="NMF62" s="36"/>
      <c r="NMG62" s="36"/>
      <c r="NMH62" s="36"/>
      <c r="NMI62" s="36"/>
      <c r="NMJ62" s="36"/>
      <c r="NMK62" s="36"/>
      <c r="NML62" s="36"/>
      <c r="NMM62" s="36"/>
      <c r="NMN62" s="36"/>
      <c r="NMO62" s="36"/>
      <c r="NMP62" s="36"/>
      <c r="NMQ62" s="36"/>
      <c r="NMR62" s="36"/>
      <c r="NMS62" s="36"/>
      <c r="NMT62" s="36"/>
      <c r="NMU62" s="36"/>
      <c r="NMV62" s="36"/>
      <c r="NMW62" s="36"/>
      <c r="NMX62" s="36"/>
      <c r="NMY62" s="36"/>
      <c r="NMZ62" s="36"/>
      <c r="NNA62" s="36"/>
      <c r="NNB62" s="36"/>
      <c r="NNC62" s="36"/>
      <c r="NND62" s="36"/>
      <c r="NNE62" s="36"/>
      <c r="NNF62" s="36"/>
      <c r="NNG62" s="36"/>
      <c r="NNH62" s="36"/>
      <c r="NNI62" s="36"/>
      <c r="NNJ62" s="36"/>
      <c r="NNK62" s="36"/>
      <c r="NNL62" s="36"/>
      <c r="NNM62" s="36"/>
      <c r="NNN62" s="36"/>
      <c r="NNO62" s="36"/>
      <c r="NNP62" s="36"/>
      <c r="NNQ62" s="36"/>
      <c r="NNR62" s="36"/>
      <c r="NNS62" s="36"/>
      <c r="NNT62" s="36"/>
      <c r="NNU62" s="36"/>
      <c r="NNV62" s="36"/>
      <c r="NNW62" s="36"/>
      <c r="NNX62" s="36"/>
      <c r="NNY62" s="36"/>
      <c r="NNZ62" s="36"/>
      <c r="NOA62" s="36"/>
      <c r="NOB62" s="36"/>
      <c r="NOC62" s="36"/>
      <c r="NOD62" s="36"/>
      <c r="NOE62" s="36"/>
      <c r="NOF62" s="36"/>
      <c r="NOG62" s="36"/>
      <c r="NOH62" s="36"/>
      <c r="NOI62" s="36"/>
      <c r="NOJ62" s="36"/>
      <c r="NOK62" s="36"/>
      <c r="NOL62" s="36"/>
      <c r="NOM62" s="36"/>
      <c r="NON62" s="36"/>
      <c r="NOO62" s="36"/>
      <c r="NOP62" s="36"/>
      <c r="NOQ62" s="36"/>
      <c r="NOR62" s="36"/>
      <c r="NOS62" s="36"/>
      <c r="NOT62" s="36"/>
      <c r="NOU62" s="36"/>
      <c r="NOV62" s="36"/>
      <c r="NOW62" s="36"/>
      <c r="NOX62" s="36"/>
      <c r="NOY62" s="36"/>
      <c r="NOZ62" s="36"/>
      <c r="NPA62" s="36"/>
      <c r="NPB62" s="36"/>
      <c r="NPC62" s="36"/>
      <c r="NPD62" s="36"/>
      <c r="NPE62" s="36"/>
      <c r="NPF62" s="36"/>
      <c r="NPG62" s="36"/>
      <c r="NPH62" s="36"/>
      <c r="NPI62" s="36"/>
      <c r="NPJ62" s="36"/>
      <c r="NPK62" s="36"/>
      <c r="NPL62" s="36"/>
      <c r="NPM62" s="36"/>
      <c r="NPN62" s="36"/>
      <c r="NPO62" s="36"/>
      <c r="NPP62" s="36"/>
      <c r="NPQ62" s="36"/>
      <c r="NPR62" s="36"/>
      <c r="NPS62" s="36"/>
      <c r="NPT62" s="36"/>
      <c r="NPU62" s="36"/>
      <c r="NPV62" s="36"/>
      <c r="NPW62" s="36"/>
      <c r="NPX62" s="36"/>
      <c r="NPY62" s="36"/>
      <c r="NPZ62" s="36"/>
      <c r="NQA62" s="36"/>
      <c r="NQB62" s="36"/>
      <c r="NQC62" s="36"/>
      <c r="NQD62" s="36"/>
      <c r="NQE62" s="36"/>
      <c r="NQF62" s="36"/>
      <c r="NQG62" s="36"/>
      <c r="NQH62" s="36"/>
      <c r="NQI62" s="36"/>
      <c r="NQJ62" s="36"/>
      <c r="NQK62" s="36"/>
      <c r="NQL62" s="36"/>
      <c r="NQM62" s="36"/>
      <c r="NQN62" s="36"/>
      <c r="NQO62" s="36"/>
      <c r="NQP62" s="36"/>
      <c r="NQQ62" s="36"/>
      <c r="NQR62" s="36"/>
      <c r="NQS62" s="36"/>
      <c r="NQT62" s="36"/>
      <c r="NQU62" s="36"/>
      <c r="NQV62" s="36"/>
      <c r="NQW62" s="36"/>
      <c r="NQX62" s="36"/>
      <c r="NQY62" s="36"/>
      <c r="NQZ62" s="36"/>
      <c r="NRA62" s="36"/>
      <c r="NRB62" s="36"/>
      <c r="NRC62" s="36"/>
      <c r="NRD62" s="36"/>
      <c r="NRE62" s="36"/>
      <c r="NRF62" s="36"/>
      <c r="NRG62" s="36"/>
      <c r="NRH62" s="36"/>
      <c r="NRI62" s="36"/>
      <c r="NRJ62" s="36"/>
      <c r="NRK62" s="36"/>
      <c r="NRL62" s="36"/>
      <c r="NRM62" s="36"/>
      <c r="NRN62" s="36"/>
      <c r="NRO62" s="36"/>
      <c r="NRP62" s="36"/>
      <c r="NRQ62" s="36"/>
      <c r="NRR62" s="36"/>
      <c r="NRS62" s="36"/>
      <c r="NRT62" s="36"/>
      <c r="NRU62" s="36"/>
      <c r="NRV62" s="36"/>
      <c r="NRW62" s="36"/>
      <c r="NRX62" s="36"/>
      <c r="NRY62" s="36"/>
      <c r="NRZ62" s="36"/>
      <c r="NSA62" s="36"/>
      <c r="NSB62" s="36"/>
      <c r="NSC62" s="36"/>
      <c r="NSD62" s="36"/>
      <c r="NSE62" s="36"/>
      <c r="NSF62" s="36"/>
      <c r="NSG62" s="36"/>
      <c r="NSH62" s="36"/>
      <c r="NSI62" s="36"/>
      <c r="NSJ62" s="36"/>
      <c r="NSK62" s="36"/>
      <c r="NSL62" s="36"/>
      <c r="NSM62" s="36"/>
      <c r="NSN62" s="36"/>
      <c r="NSO62" s="36"/>
      <c r="NSP62" s="36"/>
      <c r="NSQ62" s="36"/>
      <c r="NSR62" s="36"/>
      <c r="NSS62" s="36"/>
      <c r="NST62" s="36"/>
      <c r="NSU62" s="36"/>
      <c r="NSV62" s="36"/>
      <c r="NSW62" s="36"/>
      <c r="NSX62" s="36"/>
      <c r="NSY62" s="36"/>
      <c r="NSZ62" s="36"/>
      <c r="NTA62" s="36"/>
      <c r="NTB62" s="36"/>
      <c r="NTC62" s="36"/>
      <c r="NTD62" s="36"/>
      <c r="NTE62" s="36"/>
      <c r="NTF62" s="36"/>
      <c r="NTG62" s="36"/>
      <c r="NTH62" s="36"/>
      <c r="NTI62" s="36"/>
      <c r="NTJ62" s="36"/>
      <c r="NTK62" s="36"/>
      <c r="NTL62" s="36"/>
      <c r="NTM62" s="36"/>
      <c r="NTN62" s="36"/>
      <c r="NTO62" s="36"/>
      <c r="NTP62" s="36"/>
      <c r="NTQ62" s="36"/>
      <c r="NTR62" s="36"/>
      <c r="NTS62" s="36"/>
      <c r="NTT62" s="36"/>
      <c r="NTU62" s="36"/>
      <c r="NTV62" s="36"/>
      <c r="NTW62" s="36"/>
      <c r="NTX62" s="36"/>
      <c r="NTY62" s="36"/>
      <c r="NTZ62" s="36"/>
      <c r="NUA62" s="36"/>
      <c r="NUB62" s="36"/>
      <c r="NUC62" s="36"/>
      <c r="NUD62" s="36"/>
      <c r="NUE62" s="36"/>
      <c r="NUF62" s="36"/>
      <c r="NUG62" s="36"/>
      <c r="NUH62" s="36"/>
      <c r="NUI62" s="36"/>
      <c r="NUJ62" s="36"/>
      <c r="NUK62" s="36"/>
      <c r="NUL62" s="36"/>
      <c r="NUM62" s="36"/>
      <c r="NUN62" s="36"/>
      <c r="NUO62" s="36"/>
      <c r="NUP62" s="36"/>
      <c r="NUQ62" s="36"/>
      <c r="NUR62" s="36"/>
      <c r="NUS62" s="36"/>
      <c r="NUT62" s="36"/>
      <c r="NUU62" s="36"/>
      <c r="NUV62" s="36"/>
      <c r="NUW62" s="36"/>
      <c r="NUX62" s="36"/>
      <c r="NUY62" s="36"/>
      <c r="NUZ62" s="36"/>
      <c r="NVA62" s="36"/>
      <c r="NVB62" s="36"/>
      <c r="NVC62" s="36"/>
      <c r="NVD62" s="36"/>
      <c r="NVE62" s="36"/>
      <c r="NVF62" s="36"/>
      <c r="NVG62" s="36"/>
      <c r="NVH62" s="36"/>
      <c r="NVI62" s="36"/>
      <c r="NVJ62" s="36"/>
      <c r="NVK62" s="36"/>
      <c r="NVL62" s="36"/>
      <c r="NVM62" s="36"/>
      <c r="NVN62" s="36"/>
      <c r="NVO62" s="36"/>
      <c r="NVP62" s="36"/>
      <c r="NVQ62" s="36"/>
      <c r="NVR62" s="36"/>
      <c r="NVS62" s="36"/>
      <c r="NVT62" s="36"/>
      <c r="NVU62" s="36"/>
      <c r="NVV62" s="36"/>
      <c r="NVW62" s="36"/>
      <c r="NVX62" s="36"/>
      <c r="NVY62" s="36"/>
      <c r="NVZ62" s="36"/>
      <c r="NWA62" s="36"/>
      <c r="NWB62" s="36"/>
      <c r="NWC62" s="36"/>
      <c r="NWD62" s="36"/>
      <c r="NWE62" s="36"/>
      <c r="NWF62" s="36"/>
      <c r="NWG62" s="36"/>
      <c r="NWH62" s="36"/>
      <c r="NWI62" s="36"/>
      <c r="NWJ62" s="36"/>
      <c r="NWK62" s="36"/>
      <c r="NWL62" s="36"/>
      <c r="NWM62" s="36"/>
      <c r="NWN62" s="36"/>
      <c r="NWO62" s="36"/>
      <c r="NWP62" s="36"/>
      <c r="NWQ62" s="36"/>
      <c r="NWR62" s="36"/>
      <c r="NWS62" s="36"/>
      <c r="NWT62" s="36"/>
      <c r="NWU62" s="36"/>
      <c r="NWV62" s="36"/>
      <c r="NWW62" s="36"/>
      <c r="NWX62" s="36"/>
      <c r="NWY62" s="36"/>
      <c r="NWZ62" s="36"/>
      <c r="NXA62" s="36"/>
      <c r="NXB62" s="36"/>
      <c r="NXC62" s="36"/>
      <c r="NXD62" s="36"/>
      <c r="NXE62" s="36"/>
      <c r="NXF62" s="36"/>
      <c r="NXG62" s="36"/>
      <c r="NXH62" s="36"/>
      <c r="NXI62" s="36"/>
      <c r="NXJ62" s="36"/>
      <c r="NXK62" s="36"/>
      <c r="NXL62" s="36"/>
      <c r="NXM62" s="36"/>
      <c r="NXN62" s="36"/>
      <c r="NXO62" s="36"/>
      <c r="NXP62" s="36"/>
      <c r="NXQ62" s="36"/>
      <c r="NXR62" s="36"/>
      <c r="NXS62" s="36"/>
      <c r="NXT62" s="36"/>
      <c r="NXU62" s="36"/>
      <c r="NXV62" s="36"/>
      <c r="NXW62" s="36"/>
      <c r="NXX62" s="36"/>
      <c r="NXY62" s="36"/>
      <c r="NXZ62" s="36"/>
      <c r="NYA62" s="36"/>
      <c r="NYB62" s="36"/>
      <c r="NYC62" s="36"/>
      <c r="NYD62" s="36"/>
      <c r="NYE62" s="36"/>
      <c r="NYF62" s="36"/>
      <c r="NYG62" s="36"/>
      <c r="NYH62" s="36"/>
      <c r="NYI62" s="36"/>
      <c r="NYJ62" s="36"/>
      <c r="NYK62" s="36"/>
      <c r="NYL62" s="36"/>
      <c r="NYM62" s="36"/>
      <c r="NYN62" s="36"/>
      <c r="NYO62" s="36"/>
      <c r="NYP62" s="36"/>
      <c r="NYQ62" s="36"/>
      <c r="NYR62" s="36"/>
      <c r="NYS62" s="36"/>
      <c r="NYT62" s="36"/>
      <c r="NYU62" s="36"/>
      <c r="NYV62" s="36"/>
      <c r="NYW62" s="36"/>
      <c r="NYX62" s="36"/>
      <c r="NYY62" s="36"/>
      <c r="NYZ62" s="36"/>
      <c r="NZA62" s="36"/>
      <c r="NZB62" s="36"/>
      <c r="NZC62" s="36"/>
      <c r="NZD62" s="36"/>
      <c r="NZE62" s="36"/>
      <c r="NZF62" s="36"/>
      <c r="NZG62" s="36"/>
      <c r="NZH62" s="36"/>
      <c r="NZI62" s="36"/>
      <c r="NZJ62" s="36"/>
      <c r="NZK62" s="36"/>
      <c r="NZL62" s="36"/>
      <c r="NZM62" s="36"/>
      <c r="NZN62" s="36"/>
      <c r="NZO62" s="36"/>
      <c r="NZP62" s="36"/>
      <c r="NZQ62" s="36"/>
      <c r="NZR62" s="36"/>
      <c r="NZS62" s="36"/>
      <c r="NZT62" s="36"/>
      <c r="NZU62" s="36"/>
      <c r="NZV62" s="36"/>
      <c r="NZW62" s="36"/>
      <c r="NZX62" s="36"/>
      <c r="NZY62" s="36"/>
      <c r="NZZ62" s="36"/>
      <c r="OAA62" s="36"/>
      <c r="OAB62" s="36"/>
      <c r="OAC62" s="36"/>
      <c r="OAD62" s="36"/>
      <c r="OAE62" s="36"/>
      <c r="OAF62" s="36"/>
      <c r="OAG62" s="36"/>
      <c r="OAH62" s="36"/>
      <c r="OAI62" s="36"/>
      <c r="OAJ62" s="36"/>
      <c r="OAK62" s="36"/>
      <c r="OAL62" s="36"/>
      <c r="OAM62" s="36"/>
      <c r="OAN62" s="36"/>
      <c r="OAO62" s="36"/>
      <c r="OAP62" s="36"/>
      <c r="OAQ62" s="36"/>
      <c r="OAR62" s="36"/>
      <c r="OAS62" s="36"/>
      <c r="OAT62" s="36"/>
      <c r="OAU62" s="36"/>
      <c r="OAV62" s="36"/>
      <c r="OAW62" s="36"/>
      <c r="OAX62" s="36"/>
      <c r="OAY62" s="36"/>
      <c r="OAZ62" s="36"/>
      <c r="OBA62" s="36"/>
      <c r="OBB62" s="36"/>
      <c r="OBC62" s="36"/>
      <c r="OBD62" s="36"/>
      <c r="OBE62" s="36"/>
      <c r="OBF62" s="36"/>
      <c r="OBG62" s="36"/>
      <c r="OBH62" s="36"/>
      <c r="OBI62" s="36"/>
      <c r="OBJ62" s="36"/>
      <c r="OBK62" s="36"/>
      <c r="OBL62" s="36"/>
      <c r="OBM62" s="36"/>
      <c r="OBN62" s="36"/>
      <c r="OBO62" s="36"/>
      <c r="OBP62" s="36"/>
      <c r="OBQ62" s="36"/>
      <c r="OBR62" s="36"/>
      <c r="OBS62" s="36"/>
      <c r="OBT62" s="36"/>
      <c r="OBU62" s="36"/>
      <c r="OBV62" s="36"/>
      <c r="OBW62" s="36"/>
      <c r="OBX62" s="36"/>
      <c r="OBY62" s="36"/>
      <c r="OBZ62" s="36"/>
      <c r="OCA62" s="36"/>
      <c r="OCB62" s="36"/>
      <c r="OCC62" s="36"/>
      <c r="OCD62" s="36"/>
      <c r="OCE62" s="36"/>
      <c r="OCF62" s="36"/>
      <c r="OCG62" s="36"/>
      <c r="OCH62" s="36"/>
      <c r="OCI62" s="36"/>
      <c r="OCJ62" s="36"/>
      <c r="OCK62" s="36"/>
      <c r="OCL62" s="36"/>
      <c r="OCM62" s="36"/>
      <c r="OCN62" s="36"/>
      <c r="OCO62" s="36"/>
      <c r="OCP62" s="36"/>
      <c r="OCQ62" s="36"/>
      <c r="OCR62" s="36"/>
      <c r="OCS62" s="36"/>
      <c r="OCT62" s="36"/>
      <c r="OCU62" s="36"/>
      <c r="OCV62" s="36"/>
      <c r="OCW62" s="36"/>
      <c r="OCX62" s="36"/>
      <c r="OCY62" s="36"/>
      <c r="OCZ62" s="36"/>
      <c r="ODA62" s="36"/>
      <c r="ODB62" s="36"/>
      <c r="ODC62" s="36"/>
      <c r="ODD62" s="36"/>
      <c r="ODE62" s="36"/>
      <c r="ODF62" s="36"/>
      <c r="ODG62" s="36"/>
      <c r="ODH62" s="36"/>
      <c r="ODI62" s="36"/>
      <c r="ODJ62" s="36"/>
      <c r="ODK62" s="36"/>
      <c r="ODL62" s="36"/>
      <c r="ODM62" s="36"/>
      <c r="ODN62" s="36"/>
      <c r="ODO62" s="36"/>
      <c r="ODP62" s="36"/>
      <c r="ODQ62" s="36"/>
      <c r="ODR62" s="36"/>
      <c r="ODS62" s="36"/>
      <c r="ODT62" s="36"/>
      <c r="ODU62" s="36"/>
      <c r="ODV62" s="36"/>
      <c r="ODW62" s="36"/>
      <c r="ODX62" s="36"/>
      <c r="ODY62" s="36"/>
      <c r="ODZ62" s="36"/>
      <c r="OEA62" s="36"/>
      <c r="OEB62" s="36"/>
      <c r="OEC62" s="36"/>
      <c r="OED62" s="36"/>
      <c r="OEE62" s="36"/>
      <c r="OEF62" s="36"/>
      <c r="OEG62" s="36"/>
      <c r="OEH62" s="36"/>
      <c r="OEI62" s="36"/>
      <c r="OEJ62" s="36"/>
      <c r="OEK62" s="36"/>
      <c r="OEL62" s="36"/>
      <c r="OEM62" s="36"/>
      <c r="OEN62" s="36"/>
      <c r="OEO62" s="36"/>
      <c r="OEP62" s="36"/>
      <c r="OEQ62" s="36"/>
      <c r="OER62" s="36"/>
      <c r="OES62" s="36"/>
      <c r="OET62" s="36"/>
      <c r="OEU62" s="36"/>
      <c r="OEV62" s="36"/>
      <c r="OEW62" s="36"/>
      <c r="OEX62" s="36"/>
      <c r="OEY62" s="36"/>
      <c r="OEZ62" s="36"/>
      <c r="OFA62" s="36"/>
      <c r="OFB62" s="36"/>
      <c r="OFC62" s="36"/>
      <c r="OFD62" s="36"/>
      <c r="OFE62" s="36"/>
      <c r="OFF62" s="36"/>
      <c r="OFG62" s="36"/>
      <c r="OFH62" s="36"/>
      <c r="OFI62" s="36"/>
      <c r="OFJ62" s="36"/>
      <c r="OFK62" s="36"/>
      <c r="OFL62" s="36"/>
      <c r="OFM62" s="36"/>
      <c r="OFN62" s="36"/>
      <c r="OFO62" s="36"/>
      <c r="OFP62" s="36"/>
      <c r="OFQ62" s="36"/>
      <c r="OFR62" s="36"/>
      <c r="OFS62" s="36"/>
      <c r="OFT62" s="36"/>
      <c r="OFU62" s="36"/>
      <c r="OFV62" s="36"/>
      <c r="OFW62" s="36"/>
      <c r="OFX62" s="36"/>
      <c r="OFY62" s="36"/>
      <c r="OFZ62" s="36"/>
      <c r="OGA62" s="36"/>
      <c r="OGB62" s="36"/>
      <c r="OGC62" s="36"/>
      <c r="OGD62" s="36"/>
      <c r="OGE62" s="36"/>
      <c r="OGF62" s="36"/>
      <c r="OGG62" s="36"/>
      <c r="OGH62" s="36"/>
      <c r="OGI62" s="36"/>
      <c r="OGJ62" s="36"/>
      <c r="OGK62" s="36"/>
      <c r="OGL62" s="36"/>
      <c r="OGM62" s="36"/>
      <c r="OGN62" s="36"/>
      <c r="OGO62" s="36"/>
      <c r="OGP62" s="36"/>
      <c r="OGQ62" s="36"/>
      <c r="OGR62" s="36"/>
      <c r="OGS62" s="36"/>
      <c r="OGT62" s="36"/>
      <c r="OGU62" s="36"/>
      <c r="OGV62" s="36"/>
      <c r="OGW62" s="36"/>
      <c r="OGX62" s="36"/>
      <c r="OGY62" s="36"/>
      <c r="OGZ62" s="36"/>
      <c r="OHA62" s="36"/>
      <c r="OHB62" s="36"/>
      <c r="OHC62" s="36"/>
      <c r="OHD62" s="36"/>
      <c r="OHE62" s="36"/>
      <c r="OHF62" s="36"/>
      <c r="OHG62" s="36"/>
      <c r="OHH62" s="36"/>
      <c r="OHI62" s="36"/>
      <c r="OHJ62" s="36"/>
      <c r="OHK62" s="36"/>
      <c r="OHL62" s="36"/>
      <c r="OHM62" s="36"/>
      <c r="OHN62" s="36"/>
      <c r="OHO62" s="36"/>
      <c r="OHP62" s="36"/>
      <c r="OHQ62" s="36"/>
      <c r="OHR62" s="36"/>
      <c r="OHS62" s="36"/>
      <c r="OHT62" s="36"/>
      <c r="OHU62" s="36"/>
      <c r="OHV62" s="36"/>
      <c r="OHW62" s="36"/>
      <c r="OHX62" s="36"/>
      <c r="OHY62" s="36"/>
      <c r="OHZ62" s="36"/>
      <c r="OIA62" s="36"/>
      <c r="OIB62" s="36"/>
      <c r="OIC62" s="36"/>
      <c r="OID62" s="36"/>
      <c r="OIE62" s="36"/>
      <c r="OIF62" s="36"/>
      <c r="OIG62" s="36"/>
      <c r="OIH62" s="36"/>
      <c r="OII62" s="36"/>
      <c r="OIJ62" s="36"/>
      <c r="OIK62" s="36"/>
      <c r="OIL62" s="36"/>
      <c r="OIM62" s="36"/>
      <c r="OIN62" s="36"/>
      <c r="OIO62" s="36"/>
      <c r="OIP62" s="36"/>
      <c r="OIQ62" s="36"/>
      <c r="OIR62" s="36"/>
      <c r="OIS62" s="36"/>
      <c r="OIT62" s="36"/>
      <c r="OIU62" s="36"/>
      <c r="OIV62" s="36"/>
      <c r="OIW62" s="36"/>
      <c r="OIX62" s="36"/>
      <c r="OIY62" s="36"/>
      <c r="OIZ62" s="36"/>
      <c r="OJA62" s="36"/>
      <c r="OJB62" s="36"/>
      <c r="OJC62" s="36"/>
      <c r="OJD62" s="36"/>
      <c r="OJE62" s="36"/>
      <c r="OJF62" s="36"/>
      <c r="OJG62" s="36"/>
      <c r="OJH62" s="36"/>
      <c r="OJI62" s="36"/>
      <c r="OJJ62" s="36"/>
      <c r="OJK62" s="36"/>
      <c r="OJL62" s="36"/>
      <c r="OJM62" s="36"/>
      <c r="OJN62" s="36"/>
      <c r="OJO62" s="36"/>
      <c r="OJP62" s="36"/>
      <c r="OJQ62" s="36"/>
      <c r="OJR62" s="36"/>
      <c r="OJS62" s="36"/>
      <c r="OJT62" s="36"/>
      <c r="OJU62" s="36"/>
      <c r="OJV62" s="36"/>
      <c r="OJW62" s="36"/>
      <c r="OJX62" s="36"/>
      <c r="OJY62" s="36"/>
      <c r="OJZ62" s="36"/>
      <c r="OKA62" s="36"/>
      <c r="OKB62" s="36"/>
      <c r="OKC62" s="36"/>
      <c r="OKD62" s="36"/>
      <c r="OKE62" s="36"/>
      <c r="OKF62" s="36"/>
      <c r="OKG62" s="36"/>
      <c r="OKH62" s="36"/>
      <c r="OKI62" s="36"/>
      <c r="OKJ62" s="36"/>
      <c r="OKK62" s="36"/>
      <c r="OKL62" s="36"/>
      <c r="OKM62" s="36"/>
      <c r="OKN62" s="36"/>
      <c r="OKO62" s="36"/>
      <c r="OKP62" s="36"/>
      <c r="OKQ62" s="36"/>
      <c r="OKR62" s="36"/>
      <c r="OKS62" s="36"/>
      <c r="OKT62" s="36"/>
      <c r="OKU62" s="36"/>
      <c r="OKV62" s="36"/>
      <c r="OKW62" s="36"/>
      <c r="OKX62" s="36"/>
      <c r="OKY62" s="36"/>
      <c r="OKZ62" s="36"/>
      <c r="OLA62" s="36"/>
      <c r="OLB62" s="36"/>
      <c r="OLC62" s="36"/>
      <c r="OLD62" s="36"/>
      <c r="OLE62" s="36"/>
      <c r="OLF62" s="36"/>
      <c r="OLG62" s="36"/>
      <c r="OLH62" s="36"/>
      <c r="OLI62" s="36"/>
      <c r="OLJ62" s="36"/>
      <c r="OLK62" s="36"/>
      <c r="OLL62" s="36"/>
      <c r="OLM62" s="36"/>
      <c r="OLN62" s="36"/>
      <c r="OLO62" s="36"/>
      <c r="OLP62" s="36"/>
      <c r="OLQ62" s="36"/>
      <c r="OLR62" s="36"/>
      <c r="OLS62" s="36"/>
      <c r="OLT62" s="36"/>
      <c r="OLU62" s="36"/>
      <c r="OLV62" s="36"/>
      <c r="OLW62" s="36"/>
      <c r="OLX62" s="36"/>
      <c r="OLY62" s="36"/>
      <c r="OLZ62" s="36"/>
      <c r="OMA62" s="36"/>
      <c r="OMB62" s="36"/>
      <c r="OMC62" s="36"/>
      <c r="OMD62" s="36"/>
      <c r="OME62" s="36"/>
      <c r="OMF62" s="36"/>
      <c r="OMG62" s="36"/>
      <c r="OMH62" s="36"/>
      <c r="OMI62" s="36"/>
      <c r="OMJ62" s="36"/>
      <c r="OMK62" s="36"/>
      <c r="OML62" s="36"/>
      <c r="OMM62" s="36"/>
      <c r="OMN62" s="36"/>
      <c r="OMO62" s="36"/>
      <c r="OMP62" s="36"/>
      <c r="OMQ62" s="36"/>
      <c r="OMR62" s="36"/>
      <c r="OMS62" s="36"/>
      <c r="OMT62" s="36"/>
      <c r="OMU62" s="36"/>
      <c r="OMV62" s="36"/>
      <c r="OMW62" s="36"/>
      <c r="OMX62" s="36"/>
      <c r="OMY62" s="36"/>
      <c r="OMZ62" s="36"/>
      <c r="ONA62" s="36"/>
      <c r="ONB62" s="36"/>
      <c r="ONC62" s="36"/>
      <c r="OND62" s="36"/>
      <c r="ONE62" s="36"/>
      <c r="ONF62" s="36"/>
      <c r="ONG62" s="36"/>
      <c r="ONH62" s="36"/>
      <c r="ONI62" s="36"/>
      <c r="ONJ62" s="36"/>
      <c r="ONK62" s="36"/>
      <c r="ONL62" s="36"/>
      <c r="ONM62" s="36"/>
      <c r="ONN62" s="36"/>
      <c r="ONO62" s="36"/>
      <c r="ONP62" s="36"/>
      <c r="ONQ62" s="36"/>
      <c r="ONR62" s="36"/>
      <c r="ONS62" s="36"/>
      <c r="ONT62" s="36"/>
      <c r="ONU62" s="36"/>
      <c r="ONV62" s="36"/>
      <c r="ONW62" s="36"/>
      <c r="ONX62" s="36"/>
      <c r="ONY62" s="36"/>
      <c r="ONZ62" s="36"/>
      <c r="OOA62" s="36"/>
      <c r="OOB62" s="36"/>
      <c r="OOC62" s="36"/>
      <c r="OOD62" s="36"/>
      <c r="OOE62" s="36"/>
      <c r="OOF62" s="36"/>
      <c r="OOG62" s="36"/>
      <c r="OOH62" s="36"/>
      <c r="OOI62" s="36"/>
      <c r="OOJ62" s="36"/>
      <c r="OOK62" s="36"/>
      <c r="OOL62" s="36"/>
      <c r="OOM62" s="36"/>
      <c r="OON62" s="36"/>
      <c r="OOO62" s="36"/>
      <c r="OOP62" s="36"/>
      <c r="OOQ62" s="36"/>
      <c r="OOR62" s="36"/>
      <c r="OOS62" s="36"/>
      <c r="OOT62" s="36"/>
      <c r="OOU62" s="36"/>
      <c r="OOV62" s="36"/>
      <c r="OOW62" s="36"/>
      <c r="OOX62" s="36"/>
      <c r="OOY62" s="36"/>
      <c r="OOZ62" s="36"/>
      <c r="OPA62" s="36"/>
      <c r="OPB62" s="36"/>
      <c r="OPC62" s="36"/>
      <c r="OPD62" s="36"/>
      <c r="OPE62" s="36"/>
      <c r="OPF62" s="36"/>
      <c r="OPG62" s="36"/>
      <c r="OPH62" s="36"/>
      <c r="OPI62" s="36"/>
      <c r="OPJ62" s="36"/>
      <c r="OPK62" s="36"/>
      <c r="OPL62" s="36"/>
      <c r="OPM62" s="36"/>
      <c r="OPN62" s="36"/>
      <c r="OPO62" s="36"/>
      <c r="OPP62" s="36"/>
      <c r="OPQ62" s="36"/>
      <c r="OPR62" s="36"/>
      <c r="OPS62" s="36"/>
      <c r="OPT62" s="36"/>
      <c r="OPU62" s="36"/>
      <c r="OPV62" s="36"/>
      <c r="OPW62" s="36"/>
      <c r="OPX62" s="36"/>
      <c r="OPY62" s="36"/>
      <c r="OPZ62" s="36"/>
      <c r="OQA62" s="36"/>
      <c r="OQB62" s="36"/>
      <c r="OQC62" s="36"/>
      <c r="OQD62" s="36"/>
      <c r="OQE62" s="36"/>
      <c r="OQF62" s="36"/>
      <c r="OQG62" s="36"/>
      <c r="OQH62" s="36"/>
      <c r="OQI62" s="36"/>
      <c r="OQJ62" s="36"/>
      <c r="OQK62" s="36"/>
      <c r="OQL62" s="36"/>
      <c r="OQM62" s="36"/>
      <c r="OQN62" s="36"/>
      <c r="OQO62" s="36"/>
      <c r="OQP62" s="36"/>
      <c r="OQQ62" s="36"/>
      <c r="OQR62" s="36"/>
      <c r="OQS62" s="36"/>
      <c r="OQT62" s="36"/>
      <c r="OQU62" s="36"/>
      <c r="OQV62" s="36"/>
      <c r="OQW62" s="36"/>
      <c r="OQX62" s="36"/>
      <c r="OQY62" s="36"/>
      <c r="OQZ62" s="36"/>
      <c r="ORA62" s="36"/>
      <c r="ORB62" s="36"/>
      <c r="ORC62" s="36"/>
      <c r="ORD62" s="36"/>
      <c r="ORE62" s="36"/>
      <c r="ORF62" s="36"/>
      <c r="ORG62" s="36"/>
      <c r="ORH62" s="36"/>
      <c r="ORI62" s="36"/>
      <c r="ORJ62" s="36"/>
      <c r="ORK62" s="36"/>
      <c r="ORL62" s="36"/>
      <c r="ORM62" s="36"/>
      <c r="ORN62" s="36"/>
      <c r="ORO62" s="36"/>
      <c r="ORP62" s="36"/>
      <c r="ORQ62" s="36"/>
      <c r="ORR62" s="36"/>
      <c r="ORS62" s="36"/>
      <c r="ORT62" s="36"/>
      <c r="ORU62" s="36"/>
      <c r="ORV62" s="36"/>
      <c r="ORW62" s="36"/>
      <c r="ORX62" s="36"/>
      <c r="ORY62" s="36"/>
      <c r="ORZ62" s="36"/>
      <c r="OSA62" s="36"/>
      <c r="OSB62" s="36"/>
      <c r="OSC62" s="36"/>
      <c r="OSD62" s="36"/>
      <c r="OSE62" s="36"/>
      <c r="OSF62" s="36"/>
      <c r="OSG62" s="36"/>
      <c r="OSH62" s="36"/>
      <c r="OSI62" s="36"/>
      <c r="OSJ62" s="36"/>
      <c r="OSK62" s="36"/>
      <c r="OSL62" s="36"/>
      <c r="OSM62" s="36"/>
      <c r="OSN62" s="36"/>
      <c r="OSO62" s="36"/>
      <c r="OSP62" s="36"/>
      <c r="OSQ62" s="36"/>
      <c r="OSR62" s="36"/>
      <c r="OSS62" s="36"/>
      <c r="OST62" s="36"/>
      <c r="OSU62" s="36"/>
      <c r="OSV62" s="36"/>
      <c r="OSW62" s="36"/>
      <c r="OSX62" s="36"/>
      <c r="OSY62" s="36"/>
      <c r="OSZ62" s="36"/>
      <c r="OTA62" s="36"/>
      <c r="OTB62" s="36"/>
      <c r="OTC62" s="36"/>
      <c r="OTD62" s="36"/>
      <c r="OTE62" s="36"/>
      <c r="OTF62" s="36"/>
      <c r="OTG62" s="36"/>
      <c r="OTH62" s="36"/>
      <c r="OTI62" s="36"/>
      <c r="OTJ62" s="36"/>
      <c r="OTK62" s="36"/>
      <c r="OTL62" s="36"/>
      <c r="OTM62" s="36"/>
      <c r="OTN62" s="36"/>
      <c r="OTO62" s="36"/>
      <c r="OTP62" s="36"/>
      <c r="OTQ62" s="36"/>
      <c r="OTR62" s="36"/>
      <c r="OTS62" s="36"/>
      <c r="OTT62" s="36"/>
      <c r="OTU62" s="36"/>
      <c r="OTV62" s="36"/>
      <c r="OTW62" s="36"/>
      <c r="OTX62" s="36"/>
      <c r="OTY62" s="36"/>
      <c r="OTZ62" s="36"/>
      <c r="OUA62" s="36"/>
      <c r="OUB62" s="36"/>
      <c r="OUC62" s="36"/>
      <c r="OUD62" s="36"/>
      <c r="OUE62" s="36"/>
      <c r="OUF62" s="36"/>
      <c r="OUG62" s="36"/>
      <c r="OUH62" s="36"/>
      <c r="OUI62" s="36"/>
      <c r="OUJ62" s="36"/>
      <c r="OUK62" s="36"/>
      <c r="OUL62" s="36"/>
      <c r="OUM62" s="36"/>
      <c r="OUN62" s="36"/>
      <c r="OUO62" s="36"/>
      <c r="OUP62" s="36"/>
      <c r="OUQ62" s="36"/>
      <c r="OUR62" s="36"/>
      <c r="OUS62" s="36"/>
      <c r="OUT62" s="36"/>
      <c r="OUU62" s="36"/>
      <c r="OUV62" s="36"/>
      <c r="OUW62" s="36"/>
      <c r="OUX62" s="36"/>
      <c r="OUY62" s="36"/>
      <c r="OUZ62" s="36"/>
      <c r="OVA62" s="36"/>
      <c r="OVB62" s="36"/>
      <c r="OVC62" s="36"/>
      <c r="OVD62" s="36"/>
      <c r="OVE62" s="36"/>
      <c r="OVF62" s="36"/>
      <c r="OVG62" s="36"/>
      <c r="OVH62" s="36"/>
      <c r="OVI62" s="36"/>
      <c r="OVJ62" s="36"/>
      <c r="OVK62" s="36"/>
      <c r="OVL62" s="36"/>
      <c r="OVM62" s="36"/>
      <c r="OVN62" s="36"/>
      <c r="OVO62" s="36"/>
      <c r="OVP62" s="36"/>
      <c r="OVQ62" s="36"/>
      <c r="OVR62" s="36"/>
      <c r="OVS62" s="36"/>
      <c r="OVT62" s="36"/>
      <c r="OVU62" s="36"/>
      <c r="OVV62" s="36"/>
      <c r="OVW62" s="36"/>
      <c r="OVX62" s="36"/>
      <c r="OVY62" s="36"/>
      <c r="OVZ62" s="36"/>
      <c r="OWA62" s="36"/>
      <c r="OWB62" s="36"/>
      <c r="OWC62" s="36"/>
      <c r="OWD62" s="36"/>
      <c r="OWE62" s="36"/>
      <c r="OWF62" s="36"/>
      <c r="OWG62" s="36"/>
      <c r="OWH62" s="36"/>
      <c r="OWI62" s="36"/>
      <c r="OWJ62" s="36"/>
      <c r="OWK62" s="36"/>
      <c r="OWL62" s="36"/>
      <c r="OWM62" s="36"/>
      <c r="OWN62" s="36"/>
      <c r="OWO62" s="36"/>
      <c r="OWP62" s="36"/>
      <c r="OWQ62" s="36"/>
      <c r="OWR62" s="36"/>
      <c r="OWS62" s="36"/>
      <c r="OWT62" s="36"/>
      <c r="OWU62" s="36"/>
      <c r="OWV62" s="36"/>
      <c r="OWW62" s="36"/>
      <c r="OWX62" s="36"/>
      <c r="OWY62" s="36"/>
      <c r="OWZ62" s="36"/>
      <c r="OXA62" s="36"/>
      <c r="OXB62" s="36"/>
      <c r="OXC62" s="36"/>
      <c r="OXD62" s="36"/>
      <c r="OXE62" s="36"/>
      <c r="OXF62" s="36"/>
      <c r="OXG62" s="36"/>
      <c r="OXH62" s="36"/>
      <c r="OXI62" s="36"/>
      <c r="OXJ62" s="36"/>
      <c r="OXK62" s="36"/>
      <c r="OXL62" s="36"/>
      <c r="OXM62" s="36"/>
      <c r="OXN62" s="36"/>
      <c r="OXO62" s="36"/>
      <c r="OXP62" s="36"/>
      <c r="OXQ62" s="36"/>
      <c r="OXR62" s="36"/>
      <c r="OXS62" s="36"/>
      <c r="OXT62" s="36"/>
      <c r="OXU62" s="36"/>
      <c r="OXV62" s="36"/>
      <c r="OXW62" s="36"/>
      <c r="OXX62" s="36"/>
      <c r="OXY62" s="36"/>
      <c r="OXZ62" s="36"/>
      <c r="OYA62" s="36"/>
      <c r="OYB62" s="36"/>
      <c r="OYC62" s="36"/>
      <c r="OYD62" s="36"/>
      <c r="OYE62" s="36"/>
      <c r="OYF62" s="36"/>
      <c r="OYG62" s="36"/>
      <c r="OYH62" s="36"/>
      <c r="OYI62" s="36"/>
      <c r="OYJ62" s="36"/>
      <c r="OYK62" s="36"/>
      <c r="OYL62" s="36"/>
      <c r="OYM62" s="36"/>
      <c r="OYN62" s="36"/>
      <c r="OYO62" s="36"/>
      <c r="OYP62" s="36"/>
      <c r="OYQ62" s="36"/>
      <c r="OYR62" s="36"/>
      <c r="OYS62" s="36"/>
      <c r="OYT62" s="36"/>
      <c r="OYU62" s="36"/>
      <c r="OYV62" s="36"/>
      <c r="OYW62" s="36"/>
      <c r="OYX62" s="36"/>
      <c r="OYY62" s="36"/>
      <c r="OYZ62" s="36"/>
      <c r="OZA62" s="36"/>
      <c r="OZB62" s="36"/>
      <c r="OZC62" s="36"/>
      <c r="OZD62" s="36"/>
      <c r="OZE62" s="36"/>
      <c r="OZF62" s="36"/>
      <c r="OZG62" s="36"/>
      <c r="OZH62" s="36"/>
      <c r="OZI62" s="36"/>
      <c r="OZJ62" s="36"/>
      <c r="OZK62" s="36"/>
      <c r="OZL62" s="36"/>
      <c r="OZM62" s="36"/>
      <c r="OZN62" s="36"/>
      <c r="OZO62" s="36"/>
      <c r="OZP62" s="36"/>
      <c r="OZQ62" s="36"/>
      <c r="OZR62" s="36"/>
      <c r="OZS62" s="36"/>
      <c r="OZT62" s="36"/>
      <c r="OZU62" s="36"/>
      <c r="OZV62" s="36"/>
      <c r="OZW62" s="36"/>
      <c r="OZX62" s="36"/>
      <c r="OZY62" s="36"/>
      <c r="OZZ62" s="36"/>
      <c r="PAA62" s="36"/>
      <c r="PAB62" s="36"/>
      <c r="PAC62" s="36"/>
      <c r="PAD62" s="36"/>
      <c r="PAE62" s="36"/>
      <c r="PAF62" s="36"/>
      <c r="PAG62" s="36"/>
      <c r="PAH62" s="36"/>
      <c r="PAI62" s="36"/>
      <c r="PAJ62" s="36"/>
      <c r="PAK62" s="36"/>
      <c r="PAL62" s="36"/>
      <c r="PAM62" s="36"/>
      <c r="PAN62" s="36"/>
      <c r="PAO62" s="36"/>
      <c r="PAP62" s="36"/>
      <c r="PAQ62" s="36"/>
      <c r="PAR62" s="36"/>
      <c r="PAS62" s="36"/>
      <c r="PAT62" s="36"/>
      <c r="PAU62" s="36"/>
      <c r="PAV62" s="36"/>
      <c r="PAW62" s="36"/>
      <c r="PAX62" s="36"/>
      <c r="PAY62" s="36"/>
      <c r="PAZ62" s="36"/>
      <c r="PBA62" s="36"/>
      <c r="PBB62" s="36"/>
      <c r="PBC62" s="36"/>
      <c r="PBD62" s="36"/>
      <c r="PBE62" s="36"/>
      <c r="PBF62" s="36"/>
      <c r="PBG62" s="36"/>
      <c r="PBH62" s="36"/>
      <c r="PBI62" s="36"/>
      <c r="PBJ62" s="36"/>
      <c r="PBK62" s="36"/>
      <c r="PBL62" s="36"/>
      <c r="PBM62" s="36"/>
      <c r="PBN62" s="36"/>
      <c r="PBO62" s="36"/>
      <c r="PBP62" s="36"/>
      <c r="PBQ62" s="36"/>
      <c r="PBR62" s="36"/>
      <c r="PBS62" s="36"/>
      <c r="PBT62" s="36"/>
      <c r="PBU62" s="36"/>
      <c r="PBV62" s="36"/>
      <c r="PBW62" s="36"/>
      <c r="PBX62" s="36"/>
      <c r="PBY62" s="36"/>
      <c r="PBZ62" s="36"/>
      <c r="PCA62" s="36"/>
      <c r="PCB62" s="36"/>
      <c r="PCC62" s="36"/>
      <c r="PCD62" s="36"/>
      <c r="PCE62" s="36"/>
      <c r="PCF62" s="36"/>
      <c r="PCG62" s="36"/>
      <c r="PCH62" s="36"/>
      <c r="PCI62" s="36"/>
      <c r="PCJ62" s="36"/>
      <c r="PCK62" s="36"/>
      <c r="PCL62" s="36"/>
      <c r="PCM62" s="36"/>
      <c r="PCN62" s="36"/>
      <c r="PCO62" s="36"/>
      <c r="PCP62" s="36"/>
      <c r="PCQ62" s="36"/>
      <c r="PCR62" s="36"/>
      <c r="PCS62" s="36"/>
      <c r="PCT62" s="36"/>
      <c r="PCU62" s="36"/>
      <c r="PCV62" s="36"/>
      <c r="PCW62" s="36"/>
      <c r="PCX62" s="36"/>
      <c r="PCY62" s="36"/>
      <c r="PCZ62" s="36"/>
      <c r="PDA62" s="36"/>
      <c r="PDB62" s="36"/>
      <c r="PDC62" s="36"/>
      <c r="PDD62" s="36"/>
      <c r="PDE62" s="36"/>
      <c r="PDF62" s="36"/>
      <c r="PDG62" s="36"/>
      <c r="PDH62" s="36"/>
      <c r="PDI62" s="36"/>
      <c r="PDJ62" s="36"/>
      <c r="PDK62" s="36"/>
      <c r="PDL62" s="36"/>
      <c r="PDM62" s="36"/>
      <c r="PDN62" s="36"/>
      <c r="PDO62" s="36"/>
      <c r="PDP62" s="36"/>
      <c r="PDQ62" s="36"/>
      <c r="PDR62" s="36"/>
      <c r="PDS62" s="36"/>
      <c r="PDT62" s="36"/>
      <c r="PDU62" s="36"/>
      <c r="PDV62" s="36"/>
      <c r="PDW62" s="36"/>
      <c r="PDX62" s="36"/>
      <c r="PDY62" s="36"/>
      <c r="PDZ62" s="36"/>
      <c r="PEA62" s="36"/>
      <c r="PEB62" s="36"/>
      <c r="PEC62" s="36"/>
      <c r="PED62" s="36"/>
      <c r="PEE62" s="36"/>
      <c r="PEF62" s="36"/>
      <c r="PEG62" s="36"/>
      <c r="PEH62" s="36"/>
      <c r="PEI62" s="36"/>
      <c r="PEJ62" s="36"/>
      <c r="PEK62" s="36"/>
      <c r="PEL62" s="36"/>
      <c r="PEM62" s="36"/>
      <c r="PEN62" s="36"/>
      <c r="PEO62" s="36"/>
      <c r="PEP62" s="36"/>
      <c r="PEQ62" s="36"/>
      <c r="PER62" s="36"/>
      <c r="PES62" s="36"/>
      <c r="PET62" s="36"/>
      <c r="PEU62" s="36"/>
      <c r="PEV62" s="36"/>
      <c r="PEW62" s="36"/>
      <c r="PEX62" s="36"/>
      <c r="PEY62" s="36"/>
      <c r="PEZ62" s="36"/>
      <c r="PFA62" s="36"/>
      <c r="PFB62" s="36"/>
      <c r="PFC62" s="36"/>
      <c r="PFD62" s="36"/>
      <c r="PFE62" s="36"/>
      <c r="PFF62" s="36"/>
      <c r="PFG62" s="36"/>
      <c r="PFH62" s="36"/>
      <c r="PFI62" s="36"/>
      <c r="PFJ62" s="36"/>
      <c r="PFK62" s="36"/>
      <c r="PFL62" s="36"/>
      <c r="PFM62" s="36"/>
      <c r="PFN62" s="36"/>
      <c r="PFO62" s="36"/>
      <c r="PFP62" s="36"/>
      <c r="PFQ62" s="36"/>
      <c r="PFR62" s="36"/>
      <c r="PFS62" s="36"/>
      <c r="PFT62" s="36"/>
      <c r="PFU62" s="36"/>
      <c r="PFV62" s="36"/>
      <c r="PFW62" s="36"/>
      <c r="PFX62" s="36"/>
      <c r="PFY62" s="36"/>
      <c r="PFZ62" s="36"/>
      <c r="PGA62" s="36"/>
      <c r="PGB62" s="36"/>
      <c r="PGC62" s="36"/>
      <c r="PGD62" s="36"/>
      <c r="PGE62" s="36"/>
      <c r="PGF62" s="36"/>
      <c r="PGG62" s="36"/>
      <c r="PGH62" s="36"/>
      <c r="PGI62" s="36"/>
      <c r="PGJ62" s="36"/>
      <c r="PGK62" s="36"/>
      <c r="PGL62" s="36"/>
      <c r="PGM62" s="36"/>
      <c r="PGN62" s="36"/>
      <c r="PGO62" s="36"/>
      <c r="PGP62" s="36"/>
      <c r="PGQ62" s="36"/>
      <c r="PGR62" s="36"/>
      <c r="PGS62" s="36"/>
      <c r="PGT62" s="36"/>
      <c r="PGU62" s="36"/>
      <c r="PGV62" s="36"/>
      <c r="PGW62" s="36"/>
      <c r="PGX62" s="36"/>
      <c r="PGY62" s="36"/>
      <c r="PGZ62" s="36"/>
      <c r="PHA62" s="36"/>
      <c r="PHB62" s="36"/>
      <c r="PHC62" s="36"/>
      <c r="PHD62" s="36"/>
      <c r="PHE62" s="36"/>
      <c r="PHF62" s="36"/>
      <c r="PHG62" s="36"/>
      <c r="PHH62" s="36"/>
      <c r="PHI62" s="36"/>
      <c r="PHJ62" s="36"/>
      <c r="PHK62" s="36"/>
      <c r="PHL62" s="36"/>
      <c r="PHM62" s="36"/>
      <c r="PHN62" s="36"/>
      <c r="PHO62" s="36"/>
      <c r="PHP62" s="36"/>
      <c r="PHQ62" s="36"/>
      <c r="PHR62" s="36"/>
      <c r="PHS62" s="36"/>
      <c r="PHT62" s="36"/>
      <c r="PHU62" s="36"/>
      <c r="PHV62" s="36"/>
      <c r="PHW62" s="36"/>
      <c r="PHX62" s="36"/>
      <c r="PHY62" s="36"/>
      <c r="PHZ62" s="36"/>
      <c r="PIA62" s="36"/>
      <c r="PIB62" s="36"/>
      <c r="PIC62" s="36"/>
      <c r="PID62" s="36"/>
      <c r="PIE62" s="36"/>
      <c r="PIF62" s="36"/>
      <c r="PIG62" s="36"/>
      <c r="PIH62" s="36"/>
      <c r="PII62" s="36"/>
      <c r="PIJ62" s="36"/>
      <c r="PIK62" s="36"/>
      <c r="PIL62" s="36"/>
      <c r="PIM62" s="36"/>
      <c r="PIN62" s="36"/>
      <c r="PIO62" s="36"/>
      <c r="PIP62" s="36"/>
      <c r="PIQ62" s="36"/>
      <c r="PIR62" s="36"/>
      <c r="PIS62" s="36"/>
      <c r="PIT62" s="36"/>
      <c r="PIU62" s="36"/>
      <c r="PIV62" s="36"/>
      <c r="PIW62" s="36"/>
      <c r="PIX62" s="36"/>
      <c r="PIY62" s="36"/>
      <c r="PIZ62" s="36"/>
      <c r="PJA62" s="36"/>
      <c r="PJB62" s="36"/>
      <c r="PJC62" s="36"/>
      <c r="PJD62" s="36"/>
      <c r="PJE62" s="36"/>
      <c r="PJF62" s="36"/>
      <c r="PJG62" s="36"/>
      <c r="PJH62" s="36"/>
      <c r="PJI62" s="36"/>
      <c r="PJJ62" s="36"/>
      <c r="PJK62" s="36"/>
      <c r="PJL62" s="36"/>
      <c r="PJM62" s="36"/>
      <c r="PJN62" s="36"/>
      <c r="PJO62" s="36"/>
      <c r="PJP62" s="36"/>
      <c r="PJQ62" s="36"/>
      <c r="PJR62" s="36"/>
      <c r="PJS62" s="36"/>
      <c r="PJT62" s="36"/>
      <c r="PJU62" s="36"/>
      <c r="PJV62" s="36"/>
      <c r="PJW62" s="36"/>
      <c r="PJX62" s="36"/>
      <c r="PJY62" s="36"/>
      <c r="PJZ62" s="36"/>
      <c r="PKA62" s="36"/>
      <c r="PKB62" s="36"/>
      <c r="PKC62" s="36"/>
      <c r="PKD62" s="36"/>
      <c r="PKE62" s="36"/>
      <c r="PKF62" s="36"/>
      <c r="PKG62" s="36"/>
      <c r="PKH62" s="36"/>
      <c r="PKI62" s="36"/>
      <c r="PKJ62" s="36"/>
      <c r="PKK62" s="36"/>
      <c r="PKL62" s="36"/>
      <c r="PKM62" s="36"/>
      <c r="PKN62" s="36"/>
      <c r="PKO62" s="36"/>
      <c r="PKP62" s="36"/>
      <c r="PKQ62" s="36"/>
      <c r="PKR62" s="36"/>
      <c r="PKS62" s="36"/>
      <c r="PKT62" s="36"/>
      <c r="PKU62" s="36"/>
      <c r="PKV62" s="36"/>
      <c r="PKW62" s="36"/>
      <c r="PKX62" s="36"/>
      <c r="PKY62" s="36"/>
      <c r="PKZ62" s="36"/>
      <c r="PLA62" s="36"/>
      <c r="PLB62" s="36"/>
      <c r="PLC62" s="36"/>
      <c r="PLD62" s="36"/>
      <c r="PLE62" s="36"/>
      <c r="PLF62" s="36"/>
      <c r="PLG62" s="36"/>
      <c r="PLH62" s="36"/>
      <c r="PLI62" s="36"/>
      <c r="PLJ62" s="36"/>
      <c r="PLK62" s="36"/>
      <c r="PLL62" s="36"/>
      <c r="PLM62" s="36"/>
      <c r="PLN62" s="36"/>
      <c r="PLO62" s="36"/>
      <c r="PLP62" s="36"/>
      <c r="PLQ62" s="36"/>
      <c r="PLR62" s="36"/>
      <c r="PLS62" s="36"/>
      <c r="PLT62" s="36"/>
      <c r="PLU62" s="36"/>
      <c r="PLV62" s="36"/>
      <c r="PLW62" s="36"/>
      <c r="PLX62" s="36"/>
      <c r="PLY62" s="36"/>
      <c r="PLZ62" s="36"/>
      <c r="PMA62" s="36"/>
      <c r="PMB62" s="36"/>
      <c r="PMC62" s="36"/>
      <c r="PMD62" s="36"/>
      <c r="PME62" s="36"/>
      <c r="PMF62" s="36"/>
      <c r="PMG62" s="36"/>
      <c r="PMH62" s="36"/>
      <c r="PMI62" s="36"/>
      <c r="PMJ62" s="36"/>
      <c r="PMK62" s="36"/>
      <c r="PML62" s="36"/>
      <c r="PMM62" s="36"/>
      <c r="PMN62" s="36"/>
      <c r="PMO62" s="36"/>
      <c r="PMP62" s="36"/>
      <c r="PMQ62" s="36"/>
      <c r="PMR62" s="36"/>
      <c r="PMS62" s="36"/>
      <c r="PMT62" s="36"/>
      <c r="PMU62" s="36"/>
      <c r="PMV62" s="36"/>
      <c r="PMW62" s="36"/>
      <c r="PMX62" s="36"/>
      <c r="PMY62" s="36"/>
      <c r="PMZ62" s="36"/>
      <c r="PNA62" s="36"/>
      <c r="PNB62" s="36"/>
      <c r="PNC62" s="36"/>
      <c r="PND62" s="36"/>
      <c r="PNE62" s="36"/>
      <c r="PNF62" s="36"/>
      <c r="PNG62" s="36"/>
      <c r="PNH62" s="36"/>
      <c r="PNI62" s="36"/>
      <c r="PNJ62" s="36"/>
      <c r="PNK62" s="36"/>
      <c r="PNL62" s="36"/>
      <c r="PNM62" s="36"/>
      <c r="PNN62" s="36"/>
      <c r="PNO62" s="36"/>
      <c r="PNP62" s="36"/>
      <c r="PNQ62" s="36"/>
      <c r="PNR62" s="36"/>
      <c r="PNS62" s="36"/>
      <c r="PNT62" s="36"/>
      <c r="PNU62" s="36"/>
      <c r="PNV62" s="36"/>
      <c r="PNW62" s="36"/>
      <c r="PNX62" s="36"/>
      <c r="PNY62" s="36"/>
      <c r="PNZ62" s="36"/>
      <c r="POA62" s="36"/>
      <c r="POB62" s="36"/>
      <c r="POC62" s="36"/>
      <c r="POD62" s="36"/>
      <c r="POE62" s="36"/>
      <c r="POF62" s="36"/>
      <c r="POG62" s="36"/>
      <c r="POH62" s="36"/>
      <c r="POI62" s="36"/>
      <c r="POJ62" s="36"/>
      <c r="POK62" s="36"/>
      <c r="POL62" s="36"/>
      <c r="POM62" s="36"/>
      <c r="PON62" s="36"/>
      <c r="POO62" s="36"/>
      <c r="POP62" s="36"/>
      <c r="POQ62" s="36"/>
      <c r="POR62" s="36"/>
      <c r="POS62" s="36"/>
      <c r="POT62" s="36"/>
      <c r="POU62" s="36"/>
      <c r="POV62" s="36"/>
      <c r="POW62" s="36"/>
      <c r="POX62" s="36"/>
      <c r="POY62" s="36"/>
      <c r="POZ62" s="36"/>
      <c r="PPA62" s="36"/>
      <c r="PPB62" s="36"/>
      <c r="PPC62" s="36"/>
      <c r="PPD62" s="36"/>
      <c r="PPE62" s="36"/>
      <c r="PPF62" s="36"/>
      <c r="PPG62" s="36"/>
      <c r="PPH62" s="36"/>
      <c r="PPI62" s="36"/>
      <c r="PPJ62" s="36"/>
      <c r="PPK62" s="36"/>
      <c r="PPL62" s="36"/>
      <c r="PPM62" s="36"/>
      <c r="PPN62" s="36"/>
      <c r="PPO62" s="36"/>
      <c r="PPP62" s="36"/>
      <c r="PPQ62" s="36"/>
      <c r="PPR62" s="36"/>
      <c r="PPS62" s="36"/>
      <c r="PPT62" s="36"/>
      <c r="PPU62" s="36"/>
      <c r="PPV62" s="36"/>
      <c r="PPW62" s="36"/>
      <c r="PPX62" s="36"/>
      <c r="PPY62" s="36"/>
      <c r="PPZ62" s="36"/>
      <c r="PQA62" s="36"/>
      <c r="PQB62" s="36"/>
      <c r="PQC62" s="36"/>
      <c r="PQD62" s="36"/>
      <c r="PQE62" s="36"/>
      <c r="PQF62" s="36"/>
      <c r="PQG62" s="36"/>
      <c r="PQH62" s="36"/>
      <c r="PQI62" s="36"/>
      <c r="PQJ62" s="36"/>
      <c r="PQK62" s="36"/>
      <c r="PQL62" s="36"/>
      <c r="PQM62" s="36"/>
      <c r="PQN62" s="36"/>
      <c r="PQO62" s="36"/>
      <c r="PQP62" s="36"/>
      <c r="PQQ62" s="36"/>
      <c r="PQR62" s="36"/>
      <c r="PQS62" s="36"/>
      <c r="PQT62" s="36"/>
      <c r="PQU62" s="36"/>
      <c r="PQV62" s="36"/>
      <c r="PQW62" s="36"/>
      <c r="PQX62" s="36"/>
      <c r="PQY62" s="36"/>
      <c r="PQZ62" s="36"/>
      <c r="PRA62" s="36"/>
      <c r="PRB62" s="36"/>
      <c r="PRC62" s="36"/>
      <c r="PRD62" s="36"/>
      <c r="PRE62" s="36"/>
      <c r="PRF62" s="36"/>
      <c r="PRG62" s="36"/>
      <c r="PRH62" s="36"/>
      <c r="PRI62" s="36"/>
      <c r="PRJ62" s="36"/>
      <c r="PRK62" s="36"/>
      <c r="PRL62" s="36"/>
      <c r="PRM62" s="36"/>
      <c r="PRN62" s="36"/>
      <c r="PRO62" s="36"/>
      <c r="PRP62" s="36"/>
      <c r="PRQ62" s="36"/>
      <c r="PRR62" s="36"/>
      <c r="PRS62" s="36"/>
      <c r="PRT62" s="36"/>
      <c r="PRU62" s="36"/>
      <c r="PRV62" s="36"/>
      <c r="PRW62" s="36"/>
      <c r="PRX62" s="36"/>
      <c r="PRY62" s="36"/>
      <c r="PRZ62" s="36"/>
      <c r="PSA62" s="36"/>
      <c r="PSB62" s="36"/>
      <c r="PSC62" s="36"/>
      <c r="PSD62" s="36"/>
      <c r="PSE62" s="36"/>
      <c r="PSF62" s="36"/>
      <c r="PSG62" s="36"/>
      <c r="PSH62" s="36"/>
      <c r="PSI62" s="36"/>
      <c r="PSJ62" s="36"/>
      <c r="PSK62" s="36"/>
      <c r="PSL62" s="36"/>
      <c r="PSM62" s="36"/>
      <c r="PSN62" s="36"/>
      <c r="PSO62" s="36"/>
      <c r="PSP62" s="36"/>
      <c r="PSQ62" s="36"/>
      <c r="PSR62" s="36"/>
      <c r="PSS62" s="36"/>
      <c r="PST62" s="36"/>
      <c r="PSU62" s="36"/>
      <c r="PSV62" s="36"/>
      <c r="PSW62" s="36"/>
      <c r="PSX62" s="36"/>
      <c r="PSY62" s="36"/>
      <c r="PSZ62" s="36"/>
      <c r="PTA62" s="36"/>
      <c r="PTB62" s="36"/>
      <c r="PTC62" s="36"/>
      <c r="PTD62" s="36"/>
      <c r="PTE62" s="36"/>
      <c r="PTF62" s="36"/>
      <c r="PTG62" s="36"/>
      <c r="PTH62" s="36"/>
      <c r="PTI62" s="36"/>
      <c r="PTJ62" s="36"/>
      <c r="PTK62" s="36"/>
      <c r="PTL62" s="36"/>
      <c r="PTM62" s="36"/>
      <c r="PTN62" s="36"/>
      <c r="PTO62" s="36"/>
      <c r="PTP62" s="36"/>
      <c r="PTQ62" s="36"/>
      <c r="PTR62" s="36"/>
      <c r="PTS62" s="36"/>
      <c r="PTT62" s="36"/>
      <c r="PTU62" s="36"/>
      <c r="PTV62" s="36"/>
      <c r="PTW62" s="36"/>
      <c r="PTX62" s="36"/>
      <c r="PTY62" s="36"/>
      <c r="PTZ62" s="36"/>
      <c r="PUA62" s="36"/>
      <c r="PUB62" s="36"/>
      <c r="PUC62" s="36"/>
      <c r="PUD62" s="36"/>
      <c r="PUE62" s="36"/>
      <c r="PUF62" s="36"/>
      <c r="PUG62" s="36"/>
      <c r="PUH62" s="36"/>
      <c r="PUI62" s="36"/>
      <c r="PUJ62" s="36"/>
      <c r="PUK62" s="36"/>
      <c r="PUL62" s="36"/>
      <c r="PUM62" s="36"/>
      <c r="PUN62" s="36"/>
      <c r="PUO62" s="36"/>
      <c r="PUP62" s="36"/>
      <c r="PUQ62" s="36"/>
      <c r="PUR62" s="36"/>
      <c r="PUS62" s="36"/>
      <c r="PUT62" s="36"/>
      <c r="PUU62" s="36"/>
      <c r="PUV62" s="36"/>
      <c r="PUW62" s="36"/>
      <c r="PUX62" s="36"/>
      <c r="PUY62" s="36"/>
      <c r="PUZ62" s="36"/>
      <c r="PVA62" s="36"/>
      <c r="PVB62" s="36"/>
      <c r="PVC62" s="36"/>
      <c r="PVD62" s="36"/>
      <c r="PVE62" s="36"/>
      <c r="PVF62" s="36"/>
      <c r="PVG62" s="36"/>
      <c r="PVH62" s="36"/>
      <c r="PVI62" s="36"/>
      <c r="PVJ62" s="36"/>
      <c r="PVK62" s="36"/>
      <c r="PVL62" s="36"/>
      <c r="PVM62" s="36"/>
      <c r="PVN62" s="36"/>
      <c r="PVO62" s="36"/>
      <c r="PVP62" s="36"/>
      <c r="PVQ62" s="36"/>
      <c r="PVR62" s="36"/>
      <c r="PVS62" s="36"/>
      <c r="PVT62" s="36"/>
      <c r="PVU62" s="36"/>
      <c r="PVV62" s="36"/>
      <c r="PVW62" s="36"/>
      <c r="PVX62" s="36"/>
      <c r="PVY62" s="36"/>
      <c r="PVZ62" s="36"/>
      <c r="PWA62" s="36"/>
      <c r="PWB62" s="36"/>
      <c r="PWC62" s="36"/>
      <c r="PWD62" s="36"/>
      <c r="PWE62" s="36"/>
      <c r="PWF62" s="36"/>
      <c r="PWG62" s="36"/>
      <c r="PWH62" s="36"/>
      <c r="PWI62" s="36"/>
      <c r="PWJ62" s="36"/>
      <c r="PWK62" s="36"/>
      <c r="PWL62" s="36"/>
      <c r="PWM62" s="36"/>
      <c r="PWN62" s="36"/>
      <c r="PWO62" s="36"/>
      <c r="PWP62" s="36"/>
      <c r="PWQ62" s="36"/>
      <c r="PWR62" s="36"/>
      <c r="PWS62" s="36"/>
      <c r="PWT62" s="36"/>
      <c r="PWU62" s="36"/>
      <c r="PWV62" s="36"/>
      <c r="PWW62" s="36"/>
      <c r="PWX62" s="36"/>
      <c r="PWY62" s="36"/>
      <c r="PWZ62" s="36"/>
      <c r="PXA62" s="36"/>
      <c r="PXB62" s="36"/>
      <c r="PXC62" s="36"/>
      <c r="PXD62" s="36"/>
      <c r="PXE62" s="36"/>
      <c r="PXF62" s="36"/>
      <c r="PXG62" s="36"/>
      <c r="PXH62" s="36"/>
      <c r="PXI62" s="36"/>
      <c r="PXJ62" s="36"/>
      <c r="PXK62" s="36"/>
      <c r="PXL62" s="36"/>
      <c r="PXM62" s="36"/>
      <c r="PXN62" s="36"/>
      <c r="PXO62" s="36"/>
      <c r="PXP62" s="36"/>
      <c r="PXQ62" s="36"/>
      <c r="PXR62" s="36"/>
      <c r="PXS62" s="36"/>
      <c r="PXT62" s="36"/>
      <c r="PXU62" s="36"/>
      <c r="PXV62" s="36"/>
      <c r="PXW62" s="36"/>
      <c r="PXX62" s="36"/>
      <c r="PXY62" s="36"/>
      <c r="PXZ62" s="36"/>
      <c r="PYA62" s="36"/>
      <c r="PYB62" s="36"/>
      <c r="PYC62" s="36"/>
      <c r="PYD62" s="36"/>
      <c r="PYE62" s="36"/>
      <c r="PYF62" s="36"/>
      <c r="PYG62" s="36"/>
      <c r="PYH62" s="36"/>
      <c r="PYI62" s="36"/>
      <c r="PYJ62" s="36"/>
      <c r="PYK62" s="36"/>
      <c r="PYL62" s="36"/>
      <c r="PYM62" s="36"/>
      <c r="PYN62" s="36"/>
      <c r="PYO62" s="36"/>
      <c r="PYP62" s="36"/>
      <c r="PYQ62" s="36"/>
      <c r="PYR62" s="36"/>
      <c r="PYS62" s="36"/>
      <c r="PYT62" s="36"/>
      <c r="PYU62" s="36"/>
      <c r="PYV62" s="36"/>
      <c r="PYW62" s="36"/>
      <c r="PYX62" s="36"/>
      <c r="PYY62" s="36"/>
      <c r="PYZ62" s="36"/>
      <c r="PZA62" s="36"/>
      <c r="PZB62" s="36"/>
      <c r="PZC62" s="36"/>
      <c r="PZD62" s="36"/>
      <c r="PZE62" s="36"/>
      <c r="PZF62" s="36"/>
      <c r="PZG62" s="36"/>
      <c r="PZH62" s="36"/>
      <c r="PZI62" s="36"/>
      <c r="PZJ62" s="36"/>
      <c r="PZK62" s="36"/>
      <c r="PZL62" s="36"/>
      <c r="PZM62" s="36"/>
      <c r="PZN62" s="36"/>
      <c r="PZO62" s="36"/>
      <c r="PZP62" s="36"/>
      <c r="PZQ62" s="36"/>
      <c r="PZR62" s="36"/>
      <c r="PZS62" s="36"/>
      <c r="PZT62" s="36"/>
      <c r="PZU62" s="36"/>
      <c r="PZV62" s="36"/>
      <c r="PZW62" s="36"/>
      <c r="PZX62" s="36"/>
      <c r="PZY62" s="36"/>
      <c r="PZZ62" s="36"/>
      <c r="QAA62" s="36"/>
      <c r="QAB62" s="36"/>
      <c r="QAC62" s="36"/>
      <c r="QAD62" s="36"/>
      <c r="QAE62" s="36"/>
      <c r="QAF62" s="36"/>
      <c r="QAG62" s="36"/>
      <c r="QAH62" s="36"/>
      <c r="QAI62" s="36"/>
      <c r="QAJ62" s="36"/>
      <c r="QAK62" s="36"/>
      <c r="QAL62" s="36"/>
      <c r="QAM62" s="36"/>
      <c r="QAN62" s="36"/>
      <c r="QAO62" s="36"/>
      <c r="QAP62" s="36"/>
      <c r="QAQ62" s="36"/>
      <c r="QAR62" s="36"/>
      <c r="QAS62" s="36"/>
      <c r="QAT62" s="36"/>
      <c r="QAU62" s="36"/>
      <c r="QAV62" s="36"/>
      <c r="QAW62" s="36"/>
      <c r="QAX62" s="36"/>
      <c r="QAY62" s="36"/>
      <c r="QAZ62" s="36"/>
      <c r="QBA62" s="36"/>
      <c r="QBB62" s="36"/>
      <c r="QBC62" s="36"/>
      <c r="QBD62" s="36"/>
      <c r="QBE62" s="36"/>
      <c r="QBF62" s="36"/>
      <c r="QBG62" s="36"/>
      <c r="QBH62" s="36"/>
      <c r="QBI62" s="36"/>
      <c r="QBJ62" s="36"/>
      <c r="QBK62" s="36"/>
      <c r="QBL62" s="36"/>
      <c r="QBM62" s="36"/>
      <c r="QBN62" s="36"/>
      <c r="QBO62" s="36"/>
      <c r="QBP62" s="36"/>
      <c r="QBQ62" s="36"/>
      <c r="QBR62" s="36"/>
      <c r="QBS62" s="36"/>
      <c r="QBT62" s="36"/>
      <c r="QBU62" s="36"/>
      <c r="QBV62" s="36"/>
      <c r="QBW62" s="36"/>
      <c r="QBX62" s="36"/>
      <c r="QBY62" s="36"/>
      <c r="QBZ62" s="36"/>
      <c r="QCA62" s="36"/>
      <c r="QCB62" s="36"/>
      <c r="QCC62" s="36"/>
      <c r="QCD62" s="36"/>
      <c r="QCE62" s="36"/>
      <c r="QCF62" s="36"/>
      <c r="QCG62" s="36"/>
      <c r="QCH62" s="36"/>
      <c r="QCI62" s="36"/>
      <c r="QCJ62" s="36"/>
      <c r="QCK62" s="36"/>
      <c r="QCL62" s="36"/>
      <c r="QCM62" s="36"/>
      <c r="QCN62" s="36"/>
      <c r="QCO62" s="36"/>
      <c r="QCP62" s="36"/>
      <c r="QCQ62" s="36"/>
      <c r="QCR62" s="36"/>
      <c r="QCS62" s="36"/>
      <c r="QCT62" s="36"/>
      <c r="QCU62" s="36"/>
      <c r="QCV62" s="36"/>
      <c r="QCW62" s="36"/>
      <c r="QCX62" s="36"/>
      <c r="QCY62" s="36"/>
      <c r="QCZ62" s="36"/>
      <c r="QDA62" s="36"/>
      <c r="QDB62" s="36"/>
      <c r="QDC62" s="36"/>
      <c r="QDD62" s="36"/>
      <c r="QDE62" s="36"/>
      <c r="QDF62" s="36"/>
      <c r="QDG62" s="36"/>
      <c r="QDH62" s="36"/>
      <c r="QDI62" s="36"/>
      <c r="QDJ62" s="36"/>
      <c r="QDK62" s="36"/>
      <c r="QDL62" s="36"/>
      <c r="QDM62" s="36"/>
      <c r="QDN62" s="36"/>
      <c r="QDO62" s="36"/>
      <c r="QDP62" s="36"/>
      <c r="QDQ62" s="36"/>
      <c r="QDR62" s="36"/>
      <c r="QDS62" s="36"/>
      <c r="QDT62" s="36"/>
      <c r="QDU62" s="36"/>
      <c r="QDV62" s="36"/>
      <c r="QDW62" s="36"/>
      <c r="QDX62" s="36"/>
      <c r="QDY62" s="36"/>
      <c r="QDZ62" s="36"/>
      <c r="QEA62" s="36"/>
      <c r="QEB62" s="36"/>
      <c r="QEC62" s="36"/>
      <c r="QED62" s="36"/>
      <c r="QEE62" s="36"/>
      <c r="QEF62" s="36"/>
      <c r="QEG62" s="36"/>
      <c r="QEH62" s="36"/>
      <c r="QEI62" s="36"/>
      <c r="QEJ62" s="36"/>
      <c r="QEK62" s="36"/>
      <c r="QEL62" s="36"/>
      <c r="QEM62" s="36"/>
      <c r="QEN62" s="36"/>
      <c r="QEO62" s="36"/>
      <c r="QEP62" s="36"/>
      <c r="QEQ62" s="36"/>
      <c r="QER62" s="36"/>
      <c r="QES62" s="36"/>
      <c r="QET62" s="36"/>
      <c r="QEU62" s="36"/>
      <c r="QEV62" s="36"/>
      <c r="QEW62" s="36"/>
      <c r="QEX62" s="36"/>
      <c r="QEY62" s="36"/>
      <c r="QEZ62" s="36"/>
      <c r="QFA62" s="36"/>
      <c r="QFB62" s="36"/>
      <c r="QFC62" s="36"/>
      <c r="QFD62" s="36"/>
      <c r="QFE62" s="36"/>
      <c r="QFF62" s="36"/>
      <c r="QFG62" s="36"/>
      <c r="QFH62" s="36"/>
      <c r="QFI62" s="36"/>
      <c r="QFJ62" s="36"/>
      <c r="QFK62" s="36"/>
      <c r="QFL62" s="36"/>
      <c r="QFM62" s="36"/>
      <c r="QFN62" s="36"/>
      <c r="QFO62" s="36"/>
      <c r="QFP62" s="36"/>
      <c r="QFQ62" s="36"/>
      <c r="QFR62" s="36"/>
      <c r="QFS62" s="36"/>
      <c r="QFT62" s="36"/>
      <c r="QFU62" s="36"/>
      <c r="QFV62" s="36"/>
      <c r="QFW62" s="36"/>
      <c r="QFX62" s="36"/>
      <c r="QFY62" s="36"/>
      <c r="QFZ62" s="36"/>
      <c r="QGA62" s="36"/>
      <c r="QGB62" s="36"/>
      <c r="QGC62" s="36"/>
      <c r="QGD62" s="36"/>
      <c r="QGE62" s="36"/>
      <c r="QGF62" s="36"/>
      <c r="QGG62" s="36"/>
      <c r="QGH62" s="36"/>
      <c r="QGI62" s="36"/>
      <c r="QGJ62" s="36"/>
      <c r="QGK62" s="36"/>
      <c r="QGL62" s="36"/>
      <c r="QGM62" s="36"/>
      <c r="QGN62" s="36"/>
      <c r="QGO62" s="36"/>
      <c r="QGP62" s="36"/>
      <c r="QGQ62" s="36"/>
      <c r="QGR62" s="36"/>
      <c r="QGS62" s="36"/>
      <c r="QGT62" s="36"/>
      <c r="QGU62" s="36"/>
      <c r="QGV62" s="36"/>
      <c r="QGW62" s="36"/>
      <c r="QGX62" s="36"/>
      <c r="QGY62" s="36"/>
      <c r="QGZ62" s="36"/>
      <c r="QHA62" s="36"/>
      <c r="QHB62" s="36"/>
      <c r="QHC62" s="36"/>
      <c r="QHD62" s="36"/>
      <c r="QHE62" s="36"/>
      <c r="QHF62" s="36"/>
      <c r="QHG62" s="36"/>
      <c r="QHH62" s="36"/>
      <c r="QHI62" s="36"/>
      <c r="QHJ62" s="36"/>
      <c r="QHK62" s="36"/>
      <c r="QHL62" s="36"/>
      <c r="QHM62" s="36"/>
      <c r="QHN62" s="36"/>
      <c r="QHO62" s="36"/>
      <c r="QHP62" s="36"/>
      <c r="QHQ62" s="36"/>
      <c r="QHR62" s="36"/>
      <c r="QHS62" s="36"/>
      <c r="QHT62" s="36"/>
      <c r="QHU62" s="36"/>
      <c r="QHV62" s="36"/>
      <c r="QHW62" s="36"/>
      <c r="QHX62" s="36"/>
      <c r="QHY62" s="36"/>
      <c r="QHZ62" s="36"/>
      <c r="QIA62" s="36"/>
      <c r="QIB62" s="36"/>
      <c r="QIC62" s="36"/>
      <c r="QID62" s="36"/>
      <c r="QIE62" s="36"/>
      <c r="QIF62" s="36"/>
      <c r="QIG62" s="36"/>
      <c r="QIH62" s="36"/>
      <c r="QII62" s="36"/>
      <c r="QIJ62" s="36"/>
      <c r="QIK62" s="36"/>
      <c r="QIL62" s="36"/>
      <c r="QIM62" s="36"/>
      <c r="QIN62" s="36"/>
      <c r="QIO62" s="36"/>
      <c r="QIP62" s="36"/>
      <c r="QIQ62" s="36"/>
      <c r="QIR62" s="36"/>
      <c r="QIS62" s="36"/>
      <c r="QIT62" s="36"/>
      <c r="QIU62" s="36"/>
      <c r="QIV62" s="36"/>
      <c r="QIW62" s="36"/>
      <c r="QIX62" s="36"/>
      <c r="QIY62" s="36"/>
      <c r="QIZ62" s="36"/>
      <c r="QJA62" s="36"/>
      <c r="QJB62" s="36"/>
      <c r="QJC62" s="36"/>
      <c r="QJD62" s="36"/>
      <c r="QJE62" s="36"/>
      <c r="QJF62" s="36"/>
      <c r="QJG62" s="36"/>
      <c r="QJH62" s="36"/>
      <c r="QJI62" s="36"/>
      <c r="QJJ62" s="36"/>
      <c r="QJK62" s="36"/>
      <c r="QJL62" s="36"/>
      <c r="QJM62" s="36"/>
      <c r="QJN62" s="36"/>
      <c r="QJO62" s="36"/>
      <c r="QJP62" s="36"/>
      <c r="QJQ62" s="36"/>
      <c r="QJR62" s="36"/>
      <c r="QJS62" s="36"/>
      <c r="QJT62" s="36"/>
      <c r="QJU62" s="36"/>
      <c r="QJV62" s="36"/>
      <c r="QJW62" s="36"/>
      <c r="QJX62" s="36"/>
      <c r="QJY62" s="36"/>
      <c r="QJZ62" s="36"/>
      <c r="QKA62" s="36"/>
      <c r="QKB62" s="36"/>
      <c r="QKC62" s="36"/>
      <c r="QKD62" s="36"/>
      <c r="QKE62" s="36"/>
      <c r="QKF62" s="36"/>
      <c r="QKG62" s="36"/>
      <c r="QKH62" s="36"/>
      <c r="QKI62" s="36"/>
      <c r="QKJ62" s="36"/>
      <c r="QKK62" s="36"/>
      <c r="QKL62" s="36"/>
      <c r="QKM62" s="36"/>
      <c r="QKN62" s="36"/>
      <c r="QKO62" s="36"/>
      <c r="QKP62" s="36"/>
      <c r="QKQ62" s="36"/>
      <c r="QKR62" s="36"/>
      <c r="QKS62" s="36"/>
      <c r="QKT62" s="36"/>
      <c r="QKU62" s="36"/>
      <c r="QKV62" s="36"/>
      <c r="QKW62" s="36"/>
      <c r="QKX62" s="36"/>
      <c r="QKY62" s="36"/>
      <c r="QKZ62" s="36"/>
      <c r="QLA62" s="36"/>
      <c r="QLB62" s="36"/>
      <c r="QLC62" s="36"/>
      <c r="QLD62" s="36"/>
      <c r="QLE62" s="36"/>
      <c r="QLF62" s="36"/>
      <c r="QLG62" s="36"/>
      <c r="QLH62" s="36"/>
      <c r="QLI62" s="36"/>
      <c r="QLJ62" s="36"/>
      <c r="QLK62" s="36"/>
      <c r="QLL62" s="36"/>
      <c r="QLM62" s="36"/>
      <c r="QLN62" s="36"/>
      <c r="QLO62" s="36"/>
      <c r="QLP62" s="36"/>
      <c r="QLQ62" s="36"/>
      <c r="QLR62" s="36"/>
      <c r="QLS62" s="36"/>
      <c r="QLT62" s="36"/>
      <c r="QLU62" s="36"/>
      <c r="QLV62" s="36"/>
      <c r="QLW62" s="36"/>
      <c r="QLX62" s="36"/>
      <c r="QLY62" s="36"/>
      <c r="QLZ62" s="36"/>
      <c r="QMA62" s="36"/>
      <c r="QMB62" s="36"/>
      <c r="QMC62" s="36"/>
      <c r="QMD62" s="36"/>
      <c r="QME62" s="36"/>
      <c r="QMF62" s="36"/>
      <c r="QMG62" s="36"/>
      <c r="QMH62" s="36"/>
      <c r="QMI62" s="36"/>
      <c r="QMJ62" s="36"/>
      <c r="QMK62" s="36"/>
      <c r="QML62" s="36"/>
      <c r="QMM62" s="36"/>
      <c r="QMN62" s="36"/>
      <c r="QMO62" s="36"/>
      <c r="QMP62" s="36"/>
      <c r="QMQ62" s="36"/>
      <c r="QMR62" s="36"/>
      <c r="QMS62" s="36"/>
      <c r="QMT62" s="36"/>
      <c r="QMU62" s="36"/>
      <c r="QMV62" s="36"/>
      <c r="QMW62" s="36"/>
      <c r="QMX62" s="36"/>
      <c r="QMY62" s="36"/>
      <c r="QMZ62" s="36"/>
      <c r="QNA62" s="36"/>
      <c r="QNB62" s="36"/>
      <c r="QNC62" s="36"/>
      <c r="QND62" s="36"/>
      <c r="QNE62" s="36"/>
      <c r="QNF62" s="36"/>
      <c r="QNG62" s="36"/>
      <c r="QNH62" s="36"/>
      <c r="QNI62" s="36"/>
      <c r="QNJ62" s="36"/>
      <c r="QNK62" s="36"/>
      <c r="QNL62" s="36"/>
      <c r="QNM62" s="36"/>
      <c r="QNN62" s="36"/>
      <c r="QNO62" s="36"/>
      <c r="QNP62" s="36"/>
      <c r="QNQ62" s="36"/>
      <c r="QNR62" s="36"/>
      <c r="QNS62" s="36"/>
      <c r="QNT62" s="36"/>
      <c r="QNU62" s="36"/>
      <c r="QNV62" s="36"/>
      <c r="QNW62" s="36"/>
      <c r="QNX62" s="36"/>
      <c r="QNY62" s="36"/>
      <c r="QNZ62" s="36"/>
      <c r="QOA62" s="36"/>
      <c r="QOB62" s="36"/>
      <c r="QOC62" s="36"/>
      <c r="QOD62" s="36"/>
      <c r="QOE62" s="36"/>
      <c r="QOF62" s="36"/>
      <c r="QOG62" s="36"/>
      <c r="QOH62" s="36"/>
      <c r="QOI62" s="36"/>
      <c r="QOJ62" s="36"/>
      <c r="QOK62" s="36"/>
      <c r="QOL62" s="36"/>
      <c r="QOM62" s="36"/>
      <c r="QON62" s="36"/>
      <c r="QOO62" s="36"/>
      <c r="QOP62" s="36"/>
      <c r="QOQ62" s="36"/>
      <c r="QOR62" s="36"/>
      <c r="QOS62" s="36"/>
      <c r="QOT62" s="36"/>
      <c r="QOU62" s="36"/>
      <c r="QOV62" s="36"/>
      <c r="QOW62" s="36"/>
      <c r="QOX62" s="36"/>
      <c r="QOY62" s="36"/>
      <c r="QOZ62" s="36"/>
      <c r="QPA62" s="36"/>
      <c r="QPB62" s="36"/>
      <c r="QPC62" s="36"/>
      <c r="QPD62" s="36"/>
      <c r="QPE62" s="36"/>
      <c r="QPF62" s="36"/>
      <c r="QPG62" s="36"/>
      <c r="QPH62" s="36"/>
      <c r="QPI62" s="36"/>
      <c r="QPJ62" s="36"/>
      <c r="QPK62" s="36"/>
      <c r="QPL62" s="36"/>
      <c r="QPM62" s="36"/>
      <c r="QPN62" s="36"/>
      <c r="QPO62" s="36"/>
      <c r="QPP62" s="36"/>
      <c r="QPQ62" s="36"/>
      <c r="QPR62" s="36"/>
      <c r="QPS62" s="36"/>
      <c r="QPT62" s="36"/>
      <c r="QPU62" s="36"/>
      <c r="QPV62" s="36"/>
      <c r="QPW62" s="36"/>
      <c r="QPX62" s="36"/>
      <c r="QPY62" s="36"/>
      <c r="QPZ62" s="36"/>
      <c r="QQA62" s="36"/>
      <c r="QQB62" s="36"/>
      <c r="QQC62" s="36"/>
      <c r="QQD62" s="36"/>
      <c r="QQE62" s="36"/>
      <c r="QQF62" s="36"/>
      <c r="QQG62" s="36"/>
      <c r="QQH62" s="36"/>
      <c r="QQI62" s="36"/>
      <c r="QQJ62" s="36"/>
      <c r="QQK62" s="36"/>
      <c r="QQL62" s="36"/>
      <c r="QQM62" s="36"/>
      <c r="QQN62" s="36"/>
      <c r="QQO62" s="36"/>
      <c r="QQP62" s="36"/>
      <c r="QQQ62" s="36"/>
      <c r="QQR62" s="36"/>
      <c r="QQS62" s="36"/>
      <c r="QQT62" s="36"/>
      <c r="QQU62" s="36"/>
      <c r="QQV62" s="36"/>
      <c r="QQW62" s="36"/>
      <c r="QQX62" s="36"/>
      <c r="QQY62" s="36"/>
      <c r="QQZ62" s="36"/>
      <c r="QRA62" s="36"/>
      <c r="QRB62" s="36"/>
      <c r="QRC62" s="36"/>
      <c r="QRD62" s="36"/>
      <c r="QRE62" s="36"/>
      <c r="QRF62" s="36"/>
      <c r="QRG62" s="36"/>
      <c r="QRH62" s="36"/>
      <c r="QRI62" s="36"/>
      <c r="QRJ62" s="36"/>
      <c r="QRK62" s="36"/>
      <c r="QRL62" s="36"/>
      <c r="QRM62" s="36"/>
      <c r="QRN62" s="36"/>
      <c r="QRO62" s="36"/>
      <c r="QRP62" s="36"/>
      <c r="QRQ62" s="36"/>
      <c r="QRR62" s="36"/>
      <c r="QRS62" s="36"/>
      <c r="QRT62" s="36"/>
      <c r="QRU62" s="36"/>
      <c r="QRV62" s="36"/>
      <c r="QRW62" s="36"/>
      <c r="QRX62" s="36"/>
      <c r="QRY62" s="36"/>
      <c r="QRZ62" s="36"/>
      <c r="QSA62" s="36"/>
      <c r="QSB62" s="36"/>
      <c r="QSC62" s="36"/>
      <c r="QSD62" s="36"/>
      <c r="QSE62" s="36"/>
      <c r="QSF62" s="36"/>
      <c r="QSG62" s="36"/>
      <c r="QSH62" s="36"/>
      <c r="QSI62" s="36"/>
      <c r="QSJ62" s="36"/>
      <c r="QSK62" s="36"/>
      <c r="QSL62" s="36"/>
      <c r="QSM62" s="36"/>
      <c r="QSN62" s="36"/>
      <c r="QSO62" s="36"/>
      <c r="QSP62" s="36"/>
      <c r="QSQ62" s="36"/>
      <c r="QSR62" s="36"/>
      <c r="QSS62" s="36"/>
      <c r="QST62" s="36"/>
      <c r="QSU62" s="36"/>
      <c r="QSV62" s="36"/>
      <c r="QSW62" s="36"/>
      <c r="QSX62" s="36"/>
      <c r="QSY62" s="36"/>
      <c r="QSZ62" s="36"/>
      <c r="QTA62" s="36"/>
      <c r="QTB62" s="36"/>
      <c r="QTC62" s="36"/>
      <c r="QTD62" s="36"/>
      <c r="QTE62" s="36"/>
      <c r="QTF62" s="36"/>
      <c r="QTG62" s="36"/>
      <c r="QTH62" s="36"/>
      <c r="QTI62" s="36"/>
      <c r="QTJ62" s="36"/>
      <c r="QTK62" s="36"/>
      <c r="QTL62" s="36"/>
      <c r="QTM62" s="36"/>
      <c r="QTN62" s="36"/>
      <c r="QTO62" s="36"/>
      <c r="QTP62" s="36"/>
      <c r="QTQ62" s="36"/>
      <c r="QTR62" s="36"/>
      <c r="QTS62" s="36"/>
      <c r="QTT62" s="36"/>
      <c r="QTU62" s="36"/>
      <c r="QTV62" s="36"/>
      <c r="QTW62" s="36"/>
      <c r="QTX62" s="36"/>
      <c r="QTY62" s="36"/>
      <c r="QTZ62" s="36"/>
      <c r="QUA62" s="36"/>
      <c r="QUB62" s="36"/>
      <c r="QUC62" s="36"/>
      <c r="QUD62" s="36"/>
      <c r="QUE62" s="36"/>
      <c r="QUF62" s="36"/>
      <c r="QUG62" s="36"/>
      <c r="QUH62" s="36"/>
      <c r="QUI62" s="36"/>
      <c r="QUJ62" s="36"/>
      <c r="QUK62" s="36"/>
      <c r="QUL62" s="36"/>
      <c r="QUM62" s="36"/>
      <c r="QUN62" s="36"/>
      <c r="QUO62" s="36"/>
      <c r="QUP62" s="36"/>
      <c r="QUQ62" s="36"/>
      <c r="QUR62" s="36"/>
      <c r="QUS62" s="36"/>
      <c r="QUT62" s="36"/>
      <c r="QUU62" s="36"/>
      <c r="QUV62" s="36"/>
      <c r="QUW62" s="36"/>
      <c r="QUX62" s="36"/>
      <c r="QUY62" s="36"/>
      <c r="QUZ62" s="36"/>
      <c r="QVA62" s="36"/>
      <c r="QVB62" s="36"/>
      <c r="QVC62" s="36"/>
      <c r="QVD62" s="36"/>
      <c r="QVE62" s="36"/>
      <c r="QVF62" s="36"/>
      <c r="QVG62" s="36"/>
      <c r="QVH62" s="36"/>
      <c r="QVI62" s="36"/>
      <c r="QVJ62" s="36"/>
      <c r="QVK62" s="36"/>
      <c r="QVL62" s="36"/>
      <c r="QVM62" s="36"/>
      <c r="QVN62" s="36"/>
      <c r="QVO62" s="36"/>
      <c r="QVP62" s="36"/>
      <c r="QVQ62" s="36"/>
      <c r="QVR62" s="36"/>
      <c r="QVS62" s="36"/>
      <c r="QVT62" s="36"/>
      <c r="QVU62" s="36"/>
      <c r="QVV62" s="36"/>
      <c r="QVW62" s="36"/>
      <c r="QVX62" s="36"/>
      <c r="QVY62" s="36"/>
      <c r="QVZ62" s="36"/>
      <c r="QWA62" s="36"/>
      <c r="QWB62" s="36"/>
      <c r="QWC62" s="36"/>
      <c r="QWD62" s="36"/>
      <c r="QWE62" s="36"/>
      <c r="QWF62" s="36"/>
      <c r="QWG62" s="36"/>
      <c r="QWH62" s="36"/>
      <c r="QWI62" s="36"/>
      <c r="QWJ62" s="36"/>
      <c r="QWK62" s="36"/>
      <c r="QWL62" s="36"/>
      <c r="QWM62" s="36"/>
      <c r="QWN62" s="36"/>
      <c r="QWO62" s="36"/>
      <c r="QWP62" s="36"/>
      <c r="QWQ62" s="36"/>
      <c r="QWR62" s="36"/>
      <c r="QWS62" s="36"/>
      <c r="QWT62" s="36"/>
      <c r="QWU62" s="36"/>
      <c r="QWV62" s="36"/>
      <c r="QWW62" s="36"/>
      <c r="QWX62" s="36"/>
      <c r="QWY62" s="36"/>
      <c r="QWZ62" s="36"/>
      <c r="QXA62" s="36"/>
      <c r="QXB62" s="36"/>
      <c r="QXC62" s="36"/>
      <c r="QXD62" s="36"/>
      <c r="QXE62" s="36"/>
      <c r="QXF62" s="36"/>
      <c r="QXG62" s="36"/>
      <c r="QXH62" s="36"/>
      <c r="QXI62" s="36"/>
      <c r="QXJ62" s="36"/>
      <c r="QXK62" s="36"/>
      <c r="QXL62" s="36"/>
      <c r="QXM62" s="36"/>
      <c r="QXN62" s="36"/>
      <c r="QXO62" s="36"/>
      <c r="QXP62" s="36"/>
      <c r="QXQ62" s="36"/>
      <c r="QXR62" s="36"/>
      <c r="QXS62" s="36"/>
      <c r="QXT62" s="36"/>
      <c r="QXU62" s="36"/>
      <c r="QXV62" s="36"/>
      <c r="QXW62" s="36"/>
      <c r="QXX62" s="36"/>
      <c r="QXY62" s="36"/>
      <c r="QXZ62" s="36"/>
      <c r="QYA62" s="36"/>
      <c r="QYB62" s="36"/>
      <c r="QYC62" s="36"/>
      <c r="QYD62" s="36"/>
      <c r="QYE62" s="36"/>
      <c r="QYF62" s="36"/>
      <c r="QYG62" s="36"/>
      <c r="QYH62" s="36"/>
      <c r="QYI62" s="36"/>
      <c r="QYJ62" s="36"/>
      <c r="QYK62" s="36"/>
      <c r="QYL62" s="36"/>
      <c r="QYM62" s="36"/>
      <c r="QYN62" s="36"/>
      <c r="QYO62" s="36"/>
      <c r="QYP62" s="36"/>
      <c r="QYQ62" s="36"/>
      <c r="QYR62" s="36"/>
      <c r="QYS62" s="36"/>
      <c r="QYT62" s="36"/>
      <c r="QYU62" s="36"/>
      <c r="QYV62" s="36"/>
      <c r="QYW62" s="36"/>
      <c r="QYX62" s="36"/>
      <c r="QYY62" s="36"/>
      <c r="QYZ62" s="36"/>
      <c r="QZA62" s="36"/>
      <c r="QZB62" s="36"/>
      <c r="QZC62" s="36"/>
      <c r="QZD62" s="36"/>
      <c r="QZE62" s="36"/>
      <c r="QZF62" s="36"/>
      <c r="QZG62" s="36"/>
      <c r="QZH62" s="36"/>
      <c r="QZI62" s="36"/>
      <c r="QZJ62" s="36"/>
      <c r="QZK62" s="36"/>
      <c r="QZL62" s="36"/>
      <c r="QZM62" s="36"/>
      <c r="QZN62" s="36"/>
      <c r="QZO62" s="36"/>
      <c r="QZP62" s="36"/>
      <c r="QZQ62" s="36"/>
      <c r="QZR62" s="36"/>
      <c r="QZS62" s="36"/>
      <c r="QZT62" s="36"/>
      <c r="QZU62" s="36"/>
      <c r="QZV62" s="36"/>
      <c r="QZW62" s="36"/>
      <c r="QZX62" s="36"/>
      <c r="QZY62" s="36"/>
      <c r="QZZ62" s="36"/>
      <c r="RAA62" s="36"/>
      <c r="RAB62" s="36"/>
      <c r="RAC62" s="36"/>
      <c r="RAD62" s="36"/>
      <c r="RAE62" s="36"/>
      <c r="RAF62" s="36"/>
      <c r="RAG62" s="36"/>
      <c r="RAH62" s="36"/>
      <c r="RAI62" s="36"/>
      <c r="RAJ62" s="36"/>
      <c r="RAK62" s="36"/>
      <c r="RAL62" s="36"/>
      <c r="RAM62" s="36"/>
      <c r="RAN62" s="36"/>
      <c r="RAO62" s="36"/>
      <c r="RAP62" s="36"/>
      <c r="RAQ62" s="36"/>
      <c r="RAR62" s="36"/>
      <c r="RAS62" s="36"/>
      <c r="RAT62" s="36"/>
      <c r="RAU62" s="36"/>
      <c r="RAV62" s="36"/>
      <c r="RAW62" s="36"/>
      <c r="RAX62" s="36"/>
      <c r="RAY62" s="36"/>
      <c r="RAZ62" s="36"/>
      <c r="RBA62" s="36"/>
      <c r="RBB62" s="36"/>
      <c r="RBC62" s="36"/>
      <c r="RBD62" s="36"/>
      <c r="RBE62" s="36"/>
      <c r="RBF62" s="36"/>
      <c r="RBG62" s="36"/>
      <c r="RBH62" s="36"/>
      <c r="RBI62" s="36"/>
      <c r="RBJ62" s="36"/>
      <c r="RBK62" s="36"/>
      <c r="RBL62" s="36"/>
      <c r="RBM62" s="36"/>
      <c r="RBN62" s="36"/>
      <c r="RBO62" s="36"/>
      <c r="RBP62" s="36"/>
      <c r="RBQ62" s="36"/>
      <c r="RBR62" s="36"/>
      <c r="RBS62" s="36"/>
      <c r="RBT62" s="36"/>
      <c r="RBU62" s="36"/>
      <c r="RBV62" s="36"/>
      <c r="RBW62" s="36"/>
      <c r="RBX62" s="36"/>
      <c r="RBY62" s="36"/>
      <c r="RBZ62" s="36"/>
      <c r="RCA62" s="36"/>
      <c r="RCB62" s="36"/>
      <c r="RCC62" s="36"/>
      <c r="RCD62" s="36"/>
      <c r="RCE62" s="36"/>
      <c r="RCF62" s="36"/>
      <c r="RCG62" s="36"/>
      <c r="RCH62" s="36"/>
      <c r="RCI62" s="36"/>
      <c r="RCJ62" s="36"/>
      <c r="RCK62" s="36"/>
      <c r="RCL62" s="36"/>
      <c r="RCM62" s="36"/>
      <c r="RCN62" s="36"/>
      <c r="RCO62" s="36"/>
      <c r="RCP62" s="36"/>
      <c r="RCQ62" s="36"/>
      <c r="RCR62" s="36"/>
      <c r="RCS62" s="36"/>
      <c r="RCT62" s="36"/>
      <c r="RCU62" s="36"/>
      <c r="RCV62" s="36"/>
      <c r="RCW62" s="36"/>
      <c r="RCX62" s="36"/>
      <c r="RCY62" s="36"/>
      <c r="RCZ62" s="36"/>
      <c r="RDA62" s="36"/>
      <c r="RDB62" s="36"/>
      <c r="RDC62" s="36"/>
      <c r="RDD62" s="36"/>
      <c r="RDE62" s="36"/>
      <c r="RDF62" s="36"/>
      <c r="RDG62" s="36"/>
      <c r="RDH62" s="36"/>
      <c r="RDI62" s="36"/>
      <c r="RDJ62" s="36"/>
      <c r="RDK62" s="36"/>
      <c r="RDL62" s="36"/>
      <c r="RDM62" s="36"/>
      <c r="RDN62" s="36"/>
      <c r="RDO62" s="36"/>
      <c r="RDP62" s="36"/>
      <c r="RDQ62" s="36"/>
      <c r="RDR62" s="36"/>
      <c r="RDS62" s="36"/>
      <c r="RDT62" s="36"/>
      <c r="RDU62" s="36"/>
      <c r="RDV62" s="36"/>
      <c r="RDW62" s="36"/>
      <c r="RDX62" s="36"/>
      <c r="RDY62" s="36"/>
      <c r="RDZ62" s="36"/>
      <c r="REA62" s="36"/>
      <c r="REB62" s="36"/>
      <c r="REC62" s="36"/>
      <c r="RED62" s="36"/>
      <c r="REE62" s="36"/>
      <c r="REF62" s="36"/>
      <c r="REG62" s="36"/>
      <c r="REH62" s="36"/>
      <c r="REI62" s="36"/>
      <c r="REJ62" s="36"/>
      <c r="REK62" s="36"/>
      <c r="REL62" s="36"/>
      <c r="REM62" s="36"/>
      <c r="REN62" s="36"/>
      <c r="REO62" s="36"/>
      <c r="REP62" s="36"/>
      <c r="REQ62" s="36"/>
      <c r="RER62" s="36"/>
      <c r="RES62" s="36"/>
      <c r="RET62" s="36"/>
      <c r="REU62" s="36"/>
      <c r="REV62" s="36"/>
      <c r="REW62" s="36"/>
      <c r="REX62" s="36"/>
      <c r="REY62" s="36"/>
      <c r="REZ62" s="36"/>
      <c r="RFA62" s="36"/>
      <c r="RFB62" s="36"/>
      <c r="RFC62" s="36"/>
      <c r="RFD62" s="36"/>
      <c r="RFE62" s="36"/>
      <c r="RFF62" s="36"/>
      <c r="RFG62" s="36"/>
      <c r="RFH62" s="36"/>
      <c r="RFI62" s="36"/>
      <c r="RFJ62" s="36"/>
      <c r="RFK62" s="36"/>
      <c r="RFL62" s="36"/>
      <c r="RFM62" s="36"/>
      <c r="RFN62" s="36"/>
      <c r="RFO62" s="36"/>
      <c r="RFP62" s="36"/>
      <c r="RFQ62" s="36"/>
      <c r="RFR62" s="36"/>
      <c r="RFS62" s="36"/>
      <c r="RFT62" s="36"/>
      <c r="RFU62" s="36"/>
      <c r="RFV62" s="36"/>
      <c r="RFW62" s="36"/>
      <c r="RFX62" s="36"/>
      <c r="RFY62" s="36"/>
      <c r="RFZ62" s="36"/>
      <c r="RGA62" s="36"/>
      <c r="RGB62" s="36"/>
      <c r="RGC62" s="36"/>
      <c r="RGD62" s="36"/>
      <c r="RGE62" s="36"/>
      <c r="RGF62" s="36"/>
      <c r="RGG62" s="36"/>
      <c r="RGH62" s="36"/>
      <c r="RGI62" s="36"/>
      <c r="RGJ62" s="36"/>
      <c r="RGK62" s="36"/>
      <c r="RGL62" s="36"/>
      <c r="RGM62" s="36"/>
      <c r="RGN62" s="36"/>
      <c r="RGO62" s="36"/>
      <c r="RGP62" s="36"/>
      <c r="RGQ62" s="36"/>
      <c r="RGR62" s="36"/>
      <c r="RGS62" s="36"/>
      <c r="RGT62" s="36"/>
      <c r="RGU62" s="36"/>
      <c r="RGV62" s="36"/>
      <c r="RGW62" s="36"/>
      <c r="RGX62" s="36"/>
      <c r="RGY62" s="36"/>
      <c r="RGZ62" s="36"/>
      <c r="RHA62" s="36"/>
      <c r="RHB62" s="36"/>
      <c r="RHC62" s="36"/>
      <c r="RHD62" s="36"/>
      <c r="RHE62" s="36"/>
      <c r="RHF62" s="36"/>
      <c r="RHG62" s="36"/>
      <c r="RHH62" s="36"/>
      <c r="RHI62" s="36"/>
      <c r="RHJ62" s="36"/>
      <c r="RHK62" s="36"/>
      <c r="RHL62" s="36"/>
      <c r="RHM62" s="36"/>
      <c r="RHN62" s="36"/>
      <c r="RHO62" s="36"/>
      <c r="RHP62" s="36"/>
      <c r="RHQ62" s="36"/>
      <c r="RHR62" s="36"/>
      <c r="RHS62" s="36"/>
      <c r="RHT62" s="36"/>
      <c r="RHU62" s="36"/>
      <c r="RHV62" s="36"/>
      <c r="RHW62" s="36"/>
      <c r="RHX62" s="36"/>
      <c r="RHY62" s="36"/>
      <c r="RHZ62" s="36"/>
      <c r="RIA62" s="36"/>
      <c r="RIB62" s="36"/>
      <c r="RIC62" s="36"/>
      <c r="RID62" s="36"/>
      <c r="RIE62" s="36"/>
      <c r="RIF62" s="36"/>
      <c r="RIG62" s="36"/>
      <c r="RIH62" s="36"/>
      <c r="RII62" s="36"/>
      <c r="RIJ62" s="36"/>
      <c r="RIK62" s="36"/>
      <c r="RIL62" s="36"/>
      <c r="RIM62" s="36"/>
      <c r="RIN62" s="36"/>
      <c r="RIO62" s="36"/>
      <c r="RIP62" s="36"/>
      <c r="RIQ62" s="36"/>
      <c r="RIR62" s="36"/>
      <c r="RIS62" s="36"/>
      <c r="RIT62" s="36"/>
      <c r="RIU62" s="36"/>
      <c r="RIV62" s="36"/>
      <c r="RIW62" s="36"/>
      <c r="RIX62" s="36"/>
      <c r="RIY62" s="36"/>
      <c r="RIZ62" s="36"/>
      <c r="RJA62" s="36"/>
      <c r="RJB62" s="36"/>
      <c r="RJC62" s="36"/>
      <c r="RJD62" s="36"/>
      <c r="RJE62" s="36"/>
      <c r="RJF62" s="36"/>
      <c r="RJG62" s="36"/>
      <c r="RJH62" s="36"/>
      <c r="RJI62" s="36"/>
      <c r="RJJ62" s="36"/>
      <c r="RJK62" s="36"/>
      <c r="RJL62" s="36"/>
      <c r="RJM62" s="36"/>
      <c r="RJN62" s="36"/>
      <c r="RJO62" s="36"/>
      <c r="RJP62" s="36"/>
      <c r="RJQ62" s="36"/>
      <c r="RJR62" s="36"/>
      <c r="RJS62" s="36"/>
      <c r="RJT62" s="36"/>
      <c r="RJU62" s="36"/>
      <c r="RJV62" s="36"/>
      <c r="RJW62" s="36"/>
      <c r="RJX62" s="36"/>
      <c r="RJY62" s="36"/>
      <c r="RJZ62" s="36"/>
      <c r="RKA62" s="36"/>
      <c r="RKB62" s="36"/>
      <c r="RKC62" s="36"/>
      <c r="RKD62" s="36"/>
      <c r="RKE62" s="36"/>
      <c r="RKF62" s="36"/>
      <c r="RKG62" s="36"/>
      <c r="RKH62" s="36"/>
      <c r="RKI62" s="36"/>
      <c r="RKJ62" s="36"/>
      <c r="RKK62" s="36"/>
      <c r="RKL62" s="36"/>
      <c r="RKM62" s="36"/>
      <c r="RKN62" s="36"/>
      <c r="RKO62" s="36"/>
      <c r="RKP62" s="36"/>
      <c r="RKQ62" s="36"/>
      <c r="RKR62" s="36"/>
      <c r="RKS62" s="36"/>
      <c r="RKT62" s="36"/>
      <c r="RKU62" s="36"/>
      <c r="RKV62" s="36"/>
      <c r="RKW62" s="36"/>
      <c r="RKX62" s="36"/>
      <c r="RKY62" s="36"/>
      <c r="RKZ62" s="36"/>
      <c r="RLA62" s="36"/>
      <c r="RLB62" s="36"/>
      <c r="RLC62" s="36"/>
      <c r="RLD62" s="36"/>
      <c r="RLE62" s="36"/>
      <c r="RLF62" s="36"/>
      <c r="RLG62" s="36"/>
      <c r="RLH62" s="36"/>
      <c r="RLI62" s="36"/>
      <c r="RLJ62" s="36"/>
      <c r="RLK62" s="36"/>
      <c r="RLL62" s="36"/>
      <c r="RLM62" s="36"/>
      <c r="RLN62" s="36"/>
      <c r="RLO62" s="36"/>
      <c r="RLP62" s="36"/>
      <c r="RLQ62" s="36"/>
      <c r="RLR62" s="36"/>
      <c r="RLS62" s="36"/>
      <c r="RLT62" s="36"/>
      <c r="RLU62" s="36"/>
      <c r="RLV62" s="36"/>
      <c r="RLW62" s="36"/>
      <c r="RLX62" s="36"/>
      <c r="RLY62" s="36"/>
      <c r="RLZ62" s="36"/>
      <c r="RMA62" s="36"/>
      <c r="RMB62" s="36"/>
      <c r="RMC62" s="36"/>
      <c r="RMD62" s="36"/>
      <c r="RME62" s="36"/>
      <c r="RMF62" s="36"/>
      <c r="RMG62" s="36"/>
      <c r="RMH62" s="36"/>
      <c r="RMI62" s="36"/>
      <c r="RMJ62" s="36"/>
      <c r="RMK62" s="36"/>
      <c r="RML62" s="36"/>
      <c r="RMM62" s="36"/>
      <c r="RMN62" s="36"/>
      <c r="RMO62" s="36"/>
      <c r="RMP62" s="36"/>
      <c r="RMQ62" s="36"/>
      <c r="RMR62" s="36"/>
      <c r="RMS62" s="36"/>
      <c r="RMT62" s="36"/>
      <c r="RMU62" s="36"/>
      <c r="RMV62" s="36"/>
      <c r="RMW62" s="36"/>
      <c r="RMX62" s="36"/>
      <c r="RMY62" s="36"/>
      <c r="RMZ62" s="36"/>
      <c r="RNA62" s="36"/>
      <c r="RNB62" s="36"/>
      <c r="RNC62" s="36"/>
      <c r="RND62" s="36"/>
      <c r="RNE62" s="36"/>
      <c r="RNF62" s="36"/>
      <c r="RNG62" s="36"/>
      <c r="RNH62" s="36"/>
      <c r="RNI62" s="36"/>
      <c r="RNJ62" s="36"/>
      <c r="RNK62" s="36"/>
      <c r="RNL62" s="36"/>
      <c r="RNM62" s="36"/>
      <c r="RNN62" s="36"/>
      <c r="RNO62" s="36"/>
      <c r="RNP62" s="36"/>
      <c r="RNQ62" s="36"/>
      <c r="RNR62" s="36"/>
      <c r="RNS62" s="36"/>
      <c r="RNT62" s="36"/>
      <c r="RNU62" s="36"/>
      <c r="RNV62" s="36"/>
      <c r="RNW62" s="36"/>
      <c r="RNX62" s="36"/>
      <c r="RNY62" s="36"/>
      <c r="RNZ62" s="36"/>
      <c r="ROA62" s="36"/>
      <c r="ROB62" s="36"/>
      <c r="ROC62" s="36"/>
      <c r="ROD62" s="36"/>
      <c r="ROE62" s="36"/>
      <c r="ROF62" s="36"/>
      <c r="ROG62" s="36"/>
      <c r="ROH62" s="36"/>
      <c r="ROI62" s="36"/>
      <c r="ROJ62" s="36"/>
      <c r="ROK62" s="36"/>
      <c r="ROL62" s="36"/>
      <c r="ROM62" s="36"/>
      <c r="RON62" s="36"/>
      <c r="ROO62" s="36"/>
      <c r="ROP62" s="36"/>
      <c r="ROQ62" s="36"/>
      <c r="ROR62" s="36"/>
      <c r="ROS62" s="36"/>
      <c r="ROT62" s="36"/>
      <c r="ROU62" s="36"/>
      <c r="ROV62" s="36"/>
      <c r="ROW62" s="36"/>
      <c r="ROX62" s="36"/>
      <c r="ROY62" s="36"/>
      <c r="ROZ62" s="36"/>
      <c r="RPA62" s="36"/>
      <c r="RPB62" s="36"/>
      <c r="RPC62" s="36"/>
      <c r="RPD62" s="36"/>
      <c r="RPE62" s="36"/>
      <c r="RPF62" s="36"/>
      <c r="RPG62" s="36"/>
      <c r="RPH62" s="36"/>
      <c r="RPI62" s="36"/>
      <c r="RPJ62" s="36"/>
      <c r="RPK62" s="36"/>
      <c r="RPL62" s="36"/>
      <c r="RPM62" s="36"/>
      <c r="RPN62" s="36"/>
      <c r="RPO62" s="36"/>
      <c r="RPP62" s="36"/>
      <c r="RPQ62" s="36"/>
      <c r="RPR62" s="36"/>
      <c r="RPS62" s="36"/>
      <c r="RPT62" s="36"/>
      <c r="RPU62" s="36"/>
      <c r="RPV62" s="36"/>
      <c r="RPW62" s="36"/>
      <c r="RPX62" s="36"/>
      <c r="RPY62" s="36"/>
      <c r="RPZ62" s="36"/>
      <c r="RQA62" s="36"/>
      <c r="RQB62" s="36"/>
      <c r="RQC62" s="36"/>
      <c r="RQD62" s="36"/>
      <c r="RQE62" s="36"/>
      <c r="RQF62" s="36"/>
      <c r="RQG62" s="36"/>
      <c r="RQH62" s="36"/>
      <c r="RQI62" s="36"/>
      <c r="RQJ62" s="36"/>
      <c r="RQK62" s="36"/>
      <c r="RQL62" s="36"/>
      <c r="RQM62" s="36"/>
      <c r="RQN62" s="36"/>
      <c r="RQO62" s="36"/>
      <c r="RQP62" s="36"/>
      <c r="RQQ62" s="36"/>
      <c r="RQR62" s="36"/>
      <c r="RQS62" s="36"/>
      <c r="RQT62" s="36"/>
      <c r="RQU62" s="36"/>
      <c r="RQV62" s="36"/>
      <c r="RQW62" s="36"/>
      <c r="RQX62" s="36"/>
      <c r="RQY62" s="36"/>
      <c r="RQZ62" s="36"/>
      <c r="RRA62" s="36"/>
      <c r="RRB62" s="36"/>
      <c r="RRC62" s="36"/>
      <c r="RRD62" s="36"/>
      <c r="RRE62" s="36"/>
      <c r="RRF62" s="36"/>
      <c r="RRG62" s="36"/>
      <c r="RRH62" s="36"/>
      <c r="RRI62" s="36"/>
      <c r="RRJ62" s="36"/>
      <c r="RRK62" s="36"/>
      <c r="RRL62" s="36"/>
      <c r="RRM62" s="36"/>
      <c r="RRN62" s="36"/>
      <c r="RRO62" s="36"/>
      <c r="RRP62" s="36"/>
      <c r="RRQ62" s="36"/>
      <c r="RRR62" s="36"/>
      <c r="RRS62" s="36"/>
      <c r="RRT62" s="36"/>
      <c r="RRU62" s="36"/>
      <c r="RRV62" s="36"/>
      <c r="RRW62" s="36"/>
      <c r="RRX62" s="36"/>
      <c r="RRY62" s="36"/>
      <c r="RRZ62" s="36"/>
      <c r="RSA62" s="36"/>
      <c r="RSB62" s="36"/>
      <c r="RSC62" s="36"/>
      <c r="RSD62" s="36"/>
      <c r="RSE62" s="36"/>
      <c r="RSF62" s="36"/>
      <c r="RSG62" s="36"/>
      <c r="RSH62" s="36"/>
      <c r="RSI62" s="36"/>
      <c r="RSJ62" s="36"/>
      <c r="RSK62" s="36"/>
      <c r="RSL62" s="36"/>
      <c r="RSM62" s="36"/>
      <c r="RSN62" s="36"/>
      <c r="RSO62" s="36"/>
      <c r="RSP62" s="36"/>
      <c r="RSQ62" s="36"/>
      <c r="RSR62" s="36"/>
      <c r="RSS62" s="36"/>
      <c r="RST62" s="36"/>
      <c r="RSU62" s="36"/>
      <c r="RSV62" s="36"/>
      <c r="RSW62" s="36"/>
      <c r="RSX62" s="36"/>
      <c r="RSY62" s="36"/>
      <c r="RSZ62" s="36"/>
      <c r="RTA62" s="36"/>
      <c r="RTB62" s="36"/>
      <c r="RTC62" s="36"/>
      <c r="RTD62" s="36"/>
      <c r="RTE62" s="36"/>
      <c r="RTF62" s="36"/>
      <c r="RTG62" s="36"/>
      <c r="RTH62" s="36"/>
      <c r="RTI62" s="36"/>
      <c r="RTJ62" s="36"/>
      <c r="RTK62" s="36"/>
      <c r="RTL62" s="36"/>
      <c r="RTM62" s="36"/>
      <c r="RTN62" s="36"/>
      <c r="RTO62" s="36"/>
      <c r="RTP62" s="36"/>
      <c r="RTQ62" s="36"/>
      <c r="RTR62" s="36"/>
      <c r="RTS62" s="36"/>
      <c r="RTT62" s="36"/>
      <c r="RTU62" s="36"/>
      <c r="RTV62" s="36"/>
      <c r="RTW62" s="36"/>
      <c r="RTX62" s="36"/>
      <c r="RTY62" s="36"/>
      <c r="RTZ62" s="36"/>
      <c r="RUA62" s="36"/>
      <c r="RUB62" s="36"/>
      <c r="RUC62" s="36"/>
      <c r="RUD62" s="36"/>
      <c r="RUE62" s="36"/>
      <c r="RUF62" s="36"/>
      <c r="RUG62" s="36"/>
      <c r="RUH62" s="36"/>
      <c r="RUI62" s="36"/>
      <c r="RUJ62" s="36"/>
      <c r="RUK62" s="36"/>
      <c r="RUL62" s="36"/>
      <c r="RUM62" s="36"/>
      <c r="RUN62" s="36"/>
      <c r="RUO62" s="36"/>
      <c r="RUP62" s="36"/>
      <c r="RUQ62" s="36"/>
      <c r="RUR62" s="36"/>
      <c r="RUS62" s="36"/>
      <c r="RUT62" s="36"/>
      <c r="RUU62" s="36"/>
      <c r="RUV62" s="36"/>
      <c r="RUW62" s="36"/>
      <c r="RUX62" s="36"/>
      <c r="RUY62" s="36"/>
      <c r="RUZ62" s="36"/>
      <c r="RVA62" s="36"/>
      <c r="RVB62" s="36"/>
      <c r="RVC62" s="36"/>
      <c r="RVD62" s="36"/>
      <c r="RVE62" s="36"/>
      <c r="RVF62" s="36"/>
      <c r="RVG62" s="36"/>
      <c r="RVH62" s="36"/>
      <c r="RVI62" s="36"/>
      <c r="RVJ62" s="36"/>
      <c r="RVK62" s="36"/>
      <c r="RVL62" s="36"/>
      <c r="RVM62" s="36"/>
      <c r="RVN62" s="36"/>
      <c r="RVO62" s="36"/>
      <c r="RVP62" s="36"/>
      <c r="RVQ62" s="36"/>
      <c r="RVR62" s="36"/>
      <c r="RVS62" s="36"/>
      <c r="RVT62" s="36"/>
      <c r="RVU62" s="36"/>
      <c r="RVV62" s="36"/>
      <c r="RVW62" s="36"/>
      <c r="RVX62" s="36"/>
      <c r="RVY62" s="36"/>
      <c r="RVZ62" s="36"/>
      <c r="RWA62" s="36"/>
      <c r="RWB62" s="36"/>
      <c r="RWC62" s="36"/>
      <c r="RWD62" s="36"/>
      <c r="RWE62" s="36"/>
      <c r="RWF62" s="36"/>
      <c r="RWG62" s="36"/>
      <c r="RWH62" s="36"/>
      <c r="RWI62" s="36"/>
      <c r="RWJ62" s="36"/>
      <c r="RWK62" s="36"/>
      <c r="RWL62" s="36"/>
      <c r="RWM62" s="36"/>
      <c r="RWN62" s="36"/>
      <c r="RWO62" s="36"/>
      <c r="RWP62" s="36"/>
      <c r="RWQ62" s="36"/>
      <c r="RWR62" s="36"/>
      <c r="RWS62" s="36"/>
      <c r="RWT62" s="36"/>
      <c r="RWU62" s="36"/>
      <c r="RWV62" s="36"/>
      <c r="RWW62" s="36"/>
      <c r="RWX62" s="36"/>
      <c r="RWY62" s="36"/>
      <c r="RWZ62" s="36"/>
      <c r="RXA62" s="36"/>
      <c r="RXB62" s="36"/>
      <c r="RXC62" s="36"/>
      <c r="RXD62" s="36"/>
      <c r="RXE62" s="36"/>
      <c r="RXF62" s="36"/>
      <c r="RXG62" s="36"/>
      <c r="RXH62" s="36"/>
      <c r="RXI62" s="36"/>
      <c r="RXJ62" s="36"/>
      <c r="RXK62" s="36"/>
      <c r="RXL62" s="36"/>
      <c r="RXM62" s="36"/>
      <c r="RXN62" s="36"/>
      <c r="RXO62" s="36"/>
      <c r="RXP62" s="36"/>
      <c r="RXQ62" s="36"/>
      <c r="RXR62" s="36"/>
      <c r="RXS62" s="36"/>
      <c r="RXT62" s="36"/>
      <c r="RXU62" s="36"/>
      <c r="RXV62" s="36"/>
      <c r="RXW62" s="36"/>
      <c r="RXX62" s="36"/>
      <c r="RXY62" s="36"/>
      <c r="RXZ62" s="36"/>
      <c r="RYA62" s="36"/>
      <c r="RYB62" s="36"/>
      <c r="RYC62" s="36"/>
      <c r="RYD62" s="36"/>
      <c r="RYE62" s="36"/>
      <c r="RYF62" s="36"/>
      <c r="RYG62" s="36"/>
      <c r="RYH62" s="36"/>
      <c r="RYI62" s="36"/>
      <c r="RYJ62" s="36"/>
      <c r="RYK62" s="36"/>
      <c r="RYL62" s="36"/>
      <c r="RYM62" s="36"/>
      <c r="RYN62" s="36"/>
      <c r="RYO62" s="36"/>
      <c r="RYP62" s="36"/>
      <c r="RYQ62" s="36"/>
      <c r="RYR62" s="36"/>
      <c r="RYS62" s="36"/>
      <c r="RYT62" s="36"/>
      <c r="RYU62" s="36"/>
      <c r="RYV62" s="36"/>
      <c r="RYW62" s="36"/>
      <c r="RYX62" s="36"/>
      <c r="RYY62" s="36"/>
      <c r="RYZ62" s="36"/>
      <c r="RZA62" s="36"/>
      <c r="RZB62" s="36"/>
      <c r="RZC62" s="36"/>
      <c r="RZD62" s="36"/>
      <c r="RZE62" s="36"/>
      <c r="RZF62" s="36"/>
      <c r="RZG62" s="36"/>
      <c r="RZH62" s="36"/>
      <c r="RZI62" s="36"/>
      <c r="RZJ62" s="36"/>
      <c r="RZK62" s="36"/>
      <c r="RZL62" s="36"/>
      <c r="RZM62" s="36"/>
      <c r="RZN62" s="36"/>
      <c r="RZO62" s="36"/>
      <c r="RZP62" s="36"/>
      <c r="RZQ62" s="36"/>
      <c r="RZR62" s="36"/>
      <c r="RZS62" s="36"/>
      <c r="RZT62" s="36"/>
      <c r="RZU62" s="36"/>
      <c r="RZV62" s="36"/>
      <c r="RZW62" s="36"/>
      <c r="RZX62" s="36"/>
      <c r="RZY62" s="36"/>
      <c r="RZZ62" s="36"/>
      <c r="SAA62" s="36"/>
      <c r="SAB62" s="36"/>
      <c r="SAC62" s="36"/>
      <c r="SAD62" s="36"/>
      <c r="SAE62" s="36"/>
      <c r="SAF62" s="36"/>
      <c r="SAG62" s="36"/>
      <c r="SAH62" s="36"/>
      <c r="SAI62" s="36"/>
      <c r="SAJ62" s="36"/>
      <c r="SAK62" s="36"/>
      <c r="SAL62" s="36"/>
      <c r="SAM62" s="36"/>
      <c r="SAN62" s="36"/>
      <c r="SAO62" s="36"/>
      <c r="SAP62" s="36"/>
      <c r="SAQ62" s="36"/>
      <c r="SAR62" s="36"/>
      <c r="SAS62" s="36"/>
      <c r="SAT62" s="36"/>
      <c r="SAU62" s="36"/>
      <c r="SAV62" s="36"/>
      <c r="SAW62" s="36"/>
      <c r="SAX62" s="36"/>
      <c r="SAY62" s="36"/>
      <c r="SAZ62" s="36"/>
      <c r="SBA62" s="36"/>
      <c r="SBB62" s="36"/>
      <c r="SBC62" s="36"/>
      <c r="SBD62" s="36"/>
      <c r="SBE62" s="36"/>
      <c r="SBF62" s="36"/>
      <c r="SBG62" s="36"/>
      <c r="SBH62" s="36"/>
      <c r="SBI62" s="36"/>
      <c r="SBJ62" s="36"/>
      <c r="SBK62" s="36"/>
      <c r="SBL62" s="36"/>
      <c r="SBM62" s="36"/>
      <c r="SBN62" s="36"/>
      <c r="SBO62" s="36"/>
      <c r="SBP62" s="36"/>
      <c r="SBQ62" s="36"/>
      <c r="SBR62" s="36"/>
      <c r="SBS62" s="36"/>
      <c r="SBT62" s="36"/>
      <c r="SBU62" s="36"/>
      <c r="SBV62" s="36"/>
      <c r="SBW62" s="36"/>
      <c r="SBX62" s="36"/>
      <c r="SBY62" s="36"/>
      <c r="SBZ62" s="36"/>
      <c r="SCA62" s="36"/>
      <c r="SCB62" s="36"/>
      <c r="SCC62" s="36"/>
      <c r="SCD62" s="36"/>
      <c r="SCE62" s="36"/>
      <c r="SCF62" s="36"/>
      <c r="SCG62" s="36"/>
      <c r="SCH62" s="36"/>
      <c r="SCI62" s="36"/>
      <c r="SCJ62" s="36"/>
      <c r="SCK62" s="36"/>
      <c r="SCL62" s="36"/>
      <c r="SCM62" s="36"/>
      <c r="SCN62" s="36"/>
      <c r="SCO62" s="36"/>
      <c r="SCP62" s="36"/>
      <c r="SCQ62" s="36"/>
      <c r="SCR62" s="36"/>
      <c r="SCS62" s="36"/>
      <c r="SCT62" s="36"/>
      <c r="SCU62" s="36"/>
      <c r="SCV62" s="36"/>
      <c r="SCW62" s="36"/>
      <c r="SCX62" s="36"/>
      <c r="SCY62" s="36"/>
      <c r="SCZ62" s="36"/>
      <c r="SDA62" s="36"/>
      <c r="SDB62" s="36"/>
      <c r="SDC62" s="36"/>
      <c r="SDD62" s="36"/>
      <c r="SDE62" s="36"/>
      <c r="SDF62" s="36"/>
      <c r="SDG62" s="36"/>
      <c r="SDH62" s="36"/>
      <c r="SDI62" s="36"/>
      <c r="SDJ62" s="36"/>
      <c r="SDK62" s="36"/>
      <c r="SDL62" s="36"/>
      <c r="SDM62" s="36"/>
      <c r="SDN62" s="36"/>
      <c r="SDO62" s="36"/>
      <c r="SDP62" s="36"/>
      <c r="SDQ62" s="36"/>
      <c r="SDR62" s="36"/>
      <c r="SDS62" s="36"/>
      <c r="SDT62" s="36"/>
      <c r="SDU62" s="36"/>
      <c r="SDV62" s="36"/>
      <c r="SDW62" s="36"/>
      <c r="SDX62" s="36"/>
      <c r="SDY62" s="36"/>
      <c r="SDZ62" s="36"/>
      <c r="SEA62" s="36"/>
      <c r="SEB62" s="36"/>
      <c r="SEC62" s="36"/>
      <c r="SED62" s="36"/>
      <c r="SEE62" s="36"/>
      <c r="SEF62" s="36"/>
      <c r="SEG62" s="36"/>
      <c r="SEH62" s="36"/>
      <c r="SEI62" s="36"/>
      <c r="SEJ62" s="36"/>
      <c r="SEK62" s="36"/>
      <c r="SEL62" s="36"/>
      <c r="SEM62" s="36"/>
      <c r="SEN62" s="36"/>
      <c r="SEO62" s="36"/>
      <c r="SEP62" s="36"/>
      <c r="SEQ62" s="36"/>
      <c r="SER62" s="36"/>
      <c r="SES62" s="36"/>
      <c r="SET62" s="36"/>
      <c r="SEU62" s="36"/>
      <c r="SEV62" s="36"/>
      <c r="SEW62" s="36"/>
      <c r="SEX62" s="36"/>
      <c r="SEY62" s="36"/>
      <c r="SEZ62" s="36"/>
      <c r="SFA62" s="36"/>
      <c r="SFB62" s="36"/>
      <c r="SFC62" s="36"/>
      <c r="SFD62" s="36"/>
      <c r="SFE62" s="36"/>
      <c r="SFF62" s="36"/>
      <c r="SFG62" s="36"/>
      <c r="SFH62" s="36"/>
      <c r="SFI62" s="36"/>
      <c r="SFJ62" s="36"/>
      <c r="SFK62" s="36"/>
      <c r="SFL62" s="36"/>
      <c r="SFM62" s="36"/>
      <c r="SFN62" s="36"/>
      <c r="SFO62" s="36"/>
      <c r="SFP62" s="36"/>
      <c r="SFQ62" s="36"/>
      <c r="SFR62" s="36"/>
      <c r="SFS62" s="36"/>
      <c r="SFT62" s="36"/>
      <c r="SFU62" s="36"/>
      <c r="SFV62" s="36"/>
      <c r="SFW62" s="36"/>
      <c r="SFX62" s="36"/>
      <c r="SFY62" s="36"/>
      <c r="SFZ62" s="36"/>
      <c r="SGA62" s="36"/>
      <c r="SGB62" s="36"/>
      <c r="SGC62" s="36"/>
      <c r="SGD62" s="36"/>
      <c r="SGE62" s="36"/>
      <c r="SGF62" s="36"/>
      <c r="SGG62" s="36"/>
      <c r="SGH62" s="36"/>
      <c r="SGI62" s="36"/>
      <c r="SGJ62" s="36"/>
      <c r="SGK62" s="36"/>
      <c r="SGL62" s="36"/>
      <c r="SGM62" s="36"/>
      <c r="SGN62" s="36"/>
      <c r="SGO62" s="36"/>
      <c r="SGP62" s="36"/>
      <c r="SGQ62" s="36"/>
      <c r="SGR62" s="36"/>
      <c r="SGS62" s="36"/>
      <c r="SGT62" s="36"/>
      <c r="SGU62" s="36"/>
      <c r="SGV62" s="36"/>
      <c r="SGW62" s="36"/>
      <c r="SGX62" s="36"/>
      <c r="SGY62" s="36"/>
      <c r="SGZ62" s="36"/>
      <c r="SHA62" s="36"/>
      <c r="SHB62" s="36"/>
      <c r="SHC62" s="36"/>
      <c r="SHD62" s="36"/>
      <c r="SHE62" s="36"/>
      <c r="SHF62" s="36"/>
      <c r="SHG62" s="36"/>
      <c r="SHH62" s="36"/>
      <c r="SHI62" s="36"/>
      <c r="SHJ62" s="36"/>
      <c r="SHK62" s="36"/>
      <c r="SHL62" s="36"/>
      <c r="SHM62" s="36"/>
      <c r="SHN62" s="36"/>
      <c r="SHO62" s="36"/>
      <c r="SHP62" s="36"/>
      <c r="SHQ62" s="36"/>
      <c r="SHR62" s="36"/>
      <c r="SHS62" s="36"/>
      <c r="SHT62" s="36"/>
      <c r="SHU62" s="36"/>
      <c r="SHV62" s="36"/>
      <c r="SHW62" s="36"/>
      <c r="SHX62" s="36"/>
      <c r="SHY62" s="36"/>
      <c r="SHZ62" s="36"/>
      <c r="SIA62" s="36"/>
      <c r="SIB62" s="36"/>
      <c r="SIC62" s="36"/>
      <c r="SID62" s="36"/>
      <c r="SIE62" s="36"/>
      <c r="SIF62" s="36"/>
      <c r="SIG62" s="36"/>
      <c r="SIH62" s="36"/>
      <c r="SII62" s="36"/>
      <c r="SIJ62" s="36"/>
      <c r="SIK62" s="36"/>
      <c r="SIL62" s="36"/>
      <c r="SIM62" s="36"/>
      <c r="SIN62" s="36"/>
      <c r="SIO62" s="36"/>
      <c r="SIP62" s="36"/>
      <c r="SIQ62" s="36"/>
      <c r="SIR62" s="36"/>
      <c r="SIS62" s="36"/>
      <c r="SIT62" s="36"/>
      <c r="SIU62" s="36"/>
      <c r="SIV62" s="36"/>
      <c r="SIW62" s="36"/>
      <c r="SIX62" s="36"/>
      <c r="SIY62" s="36"/>
      <c r="SIZ62" s="36"/>
      <c r="SJA62" s="36"/>
      <c r="SJB62" s="36"/>
      <c r="SJC62" s="36"/>
      <c r="SJD62" s="36"/>
      <c r="SJE62" s="36"/>
      <c r="SJF62" s="36"/>
      <c r="SJG62" s="36"/>
      <c r="SJH62" s="36"/>
      <c r="SJI62" s="36"/>
      <c r="SJJ62" s="36"/>
      <c r="SJK62" s="36"/>
      <c r="SJL62" s="36"/>
      <c r="SJM62" s="36"/>
      <c r="SJN62" s="36"/>
      <c r="SJO62" s="36"/>
      <c r="SJP62" s="36"/>
      <c r="SJQ62" s="36"/>
      <c r="SJR62" s="36"/>
      <c r="SJS62" s="36"/>
      <c r="SJT62" s="36"/>
      <c r="SJU62" s="36"/>
      <c r="SJV62" s="36"/>
      <c r="SJW62" s="36"/>
      <c r="SJX62" s="36"/>
      <c r="SJY62" s="36"/>
      <c r="SJZ62" s="36"/>
      <c r="SKA62" s="36"/>
      <c r="SKB62" s="36"/>
      <c r="SKC62" s="36"/>
      <c r="SKD62" s="36"/>
      <c r="SKE62" s="36"/>
      <c r="SKF62" s="36"/>
      <c r="SKG62" s="36"/>
      <c r="SKH62" s="36"/>
      <c r="SKI62" s="36"/>
      <c r="SKJ62" s="36"/>
      <c r="SKK62" s="36"/>
      <c r="SKL62" s="36"/>
      <c r="SKM62" s="36"/>
      <c r="SKN62" s="36"/>
      <c r="SKO62" s="36"/>
      <c r="SKP62" s="36"/>
      <c r="SKQ62" s="36"/>
      <c r="SKR62" s="36"/>
      <c r="SKS62" s="36"/>
      <c r="SKT62" s="36"/>
      <c r="SKU62" s="36"/>
      <c r="SKV62" s="36"/>
      <c r="SKW62" s="36"/>
      <c r="SKX62" s="36"/>
      <c r="SKY62" s="36"/>
      <c r="SKZ62" s="36"/>
      <c r="SLA62" s="36"/>
      <c r="SLB62" s="36"/>
      <c r="SLC62" s="36"/>
      <c r="SLD62" s="36"/>
      <c r="SLE62" s="36"/>
      <c r="SLF62" s="36"/>
      <c r="SLG62" s="36"/>
      <c r="SLH62" s="36"/>
      <c r="SLI62" s="36"/>
      <c r="SLJ62" s="36"/>
      <c r="SLK62" s="36"/>
      <c r="SLL62" s="36"/>
      <c r="SLM62" s="36"/>
      <c r="SLN62" s="36"/>
      <c r="SLO62" s="36"/>
      <c r="SLP62" s="36"/>
      <c r="SLQ62" s="36"/>
      <c r="SLR62" s="36"/>
      <c r="SLS62" s="36"/>
      <c r="SLT62" s="36"/>
      <c r="SLU62" s="36"/>
      <c r="SLV62" s="36"/>
      <c r="SLW62" s="36"/>
      <c r="SLX62" s="36"/>
      <c r="SLY62" s="36"/>
      <c r="SLZ62" s="36"/>
      <c r="SMA62" s="36"/>
      <c r="SMB62" s="36"/>
      <c r="SMC62" s="36"/>
      <c r="SMD62" s="36"/>
      <c r="SME62" s="36"/>
      <c r="SMF62" s="36"/>
      <c r="SMG62" s="36"/>
      <c r="SMH62" s="36"/>
      <c r="SMI62" s="36"/>
      <c r="SMJ62" s="36"/>
      <c r="SMK62" s="36"/>
      <c r="SML62" s="36"/>
      <c r="SMM62" s="36"/>
      <c r="SMN62" s="36"/>
      <c r="SMO62" s="36"/>
      <c r="SMP62" s="36"/>
      <c r="SMQ62" s="36"/>
      <c r="SMR62" s="36"/>
      <c r="SMS62" s="36"/>
      <c r="SMT62" s="36"/>
      <c r="SMU62" s="36"/>
      <c r="SMV62" s="36"/>
      <c r="SMW62" s="36"/>
      <c r="SMX62" s="36"/>
      <c r="SMY62" s="36"/>
      <c r="SMZ62" s="36"/>
      <c r="SNA62" s="36"/>
      <c r="SNB62" s="36"/>
      <c r="SNC62" s="36"/>
      <c r="SND62" s="36"/>
      <c r="SNE62" s="36"/>
      <c r="SNF62" s="36"/>
      <c r="SNG62" s="36"/>
      <c r="SNH62" s="36"/>
      <c r="SNI62" s="36"/>
      <c r="SNJ62" s="36"/>
      <c r="SNK62" s="36"/>
      <c r="SNL62" s="36"/>
      <c r="SNM62" s="36"/>
      <c r="SNN62" s="36"/>
      <c r="SNO62" s="36"/>
      <c r="SNP62" s="36"/>
      <c r="SNQ62" s="36"/>
      <c r="SNR62" s="36"/>
      <c r="SNS62" s="36"/>
      <c r="SNT62" s="36"/>
      <c r="SNU62" s="36"/>
      <c r="SNV62" s="36"/>
      <c r="SNW62" s="36"/>
      <c r="SNX62" s="36"/>
      <c r="SNY62" s="36"/>
      <c r="SNZ62" s="36"/>
      <c r="SOA62" s="36"/>
      <c r="SOB62" s="36"/>
      <c r="SOC62" s="36"/>
      <c r="SOD62" s="36"/>
      <c r="SOE62" s="36"/>
      <c r="SOF62" s="36"/>
      <c r="SOG62" s="36"/>
      <c r="SOH62" s="36"/>
      <c r="SOI62" s="36"/>
      <c r="SOJ62" s="36"/>
      <c r="SOK62" s="36"/>
      <c r="SOL62" s="36"/>
      <c r="SOM62" s="36"/>
      <c r="SON62" s="36"/>
      <c r="SOO62" s="36"/>
      <c r="SOP62" s="36"/>
      <c r="SOQ62" s="36"/>
      <c r="SOR62" s="36"/>
      <c r="SOS62" s="36"/>
      <c r="SOT62" s="36"/>
      <c r="SOU62" s="36"/>
      <c r="SOV62" s="36"/>
      <c r="SOW62" s="36"/>
      <c r="SOX62" s="36"/>
      <c r="SOY62" s="36"/>
      <c r="SOZ62" s="36"/>
      <c r="SPA62" s="36"/>
      <c r="SPB62" s="36"/>
      <c r="SPC62" s="36"/>
      <c r="SPD62" s="36"/>
      <c r="SPE62" s="36"/>
      <c r="SPF62" s="36"/>
      <c r="SPG62" s="36"/>
      <c r="SPH62" s="36"/>
      <c r="SPI62" s="36"/>
      <c r="SPJ62" s="36"/>
      <c r="SPK62" s="36"/>
      <c r="SPL62" s="36"/>
      <c r="SPM62" s="36"/>
      <c r="SPN62" s="36"/>
      <c r="SPO62" s="36"/>
      <c r="SPP62" s="36"/>
      <c r="SPQ62" s="36"/>
      <c r="SPR62" s="36"/>
      <c r="SPS62" s="36"/>
      <c r="SPT62" s="36"/>
      <c r="SPU62" s="36"/>
      <c r="SPV62" s="36"/>
      <c r="SPW62" s="36"/>
      <c r="SPX62" s="36"/>
      <c r="SPY62" s="36"/>
      <c r="SPZ62" s="36"/>
      <c r="SQA62" s="36"/>
      <c r="SQB62" s="36"/>
      <c r="SQC62" s="36"/>
      <c r="SQD62" s="36"/>
      <c r="SQE62" s="36"/>
      <c r="SQF62" s="36"/>
      <c r="SQG62" s="36"/>
      <c r="SQH62" s="36"/>
      <c r="SQI62" s="36"/>
      <c r="SQJ62" s="36"/>
      <c r="SQK62" s="36"/>
      <c r="SQL62" s="36"/>
      <c r="SQM62" s="36"/>
      <c r="SQN62" s="36"/>
      <c r="SQO62" s="36"/>
      <c r="SQP62" s="36"/>
      <c r="SQQ62" s="36"/>
      <c r="SQR62" s="36"/>
      <c r="SQS62" s="36"/>
      <c r="SQT62" s="36"/>
      <c r="SQU62" s="36"/>
      <c r="SQV62" s="36"/>
      <c r="SQW62" s="36"/>
      <c r="SQX62" s="36"/>
      <c r="SQY62" s="36"/>
      <c r="SQZ62" s="36"/>
      <c r="SRA62" s="36"/>
      <c r="SRB62" s="36"/>
      <c r="SRC62" s="36"/>
      <c r="SRD62" s="36"/>
      <c r="SRE62" s="36"/>
      <c r="SRF62" s="36"/>
      <c r="SRG62" s="36"/>
      <c r="SRH62" s="36"/>
      <c r="SRI62" s="36"/>
      <c r="SRJ62" s="36"/>
      <c r="SRK62" s="36"/>
      <c r="SRL62" s="36"/>
      <c r="SRM62" s="36"/>
      <c r="SRN62" s="36"/>
      <c r="SRO62" s="36"/>
      <c r="SRP62" s="36"/>
      <c r="SRQ62" s="36"/>
      <c r="SRR62" s="36"/>
      <c r="SRS62" s="36"/>
      <c r="SRT62" s="36"/>
      <c r="SRU62" s="36"/>
      <c r="SRV62" s="36"/>
      <c r="SRW62" s="36"/>
      <c r="SRX62" s="36"/>
      <c r="SRY62" s="36"/>
      <c r="SRZ62" s="36"/>
      <c r="SSA62" s="36"/>
      <c r="SSB62" s="36"/>
      <c r="SSC62" s="36"/>
      <c r="SSD62" s="36"/>
      <c r="SSE62" s="36"/>
      <c r="SSF62" s="36"/>
      <c r="SSG62" s="36"/>
      <c r="SSH62" s="36"/>
      <c r="SSI62" s="36"/>
      <c r="SSJ62" s="36"/>
      <c r="SSK62" s="36"/>
      <c r="SSL62" s="36"/>
      <c r="SSM62" s="36"/>
      <c r="SSN62" s="36"/>
      <c r="SSO62" s="36"/>
      <c r="SSP62" s="36"/>
      <c r="SSQ62" s="36"/>
      <c r="SSR62" s="36"/>
      <c r="SSS62" s="36"/>
      <c r="SST62" s="36"/>
      <c r="SSU62" s="36"/>
      <c r="SSV62" s="36"/>
      <c r="SSW62" s="36"/>
      <c r="SSX62" s="36"/>
      <c r="SSY62" s="36"/>
      <c r="SSZ62" s="36"/>
      <c r="STA62" s="36"/>
      <c r="STB62" s="36"/>
      <c r="STC62" s="36"/>
      <c r="STD62" s="36"/>
      <c r="STE62" s="36"/>
      <c r="STF62" s="36"/>
      <c r="STG62" s="36"/>
      <c r="STH62" s="36"/>
      <c r="STI62" s="36"/>
      <c r="STJ62" s="36"/>
      <c r="STK62" s="36"/>
      <c r="STL62" s="36"/>
      <c r="STM62" s="36"/>
      <c r="STN62" s="36"/>
      <c r="STO62" s="36"/>
      <c r="STP62" s="36"/>
      <c r="STQ62" s="36"/>
      <c r="STR62" s="36"/>
      <c r="STS62" s="36"/>
      <c r="STT62" s="36"/>
      <c r="STU62" s="36"/>
      <c r="STV62" s="36"/>
      <c r="STW62" s="36"/>
      <c r="STX62" s="36"/>
      <c r="STY62" s="36"/>
      <c r="STZ62" s="36"/>
      <c r="SUA62" s="36"/>
      <c r="SUB62" s="36"/>
      <c r="SUC62" s="36"/>
      <c r="SUD62" s="36"/>
      <c r="SUE62" s="36"/>
      <c r="SUF62" s="36"/>
      <c r="SUG62" s="36"/>
      <c r="SUH62" s="36"/>
      <c r="SUI62" s="36"/>
      <c r="SUJ62" s="36"/>
      <c r="SUK62" s="36"/>
      <c r="SUL62" s="36"/>
      <c r="SUM62" s="36"/>
      <c r="SUN62" s="36"/>
      <c r="SUO62" s="36"/>
      <c r="SUP62" s="36"/>
      <c r="SUQ62" s="36"/>
      <c r="SUR62" s="36"/>
      <c r="SUS62" s="36"/>
      <c r="SUT62" s="36"/>
      <c r="SUU62" s="36"/>
      <c r="SUV62" s="36"/>
      <c r="SUW62" s="36"/>
      <c r="SUX62" s="36"/>
      <c r="SUY62" s="36"/>
      <c r="SUZ62" s="36"/>
      <c r="SVA62" s="36"/>
      <c r="SVB62" s="36"/>
      <c r="SVC62" s="36"/>
      <c r="SVD62" s="36"/>
      <c r="SVE62" s="36"/>
      <c r="SVF62" s="36"/>
      <c r="SVG62" s="36"/>
      <c r="SVH62" s="36"/>
      <c r="SVI62" s="36"/>
      <c r="SVJ62" s="36"/>
      <c r="SVK62" s="36"/>
      <c r="SVL62" s="36"/>
      <c r="SVM62" s="36"/>
      <c r="SVN62" s="36"/>
      <c r="SVO62" s="36"/>
      <c r="SVP62" s="36"/>
      <c r="SVQ62" s="36"/>
      <c r="SVR62" s="36"/>
      <c r="SVS62" s="36"/>
      <c r="SVT62" s="36"/>
      <c r="SVU62" s="36"/>
      <c r="SVV62" s="36"/>
      <c r="SVW62" s="36"/>
      <c r="SVX62" s="36"/>
      <c r="SVY62" s="36"/>
      <c r="SVZ62" s="36"/>
      <c r="SWA62" s="36"/>
      <c r="SWB62" s="36"/>
      <c r="SWC62" s="36"/>
      <c r="SWD62" s="36"/>
      <c r="SWE62" s="36"/>
      <c r="SWF62" s="36"/>
      <c r="SWG62" s="36"/>
      <c r="SWH62" s="36"/>
      <c r="SWI62" s="36"/>
      <c r="SWJ62" s="36"/>
      <c r="SWK62" s="36"/>
      <c r="SWL62" s="36"/>
      <c r="SWM62" s="36"/>
      <c r="SWN62" s="36"/>
      <c r="SWO62" s="36"/>
      <c r="SWP62" s="36"/>
      <c r="SWQ62" s="36"/>
      <c r="SWR62" s="36"/>
      <c r="SWS62" s="36"/>
      <c r="SWT62" s="36"/>
      <c r="SWU62" s="36"/>
      <c r="SWV62" s="36"/>
      <c r="SWW62" s="36"/>
      <c r="SWX62" s="36"/>
      <c r="SWY62" s="36"/>
      <c r="SWZ62" s="36"/>
      <c r="SXA62" s="36"/>
      <c r="SXB62" s="36"/>
      <c r="SXC62" s="36"/>
      <c r="SXD62" s="36"/>
      <c r="SXE62" s="36"/>
      <c r="SXF62" s="36"/>
      <c r="SXG62" s="36"/>
      <c r="SXH62" s="36"/>
      <c r="SXI62" s="36"/>
      <c r="SXJ62" s="36"/>
      <c r="SXK62" s="36"/>
      <c r="SXL62" s="36"/>
      <c r="SXM62" s="36"/>
      <c r="SXN62" s="36"/>
      <c r="SXO62" s="36"/>
      <c r="SXP62" s="36"/>
      <c r="SXQ62" s="36"/>
      <c r="SXR62" s="36"/>
      <c r="SXS62" s="36"/>
      <c r="SXT62" s="36"/>
      <c r="SXU62" s="36"/>
      <c r="SXV62" s="36"/>
      <c r="SXW62" s="36"/>
      <c r="SXX62" s="36"/>
      <c r="SXY62" s="36"/>
      <c r="SXZ62" s="36"/>
      <c r="SYA62" s="36"/>
      <c r="SYB62" s="36"/>
      <c r="SYC62" s="36"/>
      <c r="SYD62" s="36"/>
      <c r="SYE62" s="36"/>
      <c r="SYF62" s="36"/>
      <c r="SYG62" s="36"/>
      <c r="SYH62" s="36"/>
      <c r="SYI62" s="36"/>
      <c r="SYJ62" s="36"/>
      <c r="SYK62" s="36"/>
      <c r="SYL62" s="36"/>
      <c r="SYM62" s="36"/>
      <c r="SYN62" s="36"/>
      <c r="SYO62" s="36"/>
      <c r="SYP62" s="36"/>
      <c r="SYQ62" s="36"/>
      <c r="SYR62" s="36"/>
      <c r="SYS62" s="36"/>
      <c r="SYT62" s="36"/>
      <c r="SYU62" s="36"/>
      <c r="SYV62" s="36"/>
      <c r="SYW62" s="36"/>
      <c r="SYX62" s="36"/>
      <c r="SYY62" s="36"/>
      <c r="SYZ62" s="36"/>
      <c r="SZA62" s="36"/>
      <c r="SZB62" s="36"/>
      <c r="SZC62" s="36"/>
      <c r="SZD62" s="36"/>
      <c r="SZE62" s="36"/>
      <c r="SZF62" s="36"/>
      <c r="SZG62" s="36"/>
      <c r="SZH62" s="36"/>
      <c r="SZI62" s="36"/>
      <c r="SZJ62" s="36"/>
      <c r="SZK62" s="36"/>
      <c r="SZL62" s="36"/>
      <c r="SZM62" s="36"/>
      <c r="SZN62" s="36"/>
      <c r="SZO62" s="36"/>
      <c r="SZP62" s="36"/>
      <c r="SZQ62" s="36"/>
      <c r="SZR62" s="36"/>
      <c r="SZS62" s="36"/>
      <c r="SZT62" s="36"/>
      <c r="SZU62" s="36"/>
      <c r="SZV62" s="36"/>
      <c r="SZW62" s="36"/>
      <c r="SZX62" s="36"/>
      <c r="SZY62" s="36"/>
      <c r="SZZ62" s="36"/>
      <c r="TAA62" s="36"/>
      <c r="TAB62" s="36"/>
      <c r="TAC62" s="36"/>
      <c r="TAD62" s="36"/>
      <c r="TAE62" s="36"/>
      <c r="TAF62" s="36"/>
      <c r="TAG62" s="36"/>
      <c r="TAH62" s="36"/>
      <c r="TAI62" s="36"/>
      <c r="TAJ62" s="36"/>
      <c r="TAK62" s="36"/>
      <c r="TAL62" s="36"/>
      <c r="TAM62" s="36"/>
      <c r="TAN62" s="36"/>
      <c r="TAO62" s="36"/>
      <c r="TAP62" s="36"/>
      <c r="TAQ62" s="36"/>
      <c r="TAR62" s="36"/>
      <c r="TAS62" s="36"/>
      <c r="TAT62" s="36"/>
      <c r="TAU62" s="36"/>
      <c r="TAV62" s="36"/>
      <c r="TAW62" s="36"/>
      <c r="TAX62" s="36"/>
      <c r="TAY62" s="36"/>
      <c r="TAZ62" s="36"/>
      <c r="TBA62" s="36"/>
      <c r="TBB62" s="36"/>
      <c r="TBC62" s="36"/>
      <c r="TBD62" s="36"/>
      <c r="TBE62" s="36"/>
      <c r="TBF62" s="36"/>
      <c r="TBG62" s="36"/>
      <c r="TBH62" s="36"/>
      <c r="TBI62" s="36"/>
      <c r="TBJ62" s="36"/>
      <c r="TBK62" s="36"/>
      <c r="TBL62" s="36"/>
      <c r="TBM62" s="36"/>
      <c r="TBN62" s="36"/>
      <c r="TBO62" s="36"/>
      <c r="TBP62" s="36"/>
      <c r="TBQ62" s="36"/>
      <c r="TBR62" s="36"/>
      <c r="TBS62" s="36"/>
      <c r="TBT62" s="36"/>
      <c r="TBU62" s="36"/>
      <c r="TBV62" s="36"/>
      <c r="TBW62" s="36"/>
      <c r="TBX62" s="36"/>
      <c r="TBY62" s="36"/>
      <c r="TBZ62" s="36"/>
      <c r="TCA62" s="36"/>
      <c r="TCB62" s="36"/>
      <c r="TCC62" s="36"/>
      <c r="TCD62" s="36"/>
      <c r="TCE62" s="36"/>
      <c r="TCF62" s="36"/>
      <c r="TCG62" s="36"/>
      <c r="TCH62" s="36"/>
      <c r="TCI62" s="36"/>
      <c r="TCJ62" s="36"/>
      <c r="TCK62" s="36"/>
      <c r="TCL62" s="36"/>
      <c r="TCM62" s="36"/>
      <c r="TCN62" s="36"/>
      <c r="TCO62" s="36"/>
      <c r="TCP62" s="36"/>
      <c r="TCQ62" s="36"/>
      <c r="TCR62" s="36"/>
      <c r="TCS62" s="36"/>
      <c r="TCT62" s="36"/>
      <c r="TCU62" s="36"/>
      <c r="TCV62" s="36"/>
      <c r="TCW62" s="36"/>
      <c r="TCX62" s="36"/>
      <c r="TCY62" s="36"/>
      <c r="TCZ62" s="36"/>
      <c r="TDA62" s="36"/>
      <c r="TDB62" s="36"/>
      <c r="TDC62" s="36"/>
      <c r="TDD62" s="36"/>
      <c r="TDE62" s="36"/>
      <c r="TDF62" s="36"/>
      <c r="TDG62" s="36"/>
      <c r="TDH62" s="36"/>
      <c r="TDI62" s="36"/>
      <c r="TDJ62" s="36"/>
      <c r="TDK62" s="36"/>
      <c r="TDL62" s="36"/>
      <c r="TDM62" s="36"/>
      <c r="TDN62" s="36"/>
      <c r="TDO62" s="36"/>
      <c r="TDP62" s="36"/>
      <c r="TDQ62" s="36"/>
      <c r="TDR62" s="36"/>
      <c r="TDS62" s="36"/>
      <c r="TDT62" s="36"/>
      <c r="TDU62" s="36"/>
      <c r="TDV62" s="36"/>
      <c r="TDW62" s="36"/>
      <c r="TDX62" s="36"/>
      <c r="TDY62" s="36"/>
      <c r="TDZ62" s="36"/>
      <c r="TEA62" s="36"/>
      <c r="TEB62" s="36"/>
      <c r="TEC62" s="36"/>
      <c r="TED62" s="36"/>
      <c r="TEE62" s="36"/>
      <c r="TEF62" s="36"/>
      <c r="TEG62" s="36"/>
      <c r="TEH62" s="36"/>
      <c r="TEI62" s="36"/>
      <c r="TEJ62" s="36"/>
      <c r="TEK62" s="36"/>
      <c r="TEL62" s="36"/>
      <c r="TEM62" s="36"/>
      <c r="TEN62" s="36"/>
      <c r="TEO62" s="36"/>
      <c r="TEP62" s="36"/>
      <c r="TEQ62" s="36"/>
      <c r="TER62" s="36"/>
      <c r="TES62" s="36"/>
      <c r="TET62" s="36"/>
      <c r="TEU62" s="36"/>
      <c r="TEV62" s="36"/>
      <c r="TEW62" s="36"/>
      <c r="TEX62" s="36"/>
      <c r="TEY62" s="36"/>
      <c r="TEZ62" s="36"/>
      <c r="TFA62" s="36"/>
      <c r="TFB62" s="36"/>
      <c r="TFC62" s="36"/>
      <c r="TFD62" s="36"/>
      <c r="TFE62" s="36"/>
      <c r="TFF62" s="36"/>
      <c r="TFG62" s="36"/>
      <c r="TFH62" s="36"/>
      <c r="TFI62" s="36"/>
      <c r="TFJ62" s="36"/>
      <c r="TFK62" s="36"/>
      <c r="TFL62" s="36"/>
      <c r="TFM62" s="36"/>
      <c r="TFN62" s="36"/>
      <c r="TFO62" s="36"/>
      <c r="TFP62" s="36"/>
      <c r="TFQ62" s="36"/>
      <c r="TFR62" s="36"/>
      <c r="TFS62" s="36"/>
      <c r="TFT62" s="36"/>
      <c r="TFU62" s="36"/>
      <c r="TFV62" s="36"/>
      <c r="TFW62" s="36"/>
      <c r="TFX62" s="36"/>
      <c r="TFY62" s="36"/>
      <c r="TFZ62" s="36"/>
      <c r="TGA62" s="36"/>
      <c r="TGB62" s="36"/>
      <c r="TGC62" s="36"/>
      <c r="TGD62" s="36"/>
      <c r="TGE62" s="36"/>
      <c r="TGF62" s="36"/>
      <c r="TGG62" s="36"/>
      <c r="TGH62" s="36"/>
      <c r="TGI62" s="36"/>
      <c r="TGJ62" s="36"/>
      <c r="TGK62" s="36"/>
      <c r="TGL62" s="36"/>
      <c r="TGM62" s="36"/>
      <c r="TGN62" s="36"/>
      <c r="TGO62" s="36"/>
      <c r="TGP62" s="36"/>
      <c r="TGQ62" s="36"/>
      <c r="TGR62" s="36"/>
      <c r="TGS62" s="36"/>
      <c r="TGT62" s="36"/>
      <c r="TGU62" s="36"/>
      <c r="TGV62" s="36"/>
      <c r="TGW62" s="36"/>
      <c r="TGX62" s="36"/>
      <c r="TGY62" s="36"/>
      <c r="TGZ62" s="36"/>
      <c r="THA62" s="36"/>
      <c r="THB62" s="36"/>
      <c r="THC62" s="36"/>
      <c r="THD62" s="36"/>
      <c r="THE62" s="36"/>
      <c r="THF62" s="36"/>
      <c r="THG62" s="36"/>
      <c r="THH62" s="36"/>
      <c r="THI62" s="36"/>
      <c r="THJ62" s="36"/>
      <c r="THK62" s="36"/>
      <c r="THL62" s="36"/>
      <c r="THM62" s="36"/>
      <c r="THN62" s="36"/>
      <c r="THO62" s="36"/>
      <c r="THP62" s="36"/>
      <c r="THQ62" s="36"/>
      <c r="THR62" s="36"/>
      <c r="THS62" s="36"/>
      <c r="THT62" s="36"/>
      <c r="THU62" s="36"/>
      <c r="THV62" s="36"/>
      <c r="THW62" s="36"/>
      <c r="THX62" s="36"/>
      <c r="THY62" s="36"/>
      <c r="THZ62" s="36"/>
      <c r="TIA62" s="36"/>
      <c r="TIB62" s="36"/>
      <c r="TIC62" s="36"/>
      <c r="TID62" s="36"/>
      <c r="TIE62" s="36"/>
      <c r="TIF62" s="36"/>
      <c r="TIG62" s="36"/>
      <c r="TIH62" s="36"/>
      <c r="TII62" s="36"/>
      <c r="TIJ62" s="36"/>
      <c r="TIK62" s="36"/>
      <c r="TIL62" s="36"/>
      <c r="TIM62" s="36"/>
      <c r="TIN62" s="36"/>
      <c r="TIO62" s="36"/>
      <c r="TIP62" s="36"/>
      <c r="TIQ62" s="36"/>
      <c r="TIR62" s="36"/>
      <c r="TIS62" s="36"/>
      <c r="TIT62" s="36"/>
      <c r="TIU62" s="36"/>
      <c r="TIV62" s="36"/>
      <c r="TIW62" s="36"/>
      <c r="TIX62" s="36"/>
      <c r="TIY62" s="36"/>
      <c r="TIZ62" s="36"/>
      <c r="TJA62" s="36"/>
      <c r="TJB62" s="36"/>
      <c r="TJC62" s="36"/>
      <c r="TJD62" s="36"/>
      <c r="TJE62" s="36"/>
      <c r="TJF62" s="36"/>
      <c r="TJG62" s="36"/>
      <c r="TJH62" s="36"/>
      <c r="TJI62" s="36"/>
      <c r="TJJ62" s="36"/>
      <c r="TJK62" s="36"/>
      <c r="TJL62" s="36"/>
      <c r="TJM62" s="36"/>
      <c r="TJN62" s="36"/>
      <c r="TJO62" s="36"/>
      <c r="TJP62" s="36"/>
      <c r="TJQ62" s="36"/>
      <c r="TJR62" s="36"/>
      <c r="TJS62" s="36"/>
      <c r="TJT62" s="36"/>
      <c r="TJU62" s="36"/>
      <c r="TJV62" s="36"/>
      <c r="TJW62" s="36"/>
      <c r="TJX62" s="36"/>
      <c r="TJY62" s="36"/>
      <c r="TJZ62" s="36"/>
      <c r="TKA62" s="36"/>
      <c r="TKB62" s="36"/>
      <c r="TKC62" s="36"/>
      <c r="TKD62" s="36"/>
      <c r="TKE62" s="36"/>
      <c r="TKF62" s="36"/>
      <c r="TKG62" s="36"/>
      <c r="TKH62" s="36"/>
      <c r="TKI62" s="36"/>
      <c r="TKJ62" s="36"/>
      <c r="TKK62" s="36"/>
      <c r="TKL62" s="36"/>
      <c r="TKM62" s="36"/>
      <c r="TKN62" s="36"/>
      <c r="TKO62" s="36"/>
      <c r="TKP62" s="36"/>
      <c r="TKQ62" s="36"/>
      <c r="TKR62" s="36"/>
      <c r="TKS62" s="36"/>
      <c r="TKT62" s="36"/>
      <c r="TKU62" s="36"/>
      <c r="TKV62" s="36"/>
      <c r="TKW62" s="36"/>
      <c r="TKX62" s="36"/>
      <c r="TKY62" s="36"/>
      <c r="TKZ62" s="36"/>
      <c r="TLA62" s="36"/>
      <c r="TLB62" s="36"/>
      <c r="TLC62" s="36"/>
      <c r="TLD62" s="36"/>
      <c r="TLE62" s="36"/>
      <c r="TLF62" s="36"/>
      <c r="TLG62" s="36"/>
      <c r="TLH62" s="36"/>
      <c r="TLI62" s="36"/>
      <c r="TLJ62" s="36"/>
      <c r="TLK62" s="36"/>
      <c r="TLL62" s="36"/>
      <c r="TLM62" s="36"/>
      <c r="TLN62" s="36"/>
      <c r="TLO62" s="36"/>
      <c r="TLP62" s="36"/>
      <c r="TLQ62" s="36"/>
      <c r="TLR62" s="36"/>
      <c r="TLS62" s="36"/>
      <c r="TLT62" s="36"/>
      <c r="TLU62" s="36"/>
      <c r="TLV62" s="36"/>
      <c r="TLW62" s="36"/>
      <c r="TLX62" s="36"/>
      <c r="TLY62" s="36"/>
      <c r="TLZ62" s="36"/>
      <c r="TMA62" s="36"/>
      <c r="TMB62" s="36"/>
      <c r="TMC62" s="36"/>
      <c r="TMD62" s="36"/>
      <c r="TME62" s="36"/>
      <c r="TMF62" s="36"/>
      <c r="TMG62" s="36"/>
      <c r="TMH62" s="36"/>
      <c r="TMI62" s="36"/>
      <c r="TMJ62" s="36"/>
      <c r="TMK62" s="36"/>
      <c r="TML62" s="36"/>
      <c r="TMM62" s="36"/>
      <c r="TMN62" s="36"/>
      <c r="TMO62" s="36"/>
      <c r="TMP62" s="36"/>
      <c r="TMQ62" s="36"/>
      <c r="TMR62" s="36"/>
      <c r="TMS62" s="36"/>
      <c r="TMT62" s="36"/>
      <c r="TMU62" s="36"/>
      <c r="TMV62" s="36"/>
      <c r="TMW62" s="36"/>
      <c r="TMX62" s="36"/>
      <c r="TMY62" s="36"/>
      <c r="TMZ62" s="36"/>
      <c r="TNA62" s="36"/>
      <c r="TNB62" s="36"/>
      <c r="TNC62" s="36"/>
      <c r="TND62" s="36"/>
      <c r="TNE62" s="36"/>
      <c r="TNF62" s="36"/>
      <c r="TNG62" s="36"/>
      <c r="TNH62" s="36"/>
      <c r="TNI62" s="36"/>
      <c r="TNJ62" s="36"/>
      <c r="TNK62" s="36"/>
      <c r="TNL62" s="36"/>
      <c r="TNM62" s="36"/>
      <c r="TNN62" s="36"/>
      <c r="TNO62" s="36"/>
      <c r="TNP62" s="36"/>
      <c r="TNQ62" s="36"/>
      <c r="TNR62" s="36"/>
      <c r="TNS62" s="36"/>
      <c r="TNT62" s="36"/>
      <c r="TNU62" s="36"/>
      <c r="TNV62" s="36"/>
      <c r="TNW62" s="36"/>
      <c r="TNX62" s="36"/>
      <c r="TNY62" s="36"/>
      <c r="TNZ62" s="36"/>
      <c r="TOA62" s="36"/>
      <c r="TOB62" s="36"/>
      <c r="TOC62" s="36"/>
      <c r="TOD62" s="36"/>
      <c r="TOE62" s="36"/>
      <c r="TOF62" s="36"/>
      <c r="TOG62" s="36"/>
      <c r="TOH62" s="36"/>
      <c r="TOI62" s="36"/>
      <c r="TOJ62" s="36"/>
      <c r="TOK62" s="36"/>
      <c r="TOL62" s="36"/>
      <c r="TOM62" s="36"/>
      <c r="TON62" s="36"/>
      <c r="TOO62" s="36"/>
      <c r="TOP62" s="36"/>
      <c r="TOQ62" s="36"/>
      <c r="TOR62" s="36"/>
      <c r="TOS62" s="36"/>
      <c r="TOT62" s="36"/>
      <c r="TOU62" s="36"/>
      <c r="TOV62" s="36"/>
      <c r="TOW62" s="36"/>
      <c r="TOX62" s="36"/>
      <c r="TOY62" s="36"/>
      <c r="TOZ62" s="36"/>
      <c r="TPA62" s="36"/>
      <c r="TPB62" s="36"/>
      <c r="TPC62" s="36"/>
      <c r="TPD62" s="36"/>
      <c r="TPE62" s="36"/>
      <c r="TPF62" s="36"/>
      <c r="TPG62" s="36"/>
      <c r="TPH62" s="36"/>
      <c r="TPI62" s="36"/>
      <c r="TPJ62" s="36"/>
      <c r="TPK62" s="36"/>
      <c r="TPL62" s="36"/>
      <c r="TPM62" s="36"/>
      <c r="TPN62" s="36"/>
      <c r="TPO62" s="36"/>
      <c r="TPP62" s="36"/>
      <c r="TPQ62" s="36"/>
      <c r="TPR62" s="36"/>
      <c r="TPS62" s="36"/>
      <c r="TPT62" s="36"/>
      <c r="TPU62" s="36"/>
      <c r="TPV62" s="36"/>
      <c r="TPW62" s="36"/>
      <c r="TPX62" s="36"/>
      <c r="TPY62" s="36"/>
      <c r="TPZ62" s="36"/>
      <c r="TQA62" s="36"/>
      <c r="TQB62" s="36"/>
      <c r="TQC62" s="36"/>
      <c r="TQD62" s="36"/>
      <c r="TQE62" s="36"/>
      <c r="TQF62" s="36"/>
      <c r="TQG62" s="36"/>
      <c r="TQH62" s="36"/>
      <c r="TQI62" s="36"/>
      <c r="TQJ62" s="36"/>
      <c r="TQK62" s="36"/>
      <c r="TQL62" s="36"/>
      <c r="TQM62" s="36"/>
      <c r="TQN62" s="36"/>
      <c r="TQO62" s="36"/>
      <c r="TQP62" s="36"/>
      <c r="TQQ62" s="36"/>
      <c r="TQR62" s="36"/>
      <c r="TQS62" s="36"/>
      <c r="TQT62" s="36"/>
      <c r="TQU62" s="36"/>
      <c r="TQV62" s="36"/>
      <c r="TQW62" s="36"/>
      <c r="TQX62" s="36"/>
      <c r="TQY62" s="36"/>
      <c r="TQZ62" s="36"/>
      <c r="TRA62" s="36"/>
      <c r="TRB62" s="36"/>
      <c r="TRC62" s="36"/>
      <c r="TRD62" s="36"/>
      <c r="TRE62" s="36"/>
      <c r="TRF62" s="36"/>
      <c r="TRG62" s="36"/>
      <c r="TRH62" s="36"/>
      <c r="TRI62" s="36"/>
      <c r="TRJ62" s="36"/>
      <c r="TRK62" s="36"/>
      <c r="TRL62" s="36"/>
      <c r="TRM62" s="36"/>
      <c r="TRN62" s="36"/>
      <c r="TRO62" s="36"/>
      <c r="TRP62" s="36"/>
      <c r="TRQ62" s="36"/>
      <c r="TRR62" s="36"/>
      <c r="TRS62" s="36"/>
      <c r="TRT62" s="36"/>
      <c r="TRU62" s="36"/>
      <c r="TRV62" s="36"/>
      <c r="TRW62" s="36"/>
      <c r="TRX62" s="36"/>
      <c r="TRY62" s="36"/>
      <c r="TRZ62" s="36"/>
      <c r="TSA62" s="36"/>
      <c r="TSB62" s="36"/>
      <c r="TSC62" s="36"/>
      <c r="TSD62" s="36"/>
      <c r="TSE62" s="36"/>
      <c r="TSF62" s="36"/>
      <c r="TSG62" s="36"/>
      <c r="TSH62" s="36"/>
      <c r="TSI62" s="36"/>
      <c r="TSJ62" s="36"/>
      <c r="TSK62" s="36"/>
      <c r="TSL62" s="36"/>
      <c r="TSM62" s="36"/>
      <c r="TSN62" s="36"/>
      <c r="TSO62" s="36"/>
      <c r="TSP62" s="36"/>
      <c r="TSQ62" s="36"/>
      <c r="TSR62" s="36"/>
      <c r="TSS62" s="36"/>
      <c r="TST62" s="36"/>
      <c r="TSU62" s="36"/>
      <c r="TSV62" s="36"/>
      <c r="TSW62" s="36"/>
      <c r="TSX62" s="36"/>
      <c r="TSY62" s="36"/>
      <c r="TSZ62" s="36"/>
      <c r="TTA62" s="36"/>
      <c r="TTB62" s="36"/>
      <c r="TTC62" s="36"/>
      <c r="TTD62" s="36"/>
      <c r="TTE62" s="36"/>
      <c r="TTF62" s="36"/>
      <c r="TTG62" s="36"/>
      <c r="TTH62" s="36"/>
      <c r="TTI62" s="36"/>
      <c r="TTJ62" s="36"/>
      <c r="TTK62" s="36"/>
      <c r="TTL62" s="36"/>
      <c r="TTM62" s="36"/>
      <c r="TTN62" s="36"/>
      <c r="TTO62" s="36"/>
      <c r="TTP62" s="36"/>
      <c r="TTQ62" s="36"/>
      <c r="TTR62" s="36"/>
      <c r="TTS62" s="36"/>
      <c r="TTT62" s="36"/>
      <c r="TTU62" s="36"/>
      <c r="TTV62" s="36"/>
      <c r="TTW62" s="36"/>
      <c r="TTX62" s="36"/>
      <c r="TTY62" s="36"/>
      <c r="TTZ62" s="36"/>
      <c r="TUA62" s="36"/>
      <c r="TUB62" s="36"/>
      <c r="TUC62" s="36"/>
      <c r="TUD62" s="36"/>
      <c r="TUE62" s="36"/>
      <c r="TUF62" s="36"/>
      <c r="TUG62" s="36"/>
      <c r="TUH62" s="36"/>
      <c r="TUI62" s="36"/>
      <c r="TUJ62" s="36"/>
      <c r="TUK62" s="36"/>
      <c r="TUL62" s="36"/>
      <c r="TUM62" s="36"/>
      <c r="TUN62" s="36"/>
      <c r="TUO62" s="36"/>
      <c r="TUP62" s="36"/>
      <c r="TUQ62" s="36"/>
      <c r="TUR62" s="36"/>
      <c r="TUS62" s="36"/>
      <c r="TUT62" s="36"/>
      <c r="TUU62" s="36"/>
      <c r="TUV62" s="36"/>
      <c r="TUW62" s="36"/>
      <c r="TUX62" s="36"/>
      <c r="TUY62" s="36"/>
      <c r="TUZ62" s="36"/>
      <c r="TVA62" s="36"/>
      <c r="TVB62" s="36"/>
      <c r="TVC62" s="36"/>
      <c r="TVD62" s="36"/>
      <c r="TVE62" s="36"/>
      <c r="TVF62" s="36"/>
      <c r="TVG62" s="36"/>
      <c r="TVH62" s="36"/>
      <c r="TVI62" s="36"/>
      <c r="TVJ62" s="36"/>
      <c r="TVK62" s="36"/>
      <c r="TVL62" s="36"/>
      <c r="TVM62" s="36"/>
      <c r="TVN62" s="36"/>
      <c r="TVO62" s="36"/>
      <c r="TVP62" s="36"/>
      <c r="TVQ62" s="36"/>
      <c r="TVR62" s="36"/>
      <c r="TVS62" s="36"/>
      <c r="TVT62" s="36"/>
      <c r="TVU62" s="36"/>
      <c r="TVV62" s="36"/>
      <c r="TVW62" s="36"/>
      <c r="TVX62" s="36"/>
      <c r="TVY62" s="36"/>
      <c r="TVZ62" s="36"/>
      <c r="TWA62" s="36"/>
      <c r="TWB62" s="36"/>
      <c r="TWC62" s="36"/>
      <c r="TWD62" s="36"/>
      <c r="TWE62" s="36"/>
      <c r="TWF62" s="36"/>
      <c r="TWG62" s="36"/>
      <c r="TWH62" s="36"/>
      <c r="TWI62" s="36"/>
      <c r="TWJ62" s="36"/>
      <c r="TWK62" s="36"/>
      <c r="TWL62" s="36"/>
      <c r="TWM62" s="36"/>
      <c r="TWN62" s="36"/>
      <c r="TWO62" s="36"/>
      <c r="TWP62" s="36"/>
      <c r="TWQ62" s="36"/>
      <c r="TWR62" s="36"/>
      <c r="TWS62" s="36"/>
      <c r="TWT62" s="36"/>
      <c r="TWU62" s="36"/>
      <c r="TWV62" s="36"/>
      <c r="TWW62" s="36"/>
      <c r="TWX62" s="36"/>
      <c r="TWY62" s="36"/>
      <c r="TWZ62" s="36"/>
      <c r="TXA62" s="36"/>
      <c r="TXB62" s="36"/>
      <c r="TXC62" s="36"/>
      <c r="TXD62" s="36"/>
      <c r="TXE62" s="36"/>
      <c r="TXF62" s="36"/>
      <c r="TXG62" s="36"/>
      <c r="TXH62" s="36"/>
      <c r="TXI62" s="36"/>
      <c r="TXJ62" s="36"/>
      <c r="TXK62" s="36"/>
      <c r="TXL62" s="36"/>
      <c r="TXM62" s="36"/>
      <c r="TXN62" s="36"/>
      <c r="TXO62" s="36"/>
      <c r="TXP62" s="36"/>
      <c r="TXQ62" s="36"/>
      <c r="TXR62" s="36"/>
      <c r="TXS62" s="36"/>
      <c r="TXT62" s="36"/>
      <c r="TXU62" s="36"/>
      <c r="TXV62" s="36"/>
      <c r="TXW62" s="36"/>
      <c r="TXX62" s="36"/>
      <c r="TXY62" s="36"/>
      <c r="TXZ62" s="36"/>
      <c r="TYA62" s="36"/>
      <c r="TYB62" s="36"/>
      <c r="TYC62" s="36"/>
      <c r="TYD62" s="36"/>
      <c r="TYE62" s="36"/>
      <c r="TYF62" s="36"/>
      <c r="TYG62" s="36"/>
      <c r="TYH62" s="36"/>
      <c r="TYI62" s="36"/>
      <c r="TYJ62" s="36"/>
      <c r="TYK62" s="36"/>
      <c r="TYL62" s="36"/>
      <c r="TYM62" s="36"/>
      <c r="TYN62" s="36"/>
      <c r="TYO62" s="36"/>
      <c r="TYP62" s="36"/>
      <c r="TYQ62" s="36"/>
      <c r="TYR62" s="36"/>
      <c r="TYS62" s="36"/>
      <c r="TYT62" s="36"/>
      <c r="TYU62" s="36"/>
      <c r="TYV62" s="36"/>
      <c r="TYW62" s="36"/>
      <c r="TYX62" s="36"/>
      <c r="TYY62" s="36"/>
      <c r="TYZ62" s="36"/>
      <c r="TZA62" s="36"/>
      <c r="TZB62" s="36"/>
      <c r="TZC62" s="36"/>
      <c r="TZD62" s="36"/>
      <c r="TZE62" s="36"/>
      <c r="TZF62" s="36"/>
      <c r="TZG62" s="36"/>
      <c r="TZH62" s="36"/>
      <c r="TZI62" s="36"/>
      <c r="TZJ62" s="36"/>
      <c r="TZK62" s="36"/>
      <c r="TZL62" s="36"/>
      <c r="TZM62" s="36"/>
      <c r="TZN62" s="36"/>
      <c r="TZO62" s="36"/>
      <c r="TZP62" s="36"/>
      <c r="TZQ62" s="36"/>
      <c r="TZR62" s="36"/>
      <c r="TZS62" s="36"/>
      <c r="TZT62" s="36"/>
      <c r="TZU62" s="36"/>
      <c r="TZV62" s="36"/>
      <c r="TZW62" s="36"/>
      <c r="TZX62" s="36"/>
      <c r="TZY62" s="36"/>
      <c r="TZZ62" s="36"/>
      <c r="UAA62" s="36"/>
      <c r="UAB62" s="36"/>
      <c r="UAC62" s="36"/>
      <c r="UAD62" s="36"/>
      <c r="UAE62" s="36"/>
      <c r="UAF62" s="36"/>
      <c r="UAG62" s="36"/>
      <c r="UAH62" s="36"/>
      <c r="UAI62" s="36"/>
      <c r="UAJ62" s="36"/>
      <c r="UAK62" s="36"/>
      <c r="UAL62" s="36"/>
      <c r="UAM62" s="36"/>
      <c r="UAN62" s="36"/>
      <c r="UAO62" s="36"/>
      <c r="UAP62" s="36"/>
      <c r="UAQ62" s="36"/>
      <c r="UAR62" s="36"/>
      <c r="UAS62" s="36"/>
      <c r="UAT62" s="36"/>
      <c r="UAU62" s="36"/>
      <c r="UAV62" s="36"/>
      <c r="UAW62" s="36"/>
      <c r="UAX62" s="36"/>
      <c r="UAY62" s="36"/>
      <c r="UAZ62" s="36"/>
      <c r="UBA62" s="36"/>
      <c r="UBB62" s="36"/>
      <c r="UBC62" s="36"/>
      <c r="UBD62" s="36"/>
      <c r="UBE62" s="36"/>
      <c r="UBF62" s="36"/>
      <c r="UBG62" s="36"/>
      <c r="UBH62" s="36"/>
      <c r="UBI62" s="36"/>
      <c r="UBJ62" s="36"/>
      <c r="UBK62" s="36"/>
      <c r="UBL62" s="36"/>
      <c r="UBM62" s="36"/>
      <c r="UBN62" s="36"/>
      <c r="UBO62" s="36"/>
      <c r="UBP62" s="36"/>
      <c r="UBQ62" s="36"/>
      <c r="UBR62" s="36"/>
      <c r="UBS62" s="36"/>
      <c r="UBT62" s="36"/>
      <c r="UBU62" s="36"/>
      <c r="UBV62" s="36"/>
      <c r="UBW62" s="36"/>
      <c r="UBX62" s="36"/>
      <c r="UBY62" s="36"/>
      <c r="UBZ62" s="36"/>
      <c r="UCA62" s="36"/>
      <c r="UCB62" s="36"/>
      <c r="UCC62" s="36"/>
      <c r="UCD62" s="36"/>
      <c r="UCE62" s="36"/>
      <c r="UCF62" s="36"/>
      <c r="UCG62" s="36"/>
      <c r="UCH62" s="36"/>
      <c r="UCI62" s="36"/>
      <c r="UCJ62" s="36"/>
      <c r="UCK62" s="36"/>
      <c r="UCL62" s="36"/>
      <c r="UCM62" s="36"/>
      <c r="UCN62" s="36"/>
      <c r="UCO62" s="36"/>
      <c r="UCP62" s="36"/>
      <c r="UCQ62" s="36"/>
      <c r="UCR62" s="36"/>
      <c r="UCS62" s="36"/>
      <c r="UCT62" s="36"/>
      <c r="UCU62" s="36"/>
      <c r="UCV62" s="36"/>
      <c r="UCW62" s="36"/>
      <c r="UCX62" s="36"/>
      <c r="UCY62" s="36"/>
      <c r="UCZ62" s="36"/>
      <c r="UDA62" s="36"/>
      <c r="UDB62" s="36"/>
      <c r="UDC62" s="36"/>
      <c r="UDD62" s="36"/>
      <c r="UDE62" s="36"/>
      <c r="UDF62" s="36"/>
      <c r="UDG62" s="36"/>
      <c r="UDH62" s="36"/>
      <c r="UDI62" s="36"/>
      <c r="UDJ62" s="36"/>
      <c r="UDK62" s="36"/>
      <c r="UDL62" s="36"/>
      <c r="UDM62" s="36"/>
      <c r="UDN62" s="36"/>
      <c r="UDO62" s="36"/>
      <c r="UDP62" s="36"/>
      <c r="UDQ62" s="36"/>
      <c r="UDR62" s="36"/>
      <c r="UDS62" s="36"/>
      <c r="UDT62" s="36"/>
      <c r="UDU62" s="36"/>
      <c r="UDV62" s="36"/>
      <c r="UDW62" s="36"/>
      <c r="UDX62" s="36"/>
      <c r="UDY62" s="36"/>
      <c r="UDZ62" s="36"/>
      <c r="UEA62" s="36"/>
      <c r="UEB62" s="36"/>
      <c r="UEC62" s="36"/>
      <c r="UED62" s="36"/>
      <c r="UEE62" s="36"/>
      <c r="UEF62" s="36"/>
      <c r="UEG62" s="36"/>
      <c r="UEH62" s="36"/>
      <c r="UEI62" s="36"/>
      <c r="UEJ62" s="36"/>
      <c r="UEK62" s="36"/>
      <c r="UEL62" s="36"/>
      <c r="UEM62" s="36"/>
      <c r="UEN62" s="36"/>
      <c r="UEO62" s="36"/>
      <c r="UEP62" s="36"/>
      <c r="UEQ62" s="36"/>
      <c r="UER62" s="36"/>
      <c r="UES62" s="36"/>
      <c r="UET62" s="36"/>
      <c r="UEU62" s="36"/>
      <c r="UEV62" s="36"/>
      <c r="UEW62" s="36"/>
      <c r="UEX62" s="36"/>
      <c r="UEY62" s="36"/>
      <c r="UEZ62" s="36"/>
      <c r="UFA62" s="36"/>
      <c r="UFB62" s="36"/>
      <c r="UFC62" s="36"/>
      <c r="UFD62" s="36"/>
      <c r="UFE62" s="36"/>
      <c r="UFF62" s="36"/>
      <c r="UFG62" s="36"/>
      <c r="UFH62" s="36"/>
      <c r="UFI62" s="36"/>
      <c r="UFJ62" s="36"/>
      <c r="UFK62" s="36"/>
      <c r="UFL62" s="36"/>
      <c r="UFM62" s="36"/>
      <c r="UFN62" s="36"/>
      <c r="UFO62" s="36"/>
      <c r="UFP62" s="36"/>
      <c r="UFQ62" s="36"/>
      <c r="UFR62" s="36"/>
      <c r="UFS62" s="36"/>
      <c r="UFT62" s="36"/>
      <c r="UFU62" s="36"/>
      <c r="UFV62" s="36"/>
      <c r="UFW62" s="36"/>
      <c r="UFX62" s="36"/>
      <c r="UFY62" s="36"/>
      <c r="UFZ62" s="36"/>
      <c r="UGA62" s="36"/>
      <c r="UGB62" s="36"/>
      <c r="UGC62" s="36"/>
      <c r="UGD62" s="36"/>
      <c r="UGE62" s="36"/>
      <c r="UGF62" s="36"/>
      <c r="UGG62" s="36"/>
      <c r="UGH62" s="36"/>
      <c r="UGI62" s="36"/>
      <c r="UGJ62" s="36"/>
      <c r="UGK62" s="36"/>
      <c r="UGL62" s="36"/>
      <c r="UGM62" s="36"/>
      <c r="UGN62" s="36"/>
      <c r="UGO62" s="36"/>
      <c r="UGP62" s="36"/>
      <c r="UGQ62" s="36"/>
      <c r="UGR62" s="36"/>
      <c r="UGS62" s="36"/>
      <c r="UGT62" s="36"/>
      <c r="UGU62" s="36"/>
      <c r="UGV62" s="36"/>
      <c r="UGW62" s="36"/>
      <c r="UGX62" s="36"/>
      <c r="UGY62" s="36"/>
      <c r="UGZ62" s="36"/>
      <c r="UHA62" s="36"/>
      <c r="UHB62" s="36"/>
      <c r="UHC62" s="36"/>
      <c r="UHD62" s="36"/>
      <c r="UHE62" s="36"/>
      <c r="UHF62" s="36"/>
      <c r="UHG62" s="36"/>
      <c r="UHH62" s="36"/>
      <c r="UHI62" s="36"/>
      <c r="UHJ62" s="36"/>
      <c r="UHK62" s="36"/>
      <c r="UHL62" s="36"/>
      <c r="UHM62" s="36"/>
      <c r="UHN62" s="36"/>
      <c r="UHO62" s="36"/>
      <c r="UHP62" s="36"/>
      <c r="UHQ62" s="36"/>
      <c r="UHR62" s="36"/>
      <c r="UHS62" s="36"/>
      <c r="UHT62" s="36"/>
      <c r="UHU62" s="36"/>
      <c r="UHV62" s="36"/>
      <c r="UHW62" s="36"/>
      <c r="UHX62" s="36"/>
      <c r="UHY62" s="36"/>
      <c r="UHZ62" s="36"/>
      <c r="UIA62" s="36"/>
      <c r="UIB62" s="36"/>
      <c r="UIC62" s="36"/>
      <c r="UID62" s="36"/>
      <c r="UIE62" s="36"/>
      <c r="UIF62" s="36"/>
      <c r="UIG62" s="36"/>
      <c r="UIH62" s="36"/>
      <c r="UII62" s="36"/>
      <c r="UIJ62" s="36"/>
      <c r="UIK62" s="36"/>
      <c r="UIL62" s="36"/>
      <c r="UIM62" s="36"/>
      <c r="UIN62" s="36"/>
      <c r="UIO62" s="36"/>
      <c r="UIP62" s="36"/>
      <c r="UIQ62" s="36"/>
      <c r="UIR62" s="36"/>
      <c r="UIS62" s="36"/>
      <c r="UIT62" s="36"/>
      <c r="UIU62" s="36"/>
      <c r="UIV62" s="36"/>
      <c r="UIW62" s="36"/>
      <c r="UIX62" s="36"/>
      <c r="UIY62" s="36"/>
      <c r="UIZ62" s="36"/>
      <c r="UJA62" s="36"/>
      <c r="UJB62" s="36"/>
      <c r="UJC62" s="36"/>
      <c r="UJD62" s="36"/>
      <c r="UJE62" s="36"/>
      <c r="UJF62" s="36"/>
      <c r="UJG62" s="36"/>
      <c r="UJH62" s="36"/>
      <c r="UJI62" s="36"/>
      <c r="UJJ62" s="36"/>
      <c r="UJK62" s="36"/>
      <c r="UJL62" s="36"/>
      <c r="UJM62" s="36"/>
      <c r="UJN62" s="36"/>
      <c r="UJO62" s="36"/>
      <c r="UJP62" s="36"/>
      <c r="UJQ62" s="36"/>
      <c r="UJR62" s="36"/>
      <c r="UJS62" s="36"/>
      <c r="UJT62" s="36"/>
      <c r="UJU62" s="36"/>
      <c r="UJV62" s="36"/>
      <c r="UJW62" s="36"/>
      <c r="UJX62" s="36"/>
      <c r="UJY62" s="36"/>
      <c r="UJZ62" s="36"/>
      <c r="UKA62" s="36"/>
      <c r="UKB62" s="36"/>
      <c r="UKC62" s="36"/>
      <c r="UKD62" s="36"/>
      <c r="UKE62" s="36"/>
      <c r="UKF62" s="36"/>
      <c r="UKG62" s="36"/>
      <c r="UKH62" s="36"/>
      <c r="UKI62" s="36"/>
      <c r="UKJ62" s="36"/>
      <c r="UKK62" s="36"/>
      <c r="UKL62" s="36"/>
      <c r="UKM62" s="36"/>
      <c r="UKN62" s="36"/>
      <c r="UKO62" s="36"/>
      <c r="UKP62" s="36"/>
      <c r="UKQ62" s="36"/>
      <c r="UKR62" s="36"/>
      <c r="UKS62" s="36"/>
      <c r="UKT62" s="36"/>
      <c r="UKU62" s="36"/>
      <c r="UKV62" s="36"/>
      <c r="UKW62" s="36"/>
      <c r="UKX62" s="36"/>
      <c r="UKY62" s="36"/>
      <c r="UKZ62" s="36"/>
      <c r="ULA62" s="36"/>
      <c r="ULB62" s="36"/>
      <c r="ULC62" s="36"/>
      <c r="ULD62" s="36"/>
      <c r="ULE62" s="36"/>
      <c r="ULF62" s="36"/>
      <c r="ULG62" s="36"/>
      <c r="ULH62" s="36"/>
      <c r="ULI62" s="36"/>
      <c r="ULJ62" s="36"/>
      <c r="ULK62" s="36"/>
      <c r="ULL62" s="36"/>
      <c r="ULM62" s="36"/>
      <c r="ULN62" s="36"/>
      <c r="ULO62" s="36"/>
      <c r="ULP62" s="36"/>
      <c r="ULQ62" s="36"/>
      <c r="ULR62" s="36"/>
      <c r="ULS62" s="36"/>
      <c r="ULT62" s="36"/>
      <c r="ULU62" s="36"/>
      <c r="ULV62" s="36"/>
      <c r="ULW62" s="36"/>
      <c r="ULX62" s="36"/>
      <c r="ULY62" s="36"/>
      <c r="ULZ62" s="36"/>
      <c r="UMA62" s="36"/>
      <c r="UMB62" s="36"/>
      <c r="UMC62" s="36"/>
      <c r="UMD62" s="36"/>
      <c r="UME62" s="36"/>
      <c r="UMF62" s="36"/>
      <c r="UMG62" s="36"/>
      <c r="UMH62" s="36"/>
      <c r="UMI62" s="36"/>
      <c r="UMJ62" s="36"/>
      <c r="UMK62" s="36"/>
      <c r="UML62" s="36"/>
      <c r="UMM62" s="36"/>
      <c r="UMN62" s="36"/>
      <c r="UMO62" s="36"/>
      <c r="UMP62" s="36"/>
      <c r="UMQ62" s="36"/>
      <c r="UMR62" s="36"/>
      <c r="UMS62" s="36"/>
      <c r="UMT62" s="36"/>
      <c r="UMU62" s="36"/>
      <c r="UMV62" s="36"/>
      <c r="UMW62" s="36"/>
      <c r="UMX62" s="36"/>
      <c r="UMY62" s="36"/>
      <c r="UMZ62" s="36"/>
      <c r="UNA62" s="36"/>
      <c r="UNB62" s="36"/>
      <c r="UNC62" s="36"/>
      <c r="UND62" s="36"/>
      <c r="UNE62" s="36"/>
      <c r="UNF62" s="36"/>
      <c r="UNG62" s="36"/>
      <c r="UNH62" s="36"/>
      <c r="UNI62" s="36"/>
      <c r="UNJ62" s="36"/>
      <c r="UNK62" s="36"/>
      <c r="UNL62" s="36"/>
      <c r="UNM62" s="36"/>
      <c r="UNN62" s="36"/>
      <c r="UNO62" s="36"/>
      <c r="UNP62" s="36"/>
      <c r="UNQ62" s="36"/>
      <c r="UNR62" s="36"/>
      <c r="UNS62" s="36"/>
      <c r="UNT62" s="36"/>
      <c r="UNU62" s="36"/>
      <c r="UNV62" s="36"/>
      <c r="UNW62" s="36"/>
      <c r="UNX62" s="36"/>
      <c r="UNY62" s="36"/>
      <c r="UNZ62" s="36"/>
      <c r="UOA62" s="36"/>
      <c r="UOB62" s="36"/>
      <c r="UOC62" s="36"/>
      <c r="UOD62" s="36"/>
      <c r="UOE62" s="36"/>
      <c r="UOF62" s="36"/>
      <c r="UOG62" s="36"/>
      <c r="UOH62" s="36"/>
      <c r="UOI62" s="36"/>
      <c r="UOJ62" s="36"/>
      <c r="UOK62" s="36"/>
      <c r="UOL62" s="36"/>
      <c r="UOM62" s="36"/>
      <c r="UON62" s="36"/>
      <c r="UOO62" s="36"/>
      <c r="UOP62" s="36"/>
      <c r="UOQ62" s="36"/>
      <c r="UOR62" s="36"/>
      <c r="UOS62" s="36"/>
      <c r="UOT62" s="36"/>
      <c r="UOU62" s="36"/>
      <c r="UOV62" s="36"/>
      <c r="UOW62" s="36"/>
      <c r="UOX62" s="36"/>
      <c r="UOY62" s="36"/>
      <c r="UOZ62" s="36"/>
      <c r="UPA62" s="36"/>
      <c r="UPB62" s="36"/>
      <c r="UPC62" s="36"/>
      <c r="UPD62" s="36"/>
      <c r="UPE62" s="36"/>
      <c r="UPF62" s="36"/>
      <c r="UPG62" s="36"/>
      <c r="UPH62" s="36"/>
      <c r="UPI62" s="36"/>
      <c r="UPJ62" s="36"/>
      <c r="UPK62" s="36"/>
      <c r="UPL62" s="36"/>
      <c r="UPM62" s="36"/>
      <c r="UPN62" s="36"/>
      <c r="UPO62" s="36"/>
      <c r="UPP62" s="36"/>
      <c r="UPQ62" s="36"/>
      <c r="UPR62" s="36"/>
      <c r="UPS62" s="36"/>
      <c r="UPT62" s="36"/>
      <c r="UPU62" s="36"/>
      <c r="UPV62" s="36"/>
      <c r="UPW62" s="36"/>
      <c r="UPX62" s="36"/>
      <c r="UPY62" s="36"/>
      <c r="UPZ62" s="36"/>
      <c r="UQA62" s="36"/>
      <c r="UQB62" s="36"/>
      <c r="UQC62" s="36"/>
      <c r="UQD62" s="36"/>
      <c r="UQE62" s="36"/>
      <c r="UQF62" s="36"/>
      <c r="UQG62" s="36"/>
      <c r="UQH62" s="36"/>
      <c r="UQI62" s="36"/>
      <c r="UQJ62" s="36"/>
      <c r="UQK62" s="36"/>
      <c r="UQL62" s="36"/>
      <c r="UQM62" s="36"/>
      <c r="UQN62" s="36"/>
      <c r="UQO62" s="36"/>
      <c r="UQP62" s="36"/>
      <c r="UQQ62" s="36"/>
      <c r="UQR62" s="36"/>
      <c r="UQS62" s="36"/>
      <c r="UQT62" s="36"/>
      <c r="UQU62" s="36"/>
      <c r="UQV62" s="36"/>
      <c r="UQW62" s="36"/>
      <c r="UQX62" s="36"/>
      <c r="UQY62" s="36"/>
      <c r="UQZ62" s="36"/>
      <c r="URA62" s="36"/>
      <c r="URB62" s="36"/>
      <c r="URC62" s="36"/>
      <c r="URD62" s="36"/>
      <c r="URE62" s="36"/>
      <c r="URF62" s="36"/>
      <c r="URG62" s="36"/>
      <c r="URH62" s="36"/>
      <c r="URI62" s="36"/>
      <c r="URJ62" s="36"/>
      <c r="URK62" s="36"/>
      <c r="URL62" s="36"/>
      <c r="URM62" s="36"/>
      <c r="URN62" s="36"/>
      <c r="URO62" s="36"/>
      <c r="URP62" s="36"/>
      <c r="URQ62" s="36"/>
      <c r="URR62" s="36"/>
      <c r="URS62" s="36"/>
      <c r="URT62" s="36"/>
      <c r="URU62" s="36"/>
      <c r="URV62" s="36"/>
      <c r="URW62" s="36"/>
      <c r="URX62" s="36"/>
      <c r="URY62" s="36"/>
      <c r="URZ62" s="36"/>
      <c r="USA62" s="36"/>
      <c r="USB62" s="36"/>
      <c r="USC62" s="36"/>
      <c r="USD62" s="36"/>
      <c r="USE62" s="36"/>
      <c r="USF62" s="36"/>
      <c r="USG62" s="36"/>
      <c r="USH62" s="36"/>
      <c r="USI62" s="36"/>
      <c r="USJ62" s="36"/>
      <c r="USK62" s="36"/>
      <c r="USL62" s="36"/>
      <c r="USM62" s="36"/>
      <c r="USN62" s="36"/>
      <c r="USO62" s="36"/>
      <c r="USP62" s="36"/>
      <c r="USQ62" s="36"/>
      <c r="USR62" s="36"/>
      <c r="USS62" s="36"/>
      <c r="UST62" s="36"/>
      <c r="USU62" s="36"/>
      <c r="USV62" s="36"/>
      <c r="USW62" s="36"/>
      <c r="USX62" s="36"/>
      <c r="USY62" s="36"/>
      <c r="USZ62" s="36"/>
      <c r="UTA62" s="36"/>
      <c r="UTB62" s="36"/>
      <c r="UTC62" s="36"/>
      <c r="UTD62" s="36"/>
      <c r="UTE62" s="36"/>
      <c r="UTF62" s="36"/>
      <c r="UTG62" s="36"/>
      <c r="UTH62" s="36"/>
      <c r="UTI62" s="36"/>
      <c r="UTJ62" s="36"/>
      <c r="UTK62" s="36"/>
      <c r="UTL62" s="36"/>
      <c r="UTM62" s="36"/>
      <c r="UTN62" s="36"/>
      <c r="UTO62" s="36"/>
      <c r="UTP62" s="36"/>
      <c r="UTQ62" s="36"/>
      <c r="UTR62" s="36"/>
      <c r="UTS62" s="36"/>
      <c r="UTT62" s="36"/>
      <c r="UTU62" s="36"/>
      <c r="UTV62" s="36"/>
      <c r="UTW62" s="36"/>
      <c r="UTX62" s="36"/>
      <c r="UTY62" s="36"/>
      <c r="UTZ62" s="36"/>
      <c r="UUA62" s="36"/>
      <c r="UUB62" s="36"/>
      <c r="UUC62" s="36"/>
      <c r="UUD62" s="36"/>
      <c r="UUE62" s="36"/>
      <c r="UUF62" s="36"/>
      <c r="UUG62" s="36"/>
      <c r="UUH62" s="36"/>
      <c r="UUI62" s="36"/>
      <c r="UUJ62" s="36"/>
      <c r="UUK62" s="36"/>
      <c r="UUL62" s="36"/>
      <c r="UUM62" s="36"/>
      <c r="UUN62" s="36"/>
      <c r="UUO62" s="36"/>
      <c r="UUP62" s="36"/>
      <c r="UUQ62" s="36"/>
      <c r="UUR62" s="36"/>
      <c r="UUS62" s="36"/>
      <c r="UUT62" s="36"/>
      <c r="UUU62" s="36"/>
      <c r="UUV62" s="36"/>
      <c r="UUW62" s="36"/>
      <c r="UUX62" s="36"/>
      <c r="UUY62" s="36"/>
      <c r="UUZ62" s="36"/>
      <c r="UVA62" s="36"/>
      <c r="UVB62" s="36"/>
      <c r="UVC62" s="36"/>
      <c r="UVD62" s="36"/>
      <c r="UVE62" s="36"/>
      <c r="UVF62" s="36"/>
      <c r="UVG62" s="36"/>
      <c r="UVH62" s="36"/>
      <c r="UVI62" s="36"/>
      <c r="UVJ62" s="36"/>
      <c r="UVK62" s="36"/>
      <c r="UVL62" s="36"/>
      <c r="UVM62" s="36"/>
      <c r="UVN62" s="36"/>
      <c r="UVO62" s="36"/>
      <c r="UVP62" s="36"/>
      <c r="UVQ62" s="36"/>
      <c r="UVR62" s="36"/>
      <c r="UVS62" s="36"/>
      <c r="UVT62" s="36"/>
      <c r="UVU62" s="36"/>
      <c r="UVV62" s="36"/>
      <c r="UVW62" s="36"/>
      <c r="UVX62" s="36"/>
      <c r="UVY62" s="36"/>
      <c r="UVZ62" s="36"/>
      <c r="UWA62" s="36"/>
      <c r="UWB62" s="36"/>
      <c r="UWC62" s="36"/>
      <c r="UWD62" s="36"/>
      <c r="UWE62" s="36"/>
      <c r="UWF62" s="36"/>
      <c r="UWG62" s="36"/>
      <c r="UWH62" s="36"/>
      <c r="UWI62" s="36"/>
      <c r="UWJ62" s="36"/>
      <c r="UWK62" s="36"/>
      <c r="UWL62" s="36"/>
      <c r="UWM62" s="36"/>
      <c r="UWN62" s="36"/>
      <c r="UWO62" s="36"/>
      <c r="UWP62" s="36"/>
      <c r="UWQ62" s="36"/>
      <c r="UWR62" s="36"/>
      <c r="UWS62" s="36"/>
      <c r="UWT62" s="36"/>
      <c r="UWU62" s="36"/>
      <c r="UWV62" s="36"/>
      <c r="UWW62" s="36"/>
      <c r="UWX62" s="36"/>
      <c r="UWY62" s="36"/>
      <c r="UWZ62" s="36"/>
      <c r="UXA62" s="36"/>
      <c r="UXB62" s="36"/>
      <c r="UXC62" s="36"/>
      <c r="UXD62" s="36"/>
      <c r="UXE62" s="36"/>
      <c r="UXF62" s="36"/>
      <c r="UXG62" s="36"/>
      <c r="UXH62" s="36"/>
      <c r="UXI62" s="36"/>
      <c r="UXJ62" s="36"/>
      <c r="UXK62" s="36"/>
      <c r="UXL62" s="36"/>
      <c r="UXM62" s="36"/>
      <c r="UXN62" s="36"/>
      <c r="UXO62" s="36"/>
      <c r="UXP62" s="36"/>
      <c r="UXQ62" s="36"/>
      <c r="UXR62" s="36"/>
      <c r="UXS62" s="36"/>
      <c r="UXT62" s="36"/>
      <c r="UXU62" s="36"/>
      <c r="UXV62" s="36"/>
      <c r="UXW62" s="36"/>
      <c r="UXX62" s="36"/>
      <c r="UXY62" s="36"/>
      <c r="UXZ62" s="36"/>
      <c r="UYA62" s="36"/>
      <c r="UYB62" s="36"/>
      <c r="UYC62" s="36"/>
      <c r="UYD62" s="36"/>
      <c r="UYE62" s="36"/>
      <c r="UYF62" s="36"/>
      <c r="UYG62" s="36"/>
      <c r="UYH62" s="36"/>
      <c r="UYI62" s="36"/>
      <c r="UYJ62" s="36"/>
      <c r="UYK62" s="36"/>
      <c r="UYL62" s="36"/>
      <c r="UYM62" s="36"/>
      <c r="UYN62" s="36"/>
      <c r="UYO62" s="36"/>
      <c r="UYP62" s="36"/>
      <c r="UYQ62" s="36"/>
      <c r="UYR62" s="36"/>
      <c r="UYS62" s="36"/>
      <c r="UYT62" s="36"/>
      <c r="UYU62" s="36"/>
      <c r="UYV62" s="36"/>
      <c r="UYW62" s="36"/>
      <c r="UYX62" s="36"/>
      <c r="UYY62" s="36"/>
      <c r="UYZ62" s="36"/>
      <c r="UZA62" s="36"/>
      <c r="UZB62" s="36"/>
      <c r="UZC62" s="36"/>
      <c r="UZD62" s="36"/>
      <c r="UZE62" s="36"/>
      <c r="UZF62" s="36"/>
      <c r="UZG62" s="36"/>
      <c r="UZH62" s="36"/>
      <c r="UZI62" s="36"/>
      <c r="UZJ62" s="36"/>
      <c r="UZK62" s="36"/>
      <c r="UZL62" s="36"/>
      <c r="UZM62" s="36"/>
      <c r="UZN62" s="36"/>
      <c r="UZO62" s="36"/>
      <c r="UZP62" s="36"/>
      <c r="UZQ62" s="36"/>
      <c r="UZR62" s="36"/>
      <c r="UZS62" s="36"/>
      <c r="UZT62" s="36"/>
      <c r="UZU62" s="36"/>
      <c r="UZV62" s="36"/>
      <c r="UZW62" s="36"/>
      <c r="UZX62" s="36"/>
      <c r="UZY62" s="36"/>
      <c r="UZZ62" s="36"/>
      <c r="VAA62" s="36"/>
      <c r="VAB62" s="36"/>
      <c r="VAC62" s="36"/>
      <c r="VAD62" s="36"/>
      <c r="VAE62" s="36"/>
      <c r="VAF62" s="36"/>
      <c r="VAG62" s="36"/>
      <c r="VAH62" s="36"/>
      <c r="VAI62" s="36"/>
      <c r="VAJ62" s="36"/>
      <c r="VAK62" s="36"/>
      <c r="VAL62" s="36"/>
      <c r="VAM62" s="36"/>
      <c r="VAN62" s="36"/>
      <c r="VAO62" s="36"/>
      <c r="VAP62" s="36"/>
      <c r="VAQ62" s="36"/>
      <c r="VAR62" s="36"/>
      <c r="VAS62" s="36"/>
      <c r="VAT62" s="36"/>
      <c r="VAU62" s="36"/>
      <c r="VAV62" s="36"/>
      <c r="VAW62" s="36"/>
      <c r="VAX62" s="36"/>
      <c r="VAY62" s="36"/>
      <c r="VAZ62" s="36"/>
      <c r="VBA62" s="36"/>
      <c r="VBB62" s="36"/>
      <c r="VBC62" s="36"/>
      <c r="VBD62" s="36"/>
      <c r="VBE62" s="36"/>
      <c r="VBF62" s="36"/>
      <c r="VBG62" s="36"/>
      <c r="VBH62" s="36"/>
      <c r="VBI62" s="36"/>
      <c r="VBJ62" s="36"/>
      <c r="VBK62" s="36"/>
      <c r="VBL62" s="36"/>
      <c r="VBM62" s="36"/>
      <c r="VBN62" s="36"/>
      <c r="VBO62" s="36"/>
      <c r="VBP62" s="36"/>
      <c r="VBQ62" s="36"/>
      <c r="VBR62" s="36"/>
      <c r="VBS62" s="36"/>
      <c r="VBT62" s="36"/>
      <c r="VBU62" s="36"/>
      <c r="VBV62" s="36"/>
      <c r="VBW62" s="36"/>
      <c r="VBX62" s="36"/>
      <c r="VBY62" s="36"/>
      <c r="VBZ62" s="36"/>
      <c r="VCA62" s="36"/>
      <c r="VCB62" s="36"/>
      <c r="VCC62" s="36"/>
      <c r="VCD62" s="36"/>
      <c r="VCE62" s="36"/>
      <c r="VCF62" s="36"/>
      <c r="VCG62" s="36"/>
      <c r="VCH62" s="36"/>
      <c r="VCI62" s="36"/>
      <c r="VCJ62" s="36"/>
      <c r="VCK62" s="36"/>
      <c r="VCL62" s="36"/>
      <c r="VCM62" s="36"/>
      <c r="VCN62" s="36"/>
      <c r="VCO62" s="36"/>
      <c r="VCP62" s="36"/>
      <c r="VCQ62" s="36"/>
      <c r="VCR62" s="36"/>
      <c r="VCS62" s="36"/>
      <c r="VCT62" s="36"/>
      <c r="VCU62" s="36"/>
      <c r="VCV62" s="36"/>
      <c r="VCW62" s="36"/>
      <c r="VCX62" s="36"/>
      <c r="VCY62" s="36"/>
      <c r="VCZ62" s="36"/>
      <c r="VDA62" s="36"/>
      <c r="VDB62" s="36"/>
      <c r="VDC62" s="36"/>
      <c r="VDD62" s="36"/>
      <c r="VDE62" s="36"/>
      <c r="VDF62" s="36"/>
      <c r="VDG62" s="36"/>
      <c r="VDH62" s="36"/>
      <c r="VDI62" s="36"/>
      <c r="VDJ62" s="36"/>
      <c r="VDK62" s="36"/>
      <c r="VDL62" s="36"/>
      <c r="VDM62" s="36"/>
      <c r="VDN62" s="36"/>
      <c r="VDO62" s="36"/>
      <c r="VDP62" s="36"/>
      <c r="VDQ62" s="36"/>
      <c r="VDR62" s="36"/>
      <c r="VDS62" s="36"/>
      <c r="VDT62" s="36"/>
      <c r="VDU62" s="36"/>
      <c r="VDV62" s="36"/>
      <c r="VDW62" s="36"/>
      <c r="VDX62" s="36"/>
      <c r="VDY62" s="36"/>
      <c r="VDZ62" s="36"/>
      <c r="VEA62" s="36"/>
      <c r="VEB62" s="36"/>
      <c r="VEC62" s="36"/>
      <c r="VED62" s="36"/>
      <c r="VEE62" s="36"/>
      <c r="VEF62" s="36"/>
      <c r="VEG62" s="36"/>
      <c r="VEH62" s="36"/>
      <c r="VEI62" s="36"/>
      <c r="VEJ62" s="36"/>
      <c r="VEK62" s="36"/>
      <c r="VEL62" s="36"/>
      <c r="VEM62" s="36"/>
      <c r="VEN62" s="36"/>
      <c r="VEO62" s="36"/>
      <c r="VEP62" s="36"/>
      <c r="VEQ62" s="36"/>
      <c r="VER62" s="36"/>
      <c r="VES62" s="36"/>
      <c r="VET62" s="36"/>
      <c r="VEU62" s="36"/>
      <c r="VEV62" s="36"/>
      <c r="VEW62" s="36"/>
      <c r="VEX62" s="36"/>
      <c r="VEY62" s="36"/>
      <c r="VEZ62" s="36"/>
      <c r="VFA62" s="36"/>
      <c r="VFB62" s="36"/>
      <c r="VFC62" s="36"/>
      <c r="VFD62" s="36"/>
      <c r="VFE62" s="36"/>
      <c r="VFF62" s="36"/>
      <c r="VFG62" s="36"/>
      <c r="VFH62" s="36"/>
      <c r="VFI62" s="36"/>
      <c r="VFJ62" s="36"/>
      <c r="VFK62" s="36"/>
      <c r="VFL62" s="36"/>
      <c r="VFM62" s="36"/>
      <c r="VFN62" s="36"/>
      <c r="VFO62" s="36"/>
      <c r="VFP62" s="36"/>
      <c r="VFQ62" s="36"/>
      <c r="VFR62" s="36"/>
      <c r="VFS62" s="36"/>
      <c r="VFT62" s="36"/>
      <c r="VFU62" s="36"/>
      <c r="VFV62" s="36"/>
      <c r="VFW62" s="36"/>
      <c r="VFX62" s="36"/>
      <c r="VFY62" s="36"/>
      <c r="VFZ62" s="36"/>
      <c r="VGA62" s="36"/>
      <c r="VGB62" s="36"/>
      <c r="VGC62" s="36"/>
      <c r="VGD62" s="36"/>
      <c r="VGE62" s="36"/>
      <c r="VGF62" s="36"/>
      <c r="VGG62" s="36"/>
      <c r="VGH62" s="36"/>
      <c r="VGI62" s="36"/>
      <c r="VGJ62" s="36"/>
      <c r="VGK62" s="36"/>
      <c r="VGL62" s="36"/>
      <c r="VGM62" s="36"/>
      <c r="VGN62" s="36"/>
      <c r="VGO62" s="36"/>
      <c r="VGP62" s="36"/>
      <c r="VGQ62" s="36"/>
      <c r="VGR62" s="36"/>
      <c r="VGS62" s="36"/>
      <c r="VGT62" s="36"/>
      <c r="VGU62" s="36"/>
      <c r="VGV62" s="36"/>
      <c r="VGW62" s="36"/>
      <c r="VGX62" s="36"/>
      <c r="VGY62" s="36"/>
      <c r="VGZ62" s="36"/>
      <c r="VHA62" s="36"/>
      <c r="VHB62" s="36"/>
      <c r="VHC62" s="36"/>
      <c r="VHD62" s="36"/>
      <c r="VHE62" s="36"/>
      <c r="VHF62" s="36"/>
      <c r="VHG62" s="36"/>
      <c r="VHH62" s="36"/>
      <c r="VHI62" s="36"/>
      <c r="VHJ62" s="36"/>
      <c r="VHK62" s="36"/>
      <c r="VHL62" s="36"/>
      <c r="VHM62" s="36"/>
      <c r="VHN62" s="36"/>
      <c r="VHO62" s="36"/>
      <c r="VHP62" s="36"/>
      <c r="VHQ62" s="36"/>
      <c r="VHR62" s="36"/>
      <c r="VHS62" s="36"/>
      <c r="VHT62" s="36"/>
      <c r="VHU62" s="36"/>
      <c r="VHV62" s="36"/>
      <c r="VHW62" s="36"/>
      <c r="VHX62" s="36"/>
      <c r="VHY62" s="36"/>
      <c r="VHZ62" s="36"/>
      <c r="VIA62" s="36"/>
      <c r="VIB62" s="36"/>
      <c r="VIC62" s="36"/>
      <c r="VID62" s="36"/>
      <c r="VIE62" s="36"/>
      <c r="VIF62" s="36"/>
      <c r="VIG62" s="36"/>
      <c r="VIH62" s="36"/>
      <c r="VII62" s="36"/>
      <c r="VIJ62" s="36"/>
      <c r="VIK62" s="36"/>
      <c r="VIL62" s="36"/>
      <c r="VIM62" s="36"/>
      <c r="VIN62" s="36"/>
      <c r="VIO62" s="36"/>
      <c r="VIP62" s="36"/>
      <c r="VIQ62" s="36"/>
      <c r="VIR62" s="36"/>
      <c r="VIS62" s="36"/>
      <c r="VIT62" s="36"/>
      <c r="VIU62" s="36"/>
      <c r="VIV62" s="36"/>
      <c r="VIW62" s="36"/>
      <c r="VIX62" s="36"/>
      <c r="VIY62" s="36"/>
      <c r="VIZ62" s="36"/>
      <c r="VJA62" s="36"/>
      <c r="VJB62" s="36"/>
      <c r="VJC62" s="36"/>
      <c r="VJD62" s="36"/>
      <c r="VJE62" s="36"/>
      <c r="VJF62" s="36"/>
      <c r="VJG62" s="36"/>
      <c r="VJH62" s="36"/>
      <c r="VJI62" s="36"/>
      <c r="VJJ62" s="36"/>
      <c r="VJK62" s="36"/>
      <c r="VJL62" s="36"/>
      <c r="VJM62" s="36"/>
      <c r="VJN62" s="36"/>
      <c r="VJO62" s="36"/>
      <c r="VJP62" s="36"/>
      <c r="VJQ62" s="36"/>
      <c r="VJR62" s="36"/>
      <c r="VJS62" s="36"/>
      <c r="VJT62" s="36"/>
      <c r="VJU62" s="36"/>
      <c r="VJV62" s="36"/>
      <c r="VJW62" s="36"/>
      <c r="VJX62" s="36"/>
      <c r="VJY62" s="36"/>
      <c r="VJZ62" s="36"/>
      <c r="VKA62" s="36"/>
      <c r="VKB62" s="36"/>
      <c r="VKC62" s="36"/>
      <c r="VKD62" s="36"/>
      <c r="VKE62" s="36"/>
      <c r="VKF62" s="36"/>
      <c r="VKG62" s="36"/>
      <c r="VKH62" s="36"/>
      <c r="VKI62" s="36"/>
      <c r="VKJ62" s="36"/>
      <c r="VKK62" s="36"/>
      <c r="VKL62" s="36"/>
      <c r="VKM62" s="36"/>
      <c r="VKN62" s="36"/>
      <c r="VKO62" s="36"/>
      <c r="VKP62" s="36"/>
      <c r="VKQ62" s="36"/>
      <c r="VKR62" s="36"/>
      <c r="VKS62" s="36"/>
      <c r="VKT62" s="36"/>
      <c r="VKU62" s="36"/>
      <c r="VKV62" s="36"/>
      <c r="VKW62" s="36"/>
      <c r="VKX62" s="36"/>
      <c r="VKY62" s="36"/>
      <c r="VKZ62" s="36"/>
      <c r="VLA62" s="36"/>
      <c r="VLB62" s="36"/>
      <c r="VLC62" s="36"/>
      <c r="VLD62" s="36"/>
      <c r="VLE62" s="36"/>
      <c r="VLF62" s="36"/>
      <c r="VLG62" s="36"/>
      <c r="VLH62" s="36"/>
      <c r="VLI62" s="36"/>
      <c r="VLJ62" s="36"/>
      <c r="VLK62" s="36"/>
      <c r="VLL62" s="36"/>
      <c r="VLM62" s="36"/>
      <c r="VLN62" s="36"/>
      <c r="VLO62" s="36"/>
      <c r="VLP62" s="36"/>
      <c r="VLQ62" s="36"/>
      <c r="VLR62" s="36"/>
      <c r="VLS62" s="36"/>
      <c r="VLT62" s="36"/>
      <c r="VLU62" s="36"/>
      <c r="VLV62" s="36"/>
      <c r="VLW62" s="36"/>
      <c r="VLX62" s="36"/>
      <c r="VLY62" s="36"/>
      <c r="VLZ62" s="36"/>
      <c r="VMA62" s="36"/>
      <c r="VMB62" s="36"/>
      <c r="VMC62" s="36"/>
      <c r="VMD62" s="36"/>
      <c r="VME62" s="36"/>
      <c r="VMF62" s="36"/>
      <c r="VMG62" s="36"/>
      <c r="VMH62" s="36"/>
      <c r="VMI62" s="36"/>
      <c r="VMJ62" s="36"/>
      <c r="VMK62" s="36"/>
      <c r="VML62" s="36"/>
      <c r="VMM62" s="36"/>
      <c r="VMN62" s="36"/>
      <c r="VMO62" s="36"/>
      <c r="VMP62" s="36"/>
      <c r="VMQ62" s="36"/>
      <c r="VMR62" s="36"/>
      <c r="VMS62" s="36"/>
      <c r="VMT62" s="36"/>
      <c r="VMU62" s="36"/>
      <c r="VMV62" s="36"/>
      <c r="VMW62" s="36"/>
      <c r="VMX62" s="36"/>
      <c r="VMY62" s="36"/>
      <c r="VMZ62" s="36"/>
      <c r="VNA62" s="36"/>
      <c r="VNB62" s="36"/>
      <c r="VNC62" s="36"/>
      <c r="VND62" s="36"/>
      <c r="VNE62" s="36"/>
      <c r="VNF62" s="36"/>
      <c r="VNG62" s="36"/>
      <c r="VNH62" s="36"/>
      <c r="VNI62" s="36"/>
      <c r="VNJ62" s="36"/>
      <c r="VNK62" s="36"/>
      <c r="VNL62" s="36"/>
      <c r="VNM62" s="36"/>
      <c r="VNN62" s="36"/>
      <c r="VNO62" s="36"/>
      <c r="VNP62" s="36"/>
      <c r="VNQ62" s="36"/>
      <c r="VNR62" s="36"/>
      <c r="VNS62" s="36"/>
      <c r="VNT62" s="36"/>
      <c r="VNU62" s="36"/>
      <c r="VNV62" s="36"/>
      <c r="VNW62" s="36"/>
      <c r="VNX62" s="36"/>
      <c r="VNY62" s="36"/>
      <c r="VNZ62" s="36"/>
      <c r="VOA62" s="36"/>
      <c r="VOB62" s="36"/>
      <c r="VOC62" s="36"/>
      <c r="VOD62" s="36"/>
      <c r="VOE62" s="36"/>
      <c r="VOF62" s="36"/>
      <c r="VOG62" s="36"/>
      <c r="VOH62" s="36"/>
      <c r="VOI62" s="36"/>
      <c r="VOJ62" s="36"/>
      <c r="VOK62" s="36"/>
      <c r="VOL62" s="36"/>
      <c r="VOM62" s="36"/>
      <c r="VON62" s="36"/>
      <c r="VOO62" s="36"/>
      <c r="VOP62" s="36"/>
      <c r="VOQ62" s="36"/>
      <c r="VOR62" s="36"/>
      <c r="VOS62" s="36"/>
      <c r="VOT62" s="36"/>
      <c r="VOU62" s="36"/>
      <c r="VOV62" s="36"/>
      <c r="VOW62" s="36"/>
      <c r="VOX62" s="36"/>
      <c r="VOY62" s="36"/>
      <c r="VOZ62" s="36"/>
      <c r="VPA62" s="36"/>
      <c r="VPB62" s="36"/>
      <c r="VPC62" s="36"/>
      <c r="VPD62" s="36"/>
      <c r="VPE62" s="36"/>
      <c r="VPF62" s="36"/>
      <c r="VPG62" s="36"/>
      <c r="VPH62" s="36"/>
      <c r="VPI62" s="36"/>
      <c r="VPJ62" s="36"/>
      <c r="VPK62" s="36"/>
      <c r="VPL62" s="36"/>
      <c r="VPM62" s="36"/>
      <c r="VPN62" s="36"/>
      <c r="VPO62" s="36"/>
      <c r="VPP62" s="36"/>
      <c r="VPQ62" s="36"/>
      <c r="VPR62" s="36"/>
      <c r="VPS62" s="36"/>
      <c r="VPT62" s="36"/>
      <c r="VPU62" s="36"/>
      <c r="VPV62" s="36"/>
      <c r="VPW62" s="36"/>
      <c r="VPX62" s="36"/>
      <c r="VPY62" s="36"/>
      <c r="VPZ62" s="36"/>
      <c r="VQA62" s="36"/>
      <c r="VQB62" s="36"/>
      <c r="VQC62" s="36"/>
      <c r="VQD62" s="36"/>
      <c r="VQE62" s="36"/>
      <c r="VQF62" s="36"/>
      <c r="VQG62" s="36"/>
      <c r="VQH62" s="36"/>
      <c r="VQI62" s="36"/>
      <c r="VQJ62" s="36"/>
      <c r="VQK62" s="36"/>
      <c r="VQL62" s="36"/>
      <c r="VQM62" s="36"/>
      <c r="VQN62" s="36"/>
      <c r="VQO62" s="36"/>
      <c r="VQP62" s="36"/>
      <c r="VQQ62" s="36"/>
      <c r="VQR62" s="36"/>
      <c r="VQS62" s="36"/>
      <c r="VQT62" s="36"/>
      <c r="VQU62" s="36"/>
      <c r="VQV62" s="36"/>
      <c r="VQW62" s="36"/>
      <c r="VQX62" s="36"/>
      <c r="VQY62" s="36"/>
      <c r="VQZ62" s="36"/>
      <c r="VRA62" s="36"/>
      <c r="VRB62" s="36"/>
      <c r="VRC62" s="36"/>
      <c r="VRD62" s="36"/>
      <c r="VRE62" s="36"/>
      <c r="VRF62" s="36"/>
      <c r="VRG62" s="36"/>
      <c r="VRH62" s="36"/>
      <c r="VRI62" s="36"/>
      <c r="VRJ62" s="36"/>
      <c r="VRK62" s="36"/>
      <c r="VRL62" s="36"/>
      <c r="VRM62" s="36"/>
      <c r="VRN62" s="36"/>
      <c r="VRO62" s="36"/>
      <c r="VRP62" s="36"/>
      <c r="VRQ62" s="36"/>
      <c r="VRR62" s="36"/>
      <c r="VRS62" s="36"/>
      <c r="VRT62" s="36"/>
      <c r="VRU62" s="36"/>
      <c r="VRV62" s="36"/>
      <c r="VRW62" s="36"/>
      <c r="VRX62" s="36"/>
      <c r="VRY62" s="36"/>
      <c r="VRZ62" s="36"/>
      <c r="VSA62" s="36"/>
      <c r="VSB62" s="36"/>
      <c r="VSC62" s="36"/>
      <c r="VSD62" s="36"/>
      <c r="VSE62" s="36"/>
      <c r="VSF62" s="36"/>
      <c r="VSG62" s="36"/>
      <c r="VSH62" s="36"/>
      <c r="VSI62" s="36"/>
      <c r="VSJ62" s="36"/>
      <c r="VSK62" s="36"/>
      <c r="VSL62" s="36"/>
      <c r="VSM62" s="36"/>
      <c r="VSN62" s="36"/>
      <c r="VSO62" s="36"/>
      <c r="VSP62" s="36"/>
      <c r="VSQ62" s="36"/>
      <c r="VSR62" s="36"/>
      <c r="VSS62" s="36"/>
      <c r="VST62" s="36"/>
      <c r="VSU62" s="36"/>
      <c r="VSV62" s="36"/>
      <c r="VSW62" s="36"/>
      <c r="VSX62" s="36"/>
      <c r="VSY62" s="36"/>
      <c r="VSZ62" s="36"/>
      <c r="VTA62" s="36"/>
      <c r="VTB62" s="36"/>
      <c r="VTC62" s="36"/>
      <c r="VTD62" s="36"/>
      <c r="VTE62" s="36"/>
      <c r="VTF62" s="36"/>
      <c r="VTG62" s="36"/>
      <c r="VTH62" s="36"/>
      <c r="VTI62" s="36"/>
      <c r="VTJ62" s="36"/>
      <c r="VTK62" s="36"/>
      <c r="VTL62" s="36"/>
      <c r="VTM62" s="36"/>
      <c r="VTN62" s="36"/>
      <c r="VTO62" s="36"/>
      <c r="VTP62" s="36"/>
      <c r="VTQ62" s="36"/>
      <c r="VTR62" s="36"/>
      <c r="VTS62" s="36"/>
      <c r="VTT62" s="36"/>
      <c r="VTU62" s="36"/>
      <c r="VTV62" s="36"/>
      <c r="VTW62" s="36"/>
      <c r="VTX62" s="36"/>
      <c r="VTY62" s="36"/>
      <c r="VTZ62" s="36"/>
      <c r="VUA62" s="36"/>
      <c r="VUB62" s="36"/>
      <c r="VUC62" s="36"/>
      <c r="VUD62" s="36"/>
      <c r="VUE62" s="36"/>
      <c r="VUF62" s="36"/>
      <c r="VUG62" s="36"/>
      <c r="VUH62" s="36"/>
      <c r="VUI62" s="36"/>
      <c r="VUJ62" s="36"/>
      <c r="VUK62" s="36"/>
      <c r="VUL62" s="36"/>
      <c r="VUM62" s="36"/>
      <c r="VUN62" s="36"/>
      <c r="VUO62" s="36"/>
      <c r="VUP62" s="36"/>
      <c r="VUQ62" s="36"/>
      <c r="VUR62" s="36"/>
      <c r="VUS62" s="36"/>
      <c r="VUT62" s="36"/>
      <c r="VUU62" s="36"/>
      <c r="VUV62" s="36"/>
      <c r="VUW62" s="36"/>
      <c r="VUX62" s="36"/>
      <c r="VUY62" s="36"/>
      <c r="VUZ62" s="36"/>
      <c r="VVA62" s="36"/>
      <c r="VVB62" s="36"/>
      <c r="VVC62" s="36"/>
      <c r="VVD62" s="36"/>
      <c r="VVE62" s="36"/>
      <c r="VVF62" s="36"/>
      <c r="VVG62" s="36"/>
      <c r="VVH62" s="36"/>
      <c r="VVI62" s="36"/>
      <c r="VVJ62" s="36"/>
      <c r="VVK62" s="36"/>
      <c r="VVL62" s="36"/>
      <c r="VVM62" s="36"/>
      <c r="VVN62" s="36"/>
      <c r="VVO62" s="36"/>
      <c r="VVP62" s="36"/>
      <c r="VVQ62" s="36"/>
      <c r="VVR62" s="36"/>
      <c r="VVS62" s="36"/>
      <c r="VVT62" s="36"/>
      <c r="VVU62" s="36"/>
      <c r="VVV62" s="36"/>
      <c r="VVW62" s="36"/>
      <c r="VVX62" s="36"/>
      <c r="VVY62" s="36"/>
      <c r="VVZ62" s="36"/>
      <c r="VWA62" s="36"/>
      <c r="VWB62" s="36"/>
      <c r="VWC62" s="36"/>
      <c r="VWD62" s="36"/>
      <c r="VWE62" s="36"/>
      <c r="VWF62" s="36"/>
      <c r="VWG62" s="36"/>
      <c r="VWH62" s="36"/>
      <c r="VWI62" s="36"/>
      <c r="VWJ62" s="36"/>
      <c r="VWK62" s="36"/>
      <c r="VWL62" s="36"/>
      <c r="VWM62" s="36"/>
      <c r="VWN62" s="36"/>
      <c r="VWO62" s="36"/>
      <c r="VWP62" s="36"/>
      <c r="VWQ62" s="36"/>
      <c r="VWR62" s="36"/>
      <c r="VWS62" s="36"/>
      <c r="VWT62" s="36"/>
      <c r="VWU62" s="36"/>
      <c r="VWV62" s="36"/>
      <c r="VWW62" s="36"/>
      <c r="VWX62" s="36"/>
      <c r="VWY62" s="36"/>
      <c r="VWZ62" s="36"/>
      <c r="VXA62" s="36"/>
      <c r="VXB62" s="36"/>
      <c r="VXC62" s="36"/>
      <c r="VXD62" s="36"/>
      <c r="VXE62" s="36"/>
      <c r="VXF62" s="36"/>
      <c r="VXG62" s="36"/>
      <c r="VXH62" s="36"/>
      <c r="VXI62" s="36"/>
      <c r="VXJ62" s="36"/>
      <c r="VXK62" s="36"/>
      <c r="VXL62" s="36"/>
      <c r="VXM62" s="36"/>
      <c r="VXN62" s="36"/>
      <c r="VXO62" s="36"/>
      <c r="VXP62" s="36"/>
      <c r="VXQ62" s="36"/>
      <c r="VXR62" s="36"/>
      <c r="VXS62" s="36"/>
      <c r="VXT62" s="36"/>
      <c r="VXU62" s="36"/>
      <c r="VXV62" s="36"/>
      <c r="VXW62" s="36"/>
      <c r="VXX62" s="36"/>
      <c r="VXY62" s="36"/>
      <c r="VXZ62" s="36"/>
      <c r="VYA62" s="36"/>
      <c r="VYB62" s="36"/>
      <c r="VYC62" s="36"/>
      <c r="VYD62" s="36"/>
      <c r="VYE62" s="36"/>
      <c r="VYF62" s="36"/>
      <c r="VYG62" s="36"/>
      <c r="VYH62" s="36"/>
      <c r="VYI62" s="36"/>
      <c r="VYJ62" s="36"/>
      <c r="VYK62" s="36"/>
      <c r="VYL62" s="36"/>
      <c r="VYM62" s="36"/>
      <c r="VYN62" s="36"/>
      <c r="VYO62" s="36"/>
      <c r="VYP62" s="36"/>
      <c r="VYQ62" s="36"/>
      <c r="VYR62" s="36"/>
      <c r="VYS62" s="36"/>
      <c r="VYT62" s="36"/>
      <c r="VYU62" s="36"/>
      <c r="VYV62" s="36"/>
      <c r="VYW62" s="36"/>
      <c r="VYX62" s="36"/>
      <c r="VYY62" s="36"/>
      <c r="VYZ62" s="36"/>
      <c r="VZA62" s="36"/>
      <c r="VZB62" s="36"/>
      <c r="VZC62" s="36"/>
      <c r="VZD62" s="36"/>
      <c r="VZE62" s="36"/>
      <c r="VZF62" s="36"/>
      <c r="VZG62" s="36"/>
      <c r="VZH62" s="36"/>
      <c r="VZI62" s="36"/>
      <c r="VZJ62" s="36"/>
      <c r="VZK62" s="36"/>
      <c r="VZL62" s="36"/>
      <c r="VZM62" s="36"/>
      <c r="VZN62" s="36"/>
      <c r="VZO62" s="36"/>
      <c r="VZP62" s="36"/>
      <c r="VZQ62" s="36"/>
      <c r="VZR62" s="36"/>
      <c r="VZS62" s="36"/>
      <c r="VZT62" s="36"/>
      <c r="VZU62" s="36"/>
      <c r="VZV62" s="36"/>
      <c r="VZW62" s="36"/>
      <c r="VZX62" s="36"/>
      <c r="VZY62" s="36"/>
      <c r="VZZ62" s="36"/>
      <c r="WAA62" s="36"/>
      <c r="WAB62" s="36"/>
      <c r="WAC62" s="36"/>
      <c r="WAD62" s="36"/>
      <c r="WAE62" s="36"/>
      <c r="WAF62" s="36"/>
      <c r="WAG62" s="36"/>
      <c r="WAH62" s="36"/>
      <c r="WAI62" s="36"/>
      <c r="WAJ62" s="36"/>
      <c r="WAK62" s="36"/>
      <c r="WAL62" s="36"/>
      <c r="WAM62" s="36"/>
      <c r="WAN62" s="36"/>
      <c r="WAO62" s="36"/>
      <c r="WAP62" s="36"/>
      <c r="WAQ62" s="36"/>
      <c r="WAR62" s="36"/>
      <c r="WAS62" s="36"/>
      <c r="WAT62" s="36"/>
      <c r="WAU62" s="36"/>
      <c r="WAV62" s="36"/>
      <c r="WAW62" s="36"/>
      <c r="WAX62" s="36"/>
      <c r="WAY62" s="36"/>
      <c r="WAZ62" s="36"/>
      <c r="WBA62" s="36"/>
      <c r="WBB62" s="36"/>
      <c r="WBC62" s="36"/>
      <c r="WBD62" s="36"/>
      <c r="WBE62" s="36"/>
      <c r="WBF62" s="36"/>
      <c r="WBG62" s="36"/>
      <c r="WBH62" s="36"/>
      <c r="WBI62" s="36"/>
      <c r="WBJ62" s="36"/>
      <c r="WBK62" s="36"/>
      <c r="WBL62" s="36"/>
      <c r="WBM62" s="36"/>
      <c r="WBN62" s="36"/>
      <c r="WBO62" s="36"/>
      <c r="WBP62" s="36"/>
      <c r="WBQ62" s="36"/>
      <c r="WBR62" s="36"/>
      <c r="WBS62" s="36"/>
      <c r="WBT62" s="36"/>
      <c r="WBU62" s="36"/>
      <c r="WBV62" s="36"/>
      <c r="WBW62" s="36"/>
      <c r="WBX62" s="36"/>
      <c r="WBY62" s="36"/>
      <c r="WBZ62" s="36"/>
      <c r="WCA62" s="36"/>
      <c r="WCB62" s="36"/>
      <c r="WCC62" s="36"/>
      <c r="WCD62" s="36"/>
      <c r="WCE62" s="36"/>
      <c r="WCF62" s="36"/>
      <c r="WCG62" s="36"/>
      <c r="WCH62" s="36"/>
      <c r="WCI62" s="36"/>
      <c r="WCJ62" s="36"/>
      <c r="WCK62" s="36"/>
      <c r="WCL62" s="36"/>
      <c r="WCM62" s="36"/>
      <c r="WCN62" s="36"/>
      <c r="WCO62" s="36"/>
      <c r="WCP62" s="36"/>
      <c r="WCQ62" s="36"/>
      <c r="WCR62" s="36"/>
      <c r="WCS62" s="36"/>
      <c r="WCT62" s="36"/>
      <c r="WCU62" s="36"/>
      <c r="WCV62" s="36"/>
      <c r="WCW62" s="36"/>
      <c r="WCX62" s="36"/>
      <c r="WCY62" s="36"/>
      <c r="WCZ62" s="36"/>
      <c r="WDA62" s="36"/>
      <c r="WDB62" s="36"/>
      <c r="WDC62" s="36"/>
      <c r="WDD62" s="36"/>
      <c r="WDE62" s="36"/>
      <c r="WDF62" s="36"/>
      <c r="WDG62" s="36"/>
      <c r="WDH62" s="36"/>
      <c r="WDI62" s="36"/>
      <c r="WDJ62" s="36"/>
      <c r="WDK62" s="36"/>
      <c r="WDL62" s="36"/>
      <c r="WDM62" s="36"/>
      <c r="WDN62" s="36"/>
      <c r="WDO62" s="36"/>
      <c r="WDP62" s="36"/>
      <c r="WDQ62" s="36"/>
      <c r="WDR62" s="36"/>
      <c r="WDS62" s="36"/>
      <c r="WDT62" s="36"/>
      <c r="WDU62" s="36"/>
      <c r="WDV62" s="36"/>
      <c r="WDW62" s="36"/>
      <c r="WDX62" s="36"/>
      <c r="WDY62" s="36"/>
      <c r="WDZ62" s="36"/>
      <c r="WEA62" s="36"/>
      <c r="WEB62" s="36"/>
      <c r="WEC62" s="36"/>
      <c r="WED62" s="36"/>
      <c r="WEE62" s="36"/>
      <c r="WEF62" s="36"/>
      <c r="WEG62" s="36"/>
      <c r="WEH62" s="36"/>
      <c r="WEI62" s="36"/>
      <c r="WEJ62" s="36"/>
      <c r="WEK62" s="36"/>
      <c r="WEL62" s="36"/>
      <c r="WEM62" s="36"/>
      <c r="WEN62" s="36"/>
      <c r="WEO62" s="36"/>
      <c r="WEP62" s="36"/>
      <c r="WEQ62" s="36"/>
      <c r="WER62" s="36"/>
      <c r="WES62" s="36"/>
      <c r="WET62" s="36"/>
      <c r="WEU62" s="36"/>
      <c r="WEV62" s="36"/>
      <c r="WEW62" s="36"/>
      <c r="WEX62" s="36"/>
      <c r="WEY62" s="36"/>
      <c r="WEZ62" s="36"/>
      <c r="WFA62" s="36"/>
      <c r="WFB62" s="36"/>
      <c r="WFC62" s="36"/>
      <c r="WFD62" s="36"/>
      <c r="WFE62" s="36"/>
      <c r="WFF62" s="36"/>
      <c r="WFG62" s="36"/>
      <c r="WFH62" s="36"/>
      <c r="WFI62" s="36"/>
      <c r="WFJ62" s="36"/>
      <c r="WFK62" s="36"/>
      <c r="WFL62" s="36"/>
      <c r="WFM62" s="36"/>
      <c r="WFN62" s="36"/>
      <c r="WFO62" s="36"/>
      <c r="WFP62" s="36"/>
      <c r="WFQ62" s="36"/>
      <c r="WFR62" s="36"/>
      <c r="WFS62" s="36"/>
      <c r="WFT62" s="36"/>
      <c r="WFU62" s="36"/>
      <c r="WFV62" s="36"/>
      <c r="WFW62" s="36"/>
      <c r="WFX62" s="36"/>
      <c r="WFY62" s="36"/>
      <c r="WFZ62" s="36"/>
      <c r="WGA62" s="36"/>
      <c r="WGB62" s="36"/>
      <c r="WGC62" s="36"/>
      <c r="WGD62" s="36"/>
      <c r="WGE62" s="36"/>
      <c r="WGF62" s="36"/>
      <c r="WGG62" s="36"/>
      <c r="WGH62" s="36"/>
      <c r="WGI62" s="36"/>
      <c r="WGJ62" s="36"/>
      <c r="WGK62" s="36"/>
      <c r="WGL62" s="36"/>
      <c r="WGM62" s="36"/>
      <c r="WGN62" s="36"/>
      <c r="WGO62" s="36"/>
      <c r="WGP62" s="36"/>
      <c r="WGQ62" s="36"/>
      <c r="WGR62" s="36"/>
      <c r="WGS62" s="36"/>
      <c r="WGT62" s="36"/>
      <c r="WGU62" s="36"/>
      <c r="WGV62" s="36"/>
      <c r="WGW62" s="36"/>
      <c r="WGX62" s="36"/>
      <c r="WGY62" s="36"/>
      <c r="WGZ62" s="36"/>
      <c r="WHA62" s="36"/>
      <c r="WHB62" s="36"/>
      <c r="WHC62" s="36"/>
      <c r="WHD62" s="36"/>
      <c r="WHE62" s="36"/>
      <c r="WHF62" s="36"/>
      <c r="WHG62" s="36"/>
      <c r="WHH62" s="36"/>
      <c r="WHI62" s="36"/>
      <c r="WHJ62" s="36"/>
      <c r="WHK62" s="36"/>
      <c r="WHL62" s="36"/>
      <c r="WHM62" s="36"/>
      <c r="WHN62" s="36"/>
      <c r="WHO62" s="36"/>
      <c r="WHP62" s="36"/>
      <c r="WHQ62" s="36"/>
      <c r="WHR62" s="36"/>
      <c r="WHS62" s="36"/>
      <c r="WHT62" s="36"/>
      <c r="WHU62" s="36"/>
      <c r="WHV62" s="36"/>
      <c r="WHW62" s="36"/>
      <c r="WHX62" s="36"/>
      <c r="WHY62" s="36"/>
      <c r="WHZ62" s="36"/>
      <c r="WIA62" s="36"/>
      <c r="WIB62" s="36"/>
      <c r="WIC62" s="36"/>
      <c r="WID62" s="36"/>
      <c r="WIE62" s="36"/>
      <c r="WIF62" s="36"/>
      <c r="WIG62" s="36"/>
      <c r="WIH62" s="36"/>
      <c r="WII62" s="36"/>
      <c r="WIJ62" s="36"/>
      <c r="WIK62" s="36"/>
      <c r="WIL62" s="36"/>
      <c r="WIM62" s="36"/>
      <c r="WIN62" s="36"/>
      <c r="WIO62" s="36"/>
      <c r="WIP62" s="36"/>
      <c r="WIQ62" s="36"/>
      <c r="WIR62" s="36"/>
      <c r="WIS62" s="36"/>
      <c r="WIT62" s="36"/>
      <c r="WIU62" s="36"/>
      <c r="WIV62" s="36"/>
      <c r="WIW62" s="36"/>
      <c r="WIX62" s="36"/>
      <c r="WIY62" s="36"/>
      <c r="WIZ62" s="36"/>
      <c r="WJA62" s="36"/>
      <c r="WJB62" s="36"/>
      <c r="WJC62" s="36"/>
      <c r="WJD62" s="36"/>
      <c r="WJE62" s="36"/>
      <c r="WJF62" s="36"/>
      <c r="WJG62" s="36"/>
      <c r="WJH62" s="36"/>
      <c r="WJI62" s="36"/>
      <c r="WJJ62" s="36"/>
      <c r="WJK62" s="36"/>
      <c r="WJL62" s="36"/>
      <c r="WJM62" s="36"/>
      <c r="WJN62" s="36"/>
      <c r="WJO62" s="36"/>
      <c r="WJP62" s="36"/>
      <c r="WJQ62" s="36"/>
      <c r="WJR62" s="36"/>
      <c r="WJS62" s="36"/>
      <c r="WJT62" s="36"/>
      <c r="WJU62" s="36"/>
      <c r="WJV62" s="36"/>
      <c r="WJW62" s="36"/>
      <c r="WJX62" s="36"/>
      <c r="WJY62" s="36"/>
      <c r="WJZ62" s="36"/>
      <c r="WKA62" s="36"/>
      <c r="WKB62" s="36"/>
      <c r="WKC62" s="36"/>
      <c r="WKD62" s="36"/>
      <c r="WKE62" s="36"/>
      <c r="WKF62" s="36"/>
      <c r="WKG62" s="36"/>
      <c r="WKH62" s="36"/>
      <c r="WKI62" s="36"/>
      <c r="WKJ62" s="36"/>
      <c r="WKK62" s="36"/>
      <c r="WKL62" s="36"/>
      <c r="WKM62" s="36"/>
      <c r="WKN62" s="36"/>
      <c r="WKO62" s="36"/>
      <c r="WKP62" s="36"/>
      <c r="WKQ62" s="36"/>
      <c r="WKR62" s="36"/>
      <c r="WKS62" s="36"/>
      <c r="WKT62" s="36"/>
      <c r="WKU62" s="36"/>
      <c r="WKV62" s="36"/>
      <c r="WKW62" s="36"/>
      <c r="WKX62" s="36"/>
      <c r="WKY62" s="36"/>
      <c r="WKZ62" s="36"/>
      <c r="WLA62" s="36"/>
      <c r="WLB62" s="36"/>
      <c r="WLC62" s="36"/>
      <c r="WLD62" s="36"/>
      <c r="WLE62" s="36"/>
      <c r="WLF62" s="36"/>
      <c r="WLG62" s="36"/>
      <c r="WLH62" s="36"/>
      <c r="WLI62" s="36"/>
      <c r="WLJ62" s="36"/>
      <c r="WLK62" s="36"/>
      <c r="WLL62" s="36"/>
      <c r="WLM62" s="36"/>
      <c r="WLN62" s="36"/>
      <c r="WLO62" s="36"/>
      <c r="WLP62" s="36"/>
      <c r="WLQ62" s="36"/>
      <c r="WLR62" s="36"/>
      <c r="WLS62" s="36"/>
      <c r="WLT62" s="36"/>
      <c r="WLU62" s="36"/>
      <c r="WLV62" s="36"/>
      <c r="WLW62" s="36"/>
      <c r="WLX62" s="36"/>
      <c r="WLY62" s="36"/>
      <c r="WLZ62" s="36"/>
      <c r="WMA62" s="36"/>
      <c r="WMB62" s="36"/>
      <c r="WMC62" s="36"/>
      <c r="WMD62" s="36"/>
      <c r="WME62" s="36"/>
      <c r="WMF62" s="36"/>
      <c r="WMG62" s="36"/>
      <c r="WMH62" s="36"/>
      <c r="WMI62" s="36"/>
      <c r="WMJ62" s="36"/>
      <c r="WMK62" s="36"/>
      <c r="WML62" s="36"/>
      <c r="WMM62" s="36"/>
      <c r="WMN62" s="36"/>
      <c r="WMO62" s="36"/>
      <c r="WMP62" s="36"/>
      <c r="WMQ62" s="36"/>
      <c r="WMR62" s="36"/>
      <c r="WMS62" s="36"/>
      <c r="WMT62" s="36"/>
      <c r="WMU62" s="36"/>
      <c r="WMV62" s="36"/>
      <c r="WMW62" s="36"/>
      <c r="WMX62" s="36"/>
      <c r="WMY62" s="36"/>
      <c r="WMZ62" s="36"/>
      <c r="WNA62" s="36"/>
      <c r="WNB62" s="36"/>
      <c r="WNC62" s="36"/>
      <c r="WND62" s="36"/>
      <c r="WNE62" s="36"/>
      <c r="WNF62" s="36"/>
      <c r="WNG62" s="36"/>
      <c r="WNH62" s="36"/>
      <c r="WNI62" s="36"/>
      <c r="WNJ62" s="36"/>
      <c r="WNK62" s="36"/>
      <c r="WNL62" s="36"/>
      <c r="WNM62" s="36"/>
      <c r="WNN62" s="36"/>
      <c r="WNO62" s="36"/>
      <c r="WNP62" s="36"/>
      <c r="WNQ62" s="36"/>
      <c r="WNR62" s="36"/>
      <c r="WNS62" s="36"/>
      <c r="WNT62" s="36"/>
      <c r="WNU62" s="36"/>
      <c r="WNV62" s="36"/>
      <c r="WNW62" s="36"/>
      <c r="WNX62" s="36"/>
      <c r="WNY62" s="36"/>
      <c r="WNZ62" s="36"/>
      <c r="WOA62" s="36"/>
      <c r="WOB62" s="36"/>
      <c r="WOC62" s="36"/>
      <c r="WOD62" s="36"/>
      <c r="WOE62" s="36"/>
      <c r="WOF62" s="36"/>
      <c r="WOG62" s="36"/>
      <c r="WOH62" s="36"/>
      <c r="WOI62" s="36"/>
      <c r="WOJ62" s="36"/>
      <c r="WOK62" s="36"/>
      <c r="WOL62" s="36"/>
      <c r="WOM62" s="36"/>
      <c r="WON62" s="36"/>
      <c r="WOO62" s="36"/>
      <c r="WOP62" s="36"/>
      <c r="WOQ62" s="36"/>
      <c r="WOR62" s="36"/>
      <c r="WOS62" s="36"/>
      <c r="WOT62" s="36"/>
      <c r="WOU62" s="36"/>
      <c r="WOV62" s="36"/>
      <c r="WOW62" s="36"/>
      <c r="WOX62" s="36"/>
      <c r="WOY62" s="36"/>
      <c r="WOZ62" s="36"/>
      <c r="WPA62" s="36"/>
      <c r="WPB62" s="36"/>
      <c r="WPC62" s="36"/>
      <c r="WPD62" s="36"/>
      <c r="WPE62" s="36"/>
      <c r="WPF62" s="36"/>
      <c r="WPG62" s="36"/>
      <c r="WPH62" s="36"/>
      <c r="WPI62" s="36"/>
      <c r="WPJ62" s="36"/>
      <c r="WPK62" s="36"/>
      <c r="WPL62" s="36"/>
      <c r="WPM62" s="36"/>
      <c r="WPN62" s="36"/>
      <c r="WPO62" s="36"/>
      <c r="WPP62" s="36"/>
      <c r="WPQ62" s="36"/>
      <c r="WPR62" s="36"/>
      <c r="WPS62" s="36"/>
      <c r="WPT62" s="36"/>
      <c r="WPU62" s="36"/>
      <c r="WPV62" s="36"/>
      <c r="WPW62" s="36"/>
      <c r="WPX62" s="36"/>
      <c r="WPY62" s="36"/>
      <c r="WPZ62" s="36"/>
      <c r="WQA62" s="36"/>
      <c r="WQB62" s="36"/>
      <c r="WQC62" s="36"/>
      <c r="WQD62" s="36"/>
      <c r="WQE62" s="36"/>
      <c r="WQF62" s="36"/>
      <c r="WQG62" s="36"/>
      <c r="WQH62" s="36"/>
      <c r="WQI62" s="36"/>
      <c r="WQJ62" s="36"/>
      <c r="WQK62" s="36"/>
      <c r="WQL62" s="36"/>
      <c r="WQM62" s="36"/>
      <c r="WQN62" s="36"/>
      <c r="WQO62" s="36"/>
      <c r="WQP62" s="36"/>
      <c r="WQQ62" s="36"/>
      <c r="WQR62" s="36"/>
      <c r="WQS62" s="36"/>
      <c r="WQT62" s="36"/>
      <c r="WQU62" s="36"/>
      <c r="WQV62" s="36"/>
      <c r="WQW62" s="36"/>
      <c r="WQX62" s="36"/>
      <c r="WQY62" s="36"/>
      <c r="WQZ62" s="36"/>
      <c r="WRA62" s="36"/>
      <c r="WRB62" s="36"/>
      <c r="WRC62" s="36"/>
      <c r="WRD62" s="36"/>
      <c r="WRE62" s="36"/>
      <c r="WRF62" s="36"/>
      <c r="WRG62" s="36"/>
      <c r="WRH62" s="36"/>
      <c r="WRI62" s="36"/>
      <c r="WRJ62" s="36"/>
      <c r="WRK62" s="36"/>
      <c r="WRL62" s="36"/>
      <c r="WRM62" s="36"/>
      <c r="WRN62" s="36"/>
      <c r="WRO62" s="36"/>
      <c r="WRP62" s="36"/>
      <c r="WRQ62" s="36"/>
      <c r="WRR62" s="36"/>
      <c r="WRS62" s="36"/>
      <c r="WRT62" s="36"/>
      <c r="WRU62" s="36"/>
      <c r="WRV62" s="36"/>
      <c r="WRW62" s="36"/>
      <c r="WRX62" s="36"/>
      <c r="WRY62" s="36"/>
      <c r="WRZ62" s="36"/>
      <c r="WSA62" s="36"/>
      <c r="WSB62" s="36"/>
      <c r="WSC62" s="36"/>
      <c r="WSD62" s="36"/>
      <c r="WSE62" s="36"/>
      <c r="WSF62" s="36"/>
      <c r="WSG62" s="36"/>
      <c r="WSH62" s="36"/>
      <c r="WSI62" s="36"/>
      <c r="WSJ62" s="36"/>
      <c r="WSK62" s="36"/>
      <c r="WSL62" s="36"/>
      <c r="WSM62" s="36"/>
      <c r="WSN62" s="36"/>
      <c r="WSO62" s="36"/>
      <c r="WSP62" s="36"/>
      <c r="WSQ62" s="36"/>
      <c r="WSR62" s="36"/>
      <c r="WSS62" s="36"/>
      <c r="WST62" s="36"/>
      <c r="WSU62" s="36"/>
      <c r="WSV62" s="36"/>
      <c r="WSW62" s="36"/>
      <c r="WSX62" s="36"/>
      <c r="WSY62" s="36"/>
      <c r="WSZ62" s="36"/>
      <c r="WTA62" s="36"/>
      <c r="WTB62" s="36"/>
      <c r="WTC62" s="36"/>
      <c r="WTD62" s="36"/>
      <c r="WTE62" s="36"/>
      <c r="WTF62" s="36"/>
      <c r="WTG62" s="36"/>
      <c r="WTH62" s="36"/>
      <c r="WTI62" s="36"/>
      <c r="WTJ62" s="36"/>
      <c r="WTK62" s="36"/>
      <c r="WTL62" s="36"/>
      <c r="WTM62" s="36"/>
      <c r="WTN62" s="36"/>
      <c r="WTO62" s="36"/>
      <c r="WTP62" s="36"/>
      <c r="WTQ62" s="36"/>
      <c r="WTR62" s="36"/>
      <c r="WTS62" s="36"/>
      <c r="WTT62" s="36"/>
      <c r="WTU62" s="36"/>
      <c r="WTV62" s="36"/>
      <c r="WTW62" s="36"/>
      <c r="WTX62" s="36"/>
      <c r="WTY62" s="36"/>
      <c r="WTZ62" s="36"/>
      <c r="WUA62" s="36"/>
      <c r="WUB62" s="36"/>
      <c r="WUC62" s="36"/>
      <c r="WUD62" s="36"/>
      <c r="WUE62" s="36"/>
      <c r="WUF62" s="36"/>
      <c r="WUG62" s="36"/>
      <c r="WUH62" s="36"/>
      <c r="WUI62" s="36"/>
      <c r="WUJ62" s="36"/>
      <c r="WUK62" s="36"/>
      <c r="WUL62" s="36"/>
      <c r="WUM62" s="36"/>
      <c r="WUN62" s="36"/>
      <c r="WUO62" s="36"/>
      <c r="WUP62" s="36"/>
      <c r="WUQ62" s="36"/>
      <c r="WUR62" s="36"/>
      <c r="WUS62" s="36"/>
      <c r="WUT62" s="36"/>
      <c r="WUU62" s="36"/>
      <c r="WUV62" s="36"/>
      <c r="WUW62" s="36"/>
      <c r="WUX62" s="36"/>
      <c r="WUY62" s="36"/>
      <c r="WUZ62" s="36"/>
      <c r="WVA62" s="36"/>
      <c r="WVB62" s="36"/>
      <c r="WVC62" s="36"/>
      <c r="WVD62" s="36"/>
      <c r="WVE62" s="36"/>
      <c r="WVF62" s="36"/>
      <c r="WVG62" s="36"/>
      <c r="WVH62" s="36"/>
      <c r="WVI62" s="36"/>
      <c r="WVJ62" s="36"/>
      <c r="WVK62" s="36"/>
      <c r="WVL62" s="36"/>
      <c r="WVM62" s="36"/>
      <c r="WVN62" s="36"/>
      <c r="WVO62" s="36"/>
      <c r="WVP62" s="36"/>
      <c r="WVQ62" s="36"/>
      <c r="WVR62" s="36"/>
      <c r="WVS62" s="36"/>
      <c r="WVT62" s="36"/>
      <c r="WVU62" s="36"/>
      <c r="WVV62" s="36"/>
      <c r="WVW62" s="36"/>
      <c r="WVX62" s="36"/>
      <c r="WVY62" s="36"/>
      <c r="WVZ62" s="36"/>
      <c r="WWA62" s="36"/>
      <c r="WWB62" s="36"/>
      <c r="WWC62" s="36"/>
      <c r="WWD62" s="36"/>
      <c r="WWE62" s="36"/>
      <c r="WWF62" s="36"/>
      <c r="WWG62" s="36"/>
      <c r="WWH62" s="36"/>
      <c r="WWI62" s="36"/>
      <c r="WWJ62" s="36"/>
      <c r="WWK62" s="36"/>
      <c r="WWL62" s="36"/>
      <c r="WWM62" s="36"/>
      <c r="WWN62" s="36"/>
      <c r="WWO62" s="36"/>
      <c r="WWP62" s="36"/>
      <c r="WWQ62" s="36"/>
      <c r="WWR62" s="36"/>
      <c r="WWS62" s="36"/>
      <c r="WWT62" s="36"/>
      <c r="WWU62" s="36"/>
      <c r="WWV62" s="36"/>
      <c r="WWW62" s="36"/>
      <c r="WWX62" s="36"/>
      <c r="WWY62" s="36"/>
      <c r="WWZ62" s="36"/>
      <c r="WXA62" s="36"/>
      <c r="WXB62" s="36"/>
      <c r="WXC62" s="36"/>
      <c r="WXD62" s="36"/>
      <c r="WXE62" s="36"/>
      <c r="WXF62" s="36"/>
      <c r="WXG62" s="36"/>
      <c r="WXH62" s="36"/>
      <c r="WXI62" s="36"/>
      <c r="WXJ62" s="36"/>
      <c r="WXK62" s="36"/>
      <c r="WXL62" s="36"/>
      <c r="WXM62" s="36"/>
      <c r="WXN62" s="36"/>
      <c r="WXO62" s="36"/>
      <c r="WXP62" s="36"/>
      <c r="WXQ62" s="36"/>
      <c r="WXR62" s="36"/>
      <c r="WXS62" s="36"/>
      <c r="WXT62" s="36"/>
      <c r="WXU62" s="36"/>
      <c r="WXV62" s="36"/>
      <c r="WXW62" s="36"/>
      <c r="WXX62" s="36"/>
      <c r="WXY62" s="36"/>
      <c r="WXZ62" s="36"/>
      <c r="WYA62" s="36"/>
      <c r="WYB62" s="36"/>
      <c r="WYC62" s="36"/>
      <c r="WYD62" s="36"/>
      <c r="WYE62" s="36"/>
      <c r="WYF62" s="36"/>
      <c r="WYG62" s="36"/>
      <c r="WYH62" s="36"/>
      <c r="WYI62" s="36"/>
      <c r="WYJ62" s="36"/>
      <c r="WYK62" s="36"/>
      <c r="WYL62" s="36"/>
      <c r="WYM62" s="36"/>
      <c r="WYN62" s="36"/>
      <c r="WYO62" s="36"/>
      <c r="WYP62" s="36"/>
      <c r="WYQ62" s="36"/>
      <c r="WYR62" s="36"/>
      <c r="WYS62" s="36"/>
      <c r="WYT62" s="36"/>
      <c r="WYU62" s="36"/>
      <c r="WYV62" s="36"/>
      <c r="WYW62" s="36"/>
      <c r="WYX62" s="36"/>
      <c r="WYY62" s="36"/>
      <c r="WYZ62" s="36"/>
      <c r="WZA62" s="36"/>
      <c r="WZB62" s="36"/>
      <c r="WZC62" s="36"/>
      <c r="WZD62" s="36"/>
      <c r="WZE62" s="36"/>
      <c r="WZF62" s="36"/>
      <c r="WZG62" s="36"/>
      <c r="WZH62" s="36"/>
      <c r="WZI62" s="36"/>
      <c r="WZJ62" s="36"/>
      <c r="WZK62" s="36"/>
      <c r="WZL62" s="36"/>
      <c r="WZM62" s="36"/>
      <c r="WZN62" s="36"/>
      <c r="WZO62" s="36"/>
      <c r="WZP62" s="36"/>
      <c r="WZQ62" s="36"/>
      <c r="WZR62" s="36"/>
      <c r="WZS62" s="36"/>
      <c r="WZT62" s="36"/>
      <c r="WZU62" s="36"/>
      <c r="WZV62" s="36"/>
      <c r="WZW62" s="36"/>
      <c r="WZX62" s="36"/>
      <c r="WZY62" s="36"/>
      <c r="WZZ62" s="36"/>
      <c r="XAA62" s="36"/>
      <c r="XAB62" s="36"/>
      <c r="XAC62" s="36"/>
      <c r="XAD62" s="36"/>
      <c r="XAE62" s="36"/>
      <c r="XAF62" s="36"/>
      <c r="XAG62" s="36"/>
      <c r="XAH62" s="36"/>
      <c r="XAI62" s="36"/>
      <c r="XAJ62" s="36"/>
      <c r="XAK62" s="36"/>
      <c r="XAL62" s="36"/>
      <c r="XAM62" s="36"/>
      <c r="XAN62" s="36"/>
      <c r="XAO62" s="36"/>
      <c r="XAP62" s="36"/>
      <c r="XAQ62" s="36"/>
      <c r="XAR62" s="36"/>
      <c r="XAS62" s="36"/>
      <c r="XAT62" s="36"/>
      <c r="XAU62" s="36"/>
      <c r="XAV62" s="36"/>
      <c r="XAW62" s="36"/>
      <c r="XAX62" s="36"/>
      <c r="XAY62" s="36"/>
      <c r="XAZ62" s="36"/>
      <c r="XBA62" s="36"/>
      <c r="XBB62" s="36"/>
      <c r="XBC62" s="36"/>
      <c r="XBD62" s="36"/>
      <c r="XBE62" s="36"/>
      <c r="XBF62" s="36"/>
      <c r="XBG62" s="36"/>
      <c r="XBH62" s="36"/>
      <c r="XBI62" s="36"/>
      <c r="XBJ62" s="36"/>
      <c r="XBK62" s="36"/>
      <c r="XBL62" s="36"/>
      <c r="XBM62" s="36"/>
      <c r="XBN62" s="36"/>
      <c r="XBO62" s="36"/>
      <c r="XBP62" s="36"/>
      <c r="XBQ62" s="36"/>
      <c r="XBR62" s="36"/>
      <c r="XBS62" s="36"/>
      <c r="XBT62" s="36"/>
      <c r="XBU62" s="36"/>
      <c r="XBV62" s="36"/>
      <c r="XBW62" s="36"/>
      <c r="XBX62" s="36"/>
      <c r="XBY62" s="36"/>
      <c r="XBZ62" s="36"/>
      <c r="XCA62" s="36"/>
      <c r="XCB62" s="36"/>
      <c r="XCC62" s="36"/>
      <c r="XCD62" s="36"/>
      <c r="XCE62" s="36"/>
      <c r="XCF62" s="36"/>
      <c r="XCG62" s="36"/>
      <c r="XCH62" s="36"/>
      <c r="XCI62" s="36"/>
      <c r="XCJ62" s="36"/>
      <c r="XCK62" s="36"/>
      <c r="XCL62" s="36"/>
      <c r="XCM62" s="36"/>
      <c r="XCN62" s="36"/>
      <c r="XCO62" s="36"/>
      <c r="XCP62" s="36"/>
      <c r="XCQ62" s="36"/>
      <c r="XCR62" s="36"/>
      <c r="XCS62" s="36"/>
      <c r="XCT62" s="36"/>
      <c r="XCU62" s="36"/>
      <c r="XCV62" s="36"/>
      <c r="XCW62" s="36"/>
      <c r="XCX62" s="36"/>
      <c r="XCY62" s="36"/>
      <c r="XCZ62" s="36"/>
      <c r="XDA62" s="36"/>
      <c r="XDB62" s="36"/>
      <c r="XDC62" s="36"/>
      <c r="XDD62" s="36"/>
      <c r="XDE62" s="36"/>
      <c r="XDF62" s="36"/>
      <c r="XDG62" s="36"/>
      <c r="XDH62" s="36"/>
      <c r="XDI62" s="36"/>
      <c r="XDJ62" s="36"/>
      <c r="XDK62" s="36"/>
      <c r="XDL62" s="36"/>
      <c r="XDM62" s="36"/>
      <c r="XDN62" s="36"/>
      <c r="XDO62" s="36"/>
      <c r="XDP62" s="36"/>
      <c r="XDQ62" s="36"/>
      <c r="XDR62" s="36"/>
      <c r="XDS62" s="36"/>
      <c r="XDT62" s="36"/>
      <c r="XDU62" s="36"/>
      <c r="XDV62" s="36"/>
      <c r="XDW62" s="36"/>
      <c r="XDX62" s="36"/>
      <c r="XDY62" s="36"/>
      <c r="XDZ62" s="36"/>
      <c r="XEA62" s="36"/>
      <c r="XEB62" s="36"/>
      <c r="XEC62" s="36"/>
      <c r="XED62" s="36"/>
      <c r="XEE62" s="36"/>
      <c r="XEF62" s="36"/>
      <c r="XEG62" s="36"/>
      <c r="XEH62" s="36"/>
      <c r="XEI62" s="36"/>
      <c r="XEJ62" s="36"/>
      <c r="XEK62" s="36"/>
      <c r="XEL62" s="36"/>
      <c r="XEM62" s="36"/>
      <c r="XEN62" s="36"/>
      <c r="XEO62" s="36"/>
      <c r="XEP62" s="36"/>
      <c r="XEQ62" s="36"/>
      <c r="XER62" s="36"/>
      <c r="XES62" s="36"/>
      <c r="XET62" s="36"/>
      <c r="XEU62" s="36"/>
      <c r="XEV62" s="36"/>
      <c r="XEW62" s="36"/>
      <c r="XEX62" s="36"/>
      <c r="XEY62" s="36"/>
      <c r="XEZ62" s="36"/>
      <c r="XFA62" s="36"/>
      <c r="XFB62" s="36"/>
      <c r="XFC62" s="36"/>
      <c r="XFD62" s="36"/>
    </row>
    <row r="63" spans="2:16384" ht="12.75" x14ac:dyDescent="0.2">
      <c r="B63" s="254"/>
      <c r="C63" s="255"/>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6"/>
    </row>
    <row r="64" spans="2:16384" x14ac:dyDescent="0.25">
      <c r="B64" s="254" t="s">
        <v>136</v>
      </c>
      <c r="C64" s="255"/>
      <c r="D64" s="255"/>
      <c r="E64" s="255"/>
      <c r="F64" s="255"/>
      <c r="G64" s="255"/>
      <c r="H64" s="257">
        <f>IF(H$13&gt;'II. Inputs, Baseline Energy Mix'!$O$18,0,1)</f>
        <v>0</v>
      </c>
      <c r="I64" s="255">
        <f>IF(I$13&gt;'II. Inputs, Baseline Energy Mix'!$O$18,0,1)</f>
        <v>0</v>
      </c>
      <c r="J64" s="255">
        <f>IF(J$13&gt;'II. Inputs, Baseline Energy Mix'!$O$18,0,1)</f>
        <v>0</v>
      </c>
      <c r="K64" s="255">
        <f>IF(K$13&gt;'II. Inputs, Baseline Energy Mix'!$O$18,0,1)</f>
        <v>0</v>
      </c>
      <c r="L64" s="255">
        <f>IF(L$13&gt;'II. Inputs, Baseline Energy Mix'!$O$18,0,1)</f>
        <v>0</v>
      </c>
      <c r="M64" s="255">
        <f>IF(M$13&gt;'II. Inputs, Baseline Energy Mix'!$O$18,0,1)</f>
        <v>0</v>
      </c>
      <c r="N64" s="255">
        <f>IF(N$13&gt;'II. Inputs, Baseline Energy Mix'!$O$18,0,1)</f>
        <v>0</v>
      </c>
      <c r="O64" s="255">
        <f>IF(O$13&gt;'II. Inputs, Baseline Energy Mix'!$O$18,0,1)</f>
        <v>0</v>
      </c>
      <c r="P64" s="255">
        <f>IF(P$13&gt;'II. Inputs, Baseline Energy Mix'!$O$18,0,1)</f>
        <v>0</v>
      </c>
      <c r="Q64" s="255">
        <f>IF(Q$13&gt;'II. Inputs, Baseline Energy Mix'!$O$18,0,1)</f>
        <v>0</v>
      </c>
      <c r="R64" s="255">
        <f>IF(R$13&gt;'II. Inputs, Baseline Energy Mix'!$O$18,0,1)</f>
        <v>0</v>
      </c>
      <c r="S64" s="255">
        <f>IF(S$13&gt;'II. Inputs, Baseline Energy Mix'!$O$18,0,1)</f>
        <v>0</v>
      </c>
      <c r="T64" s="255">
        <f>IF(T$13&gt;'II. Inputs, Baseline Energy Mix'!$O$18,0,1)</f>
        <v>0</v>
      </c>
      <c r="U64" s="255">
        <f>IF(U$13&gt;'II. Inputs, Baseline Energy Mix'!$O$18,0,1)</f>
        <v>0</v>
      </c>
      <c r="V64" s="255">
        <f>IF(V$13&gt;'II. Inputs, Baseline Energy Mix'!$O$18,0,1)</f>
        <v>0</v>
      </c>
      <c r="W64" s="255">
        <f>IF(W$13&gt;'II. Inputs, Baseline Energy Mix'!$O$18,0,1)</f>
        <v>0</v>
      </c>
      <c r="X64" s="255">
        <f>IF(X$13&gt;'II. Inputs, Baseline Energy Mix'!$O$18,0,1)</f>
        <v>0</v>
      </c>
      <c r="Y64" s="255">
        <f>IF(Y$13&gt;'II. Inputs, Baseline Energy Mix'!$O$18,0,1)</f>
        <v>0</v>
      </c>
      <c r="Z64" s="255">
        <f>IF(Z$13&gt;'II. Inputs, Baseline Energy Mix'!$O$18,0,1)</f>
        <v>0</v>
      </c>
      <c r="AA64" s="255">
        <f>IF(AA$13&gt;'II. Inputs, Baseline Energy Mix'!$O$18,0,1)</f>
        <v>0</v>
      </c>
      <c r="AB64" s="255">
        <f>IF(AB$13&gt;'II. Inputs, Baseline Energy Mix'!$O$18,0,1)</f>
        <v>0</v>
      </c>
      <c r="AC64" s="255">
        <f>IF(AC$13&gt;'II. Inputs, Baseline Energy Mix'!$O$18,0,1)</f>
        <v>0</v>
      </c>
      <c r="AD64" s="255">
        <f>IF(AD$13&gt;'II. Inputs, Baseline Energy Mix'!$O$18,0,1)</f>
        <v>0</v>
      </c>
      <c r="AE64" s="255">
        <f>IF(AE$13&gt;'II. Inputs, Baseline Energy Mix'!$O$18,0,1)</f>
        <v>0</v>
      </c>
      <c r="AF64" s="255">
        <f>IF(AF$13&gt;'II. Inputs, Baseline Energy Mix'!$O$18,0,1)</f>
        <v>0</v>
      </c>
      <c r="AG64" s="255">
        <f>IF(AG$13&gt;'II. Inputs, Baseline Energy Mix'!$O$18,0,1)</f>
        <v>0</v>
      </c>
      <c r="AH64" s="255">
        <f>IF(AH$13&gt;'II. Inputs, Baseline Energy Mix'!$O$18,0,1)</f>
        <v>0</v>
      </c>
      <c r="AI64" s="255">
        <f>IF(AI$13&gt;'II. Inputs, Baseline Energy Mix'!$O$18,0,1)</f>
        <v>0</v>
      </c>
      <c r="AJ64" s="255">
        <f>IF(AJ$13&gt;'II. Inputs, Baseline Energy Mix'!$O$18,0,1)</f>
        <v>0</v>
      </c>
      <c r="AK64" s="255">
        <f>IF(AK$13&gt;'II. Inputs, Baseline Energy Mix'!$O$18,0,1)</f>
        <v>0</v>
      </c>
      <c r="AL64" s="255">
        <f>IF(AL$13&gt;'II. Inputs, Baseline Energy Mix'!$O$18,0,1)</f>
        <v>0</v>
      </c>
      <c r="AM64" s="255">
        <f>IF(AM$13&gt;'II. Inputs, Baseline Energy Mix'!$O$18,0,1)</f>
        <v>0</v>
      </c>
      <c r="AN64" s="255">
        <f>IF(AN$13&gt;'II. Inputs, Baseline Energy Mix'!$O$18,0,1)</f>
        <v>0</v>
      </c>
      <c r="AO64" s="255">
        <f>IF(AO$13&gt;'II. Inputs, Baseline Energy Mix'!$O$18,0,1)</f>
        <v>0</v>
      </c>
      <c r="AP64" s="255">
        <f>IF(AP$13&gt;'II. Inputs, Baseline Energy Mix'!$O$18,0,1)</f>
        <v>0</v>
      </c>
      <c r="AQ64" s="255">
        <f>IF(AQ$13&gt;'II. Inputs, Baseline Energy Mix'!$O$18,0,1)</f>
        <v>0</v>
      </c>
      <c r="AR64" s="255">
        <f>IF(AR$13&gt;'II. Inputs, Baseline Energy Mix'!$O$18,0,1)</f>
        <v>0</v>
      </c>
      <c r="AS64" s="255">
        <f>IF(AS$13&gt;'II. Inputs, Baseline Energy Mix'!$O$18,0,1)</f>
        <v>0</v>
      </c>
      <c r="AT64" s="255">
        <f>IF(AT$13&gt;'II. Inputs, Baseline Energy Mix'!$O$18,0,1)</f>
        <v>0</v>
      </c>
      <c r="AU64" s="255">
        <f>IF(AU$13&gt;'II. Inputs, Baseline Energy Mix'!$O$18,0,1)</f>
        <v>0</v>
      </c>
      <c r="AV64" s="255">
        <f>IF(AV$13&gt;'II. Inputs, Baseline Energy Mix'!$O$18,0,1)</f>
        <v>0</v>
      </c>
      <c r="AW64" s="255">
        <f>IF(AW$13&gt;'II. Inputs, Baseline Energy Mix'!$O$18,0,1)</f>
        <v>0</v>
      </c>
      <c r="AX64" s="255">
        <f>IF(AX$13&gt;'II. Inputs, Baseline Energy Mix'!$O$18,0,1)</f>
        <v>0</v>
      </c>
      <c r="AY64" s="255">
        <f>IF(AY$13&gt;'II. Inputs, Baseline Energy Mix'!$O$18,0,1)</f>
        <v>0</v>
      </c>
      <c r="AZ64" s="255">
        <f>IF(AZ$13&gt;'II. Inputs, Baseline Energy Mix'!$O$18,0,1)</f>
        <v>0</v>
      </c>
      <c r="BA64" s="255">
        <f>IF(BA$13&gt;'II. Inputs, Baseline Energy Mix'!$O$18,0,1)</f>
        <v>0</v>
      </c>
      <c r="BB64" s="255">
        <f>IF(BB$13&gt;'II. Inputs, Baseline Energy Mix'!$O$18,0,1)</f>
        <v>0</v>
      </c>
      <c r="BC64" s="255">
        <f>IF(BC$13&gt;'II. Inputs, Baseline Energy Mix'!$O$18,0,1)</f>
        <v>0</v>
      </c>
      <c r="BD64" s="255">
        <f>IF(BD$13&gt;'II. Inputs, Baseline Energy Mix'!$O$18,0,1)</f>
        <v>0</v>
      </c>
      <c r="BE64" s="256">
        <f>IF(BE$13&gt;'II. Inputs, Baseline Energy Mix'!$O$18,0,1)</f>
        <v>0</v>
      </c>
    </row>
    <row r="65" spans="2:57" x14ac:dyDescent="0.25">
      <c r="B65" s="254"/>
      <c r="C65" s="255"/>
      <c r="D65" s="255"/>
      <c r="E65" s="255"/>
      <c r="F65" s="255"/>
      <c r="G65" s="255"/>
      <c r="H65" s="257"/>
      <c r="I65" s="255"/>
      <c r="J65" s="255"/>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6"/>
    </row>
    <row r="66" spans="2:57" x14ac:dyDescent="0.25">
      <c r="B66" s="254" t="s">
        <v>97</v>
      </c>
      <c r="C66" s="255"/>
      <c r="D66" s="255"/>
      <c r="E66" s="255"/>
      <c r="F66" s="258" t="s">
        <v>98</v>
      </c>
      <c r="G66" s="255"/>
      <c r="H66" s="259">
        <f>IF('II. Inputs, Baseline Energy Mix'!$O$15=0,0,'II. Inputs, Baseline Energy Mix'!$O$92*'II. Inputs, Baseline Energy Mix'!$O$16*H64)</f>
        <v>0</v>
      </c>
      <c r="I66" s="259">
        <f>IF('II. Inputs, Baseline Energy Mix'!$O$15=0,0,'II. Inputs, Baseline Energy Mix'!$O$92*'II. Inputs, Baseline Energy Mix'!$O$16*I64)</f>
        <v>0</v>
      </c>
      <c r="J66" s="259">
        <f>IF('II. Inputs, Baseline Energy Mix'!$O$15=0,0,'II. Inputs, Baseline Energy Mix'!$O$92*'II. Inputs, Baseline Energy Mix'!$O$16*J64)</f>
        <v>0</v>
      </c>
      <c r="K66" s="259">
        <f>IF('II. Inputs, Baseline Energy Mix'!$O$15=0,0,'II. Inputs, Baseline Energy Mix'!$O$92*'II. Inputs, Baseline Energy Mix'!$O$16*K64)</f>
        <v>0</v>
      </c>
      <c r="L66" s="259">
        <f>IF('II. Inputs, Baseline Energy Mix'!$O$15=0,0,'II. Inputs, Baseline Energy Mix'!$O$92*'II. Inputs, Baseline Energy Mix'!$O$16*L64)</f>
        <v>0</v>
      </c>
      <c r="M66" s="259">
        <f>IF('II. Inputs, Baseline Energy Mix'!$O$15=0,0,'II. Inputs, Baseline Energy Mix'!$O$92*'II. Inputs, Baseline Energy Mix'!$O$16*M64)</f>
        <v>0</v>
      </c>
      <c r="N66" s="259">
        <f>IF('II. Inputs, Baseline Energy Mix'!$O$15=0,0,'II. Inputs, Baseline Energy Mix'!$O$92*'II. Inputs, Baseline Energy Mix'!$O$16*N64)</f>
        <v>0</v>
      </c>
      <c r="O66" s="259">
        <f>IF('II. Inputs, Baseline Energy Mix'!$O$15=0,0,'II. Inputs, Baseline Energy Mix'!$O$92*'II. Inputs, Baseline Energy Mix'!$O$16*O64)</f>
        <v>0</v>
      </c>
      <c r="P66" s="259">
        <f>IF('II. Inputs, Baseline Energy Mix'!$O$15=0,0,'II. Inputs, Baseline Energy Mix'!$O$92*'II. Inputs, Baseline Energy Mix'!$O$16*P64)</f>
        <v>0</v>
      </c>
      <c r="Q66" s="259">
        <f>IF('II. Inputs, Baseline Energy Mix'!$O$15=0,0,'II. Inputs, Baseline Energy Mix'!$O$92*'II. Inputs, Baseline Energy Mix'!$O$16*Q64)</f>
        <v>0</v>
      </c>
      <c r="R66" s="259">
        <f>IF('II. Inputs, Baseline Energy Mix'!$O$15=0,0,'II. Inputs, Baseline Energy Mix'!$O$92*'II. Inputs, Baseline Energy Mix'!$O$16*R64)</f>
        <v>0</v>
      </c>
      <c r="S66" s="259">
        <f>IF('II. Inputs, Baseline Energy Mix'!$O$15=0,0,'II. Inputs, Baseline Energy Mix'!$O$92*'II. Inputs, Baseline Energy Mix'!$O$16*S64)</f>
        <v>0</v>
      </c>
      <c r="T66" s="259">
        <f>IF('II. Inputs, Baseline Energy Mix'!$O$15=0,0,'II. Inputs, Baseline Energy Mix'!$O$92*'II. Inputs, Baseline Energy Mix'!$O$16*T64)</f>
        <v>0</v>
      </c>
      <c r="U66" s="259">
        <f>IF('II. Inputs, Baseline Energy Mix'!$O$15=0,0,'II. Inputs, Baseline Energy Mix'!$O$92*'II. Inputs, Baseline Energy Mix'!$O$16*U64)</f>
        <v>0</v>
      </c>
      <c r="V66" s="259">
        <f>IF('II. Inputs, Baseline Energy Mix'!$O$15=0,0,'II. Inputs, Baseline Energy Mix'!$O$92*'II. Inputs, Baseline Energy Mix'!$O$16*V64)</f>
        <v>0</v>
      </c>
      <c r="W66" s="259">
        <f>IF('II. Inputs, Baseline Energy Mix'!$O$15=0,0,'II. Inputs, Baseline Energy Mix'!$O$92*'II. Inputs, Baseline Energy Mix'!$O$16*W64)</f>
        <v>0</v>
      </c>
      <c r="X66" s="259">
        <f>IF('II. Inputs, Baseline Energy Mix'!$O$15=0,0,'II. Inputs, Baseline Energy Mix'!$O$92*'II. Inputs, Baseline Energy Mix'!$O$16*X64)</f>
        <v>0</v>
      </c>
      <c r="Y66" s="259">
        <f>IF('II. Inputs, Baseline Energy Mix'!$O$15=0,0,'II. Inputs, Baseline Energy Mix'!$O$92*'II. Inputs, Baseline Energy Mix'!$O$16*Y64)</f>
        <v>0</v>
      </c>
      <c r="Z66" s="259">
        <f>IF('II. Inputs, Baseline Energy Mix'!$O$15=0,0,'II. Inputs, Baseline Energy Mix'!$O$92*'II. Inputs, Baseline Energy Mix'!$O$16*Z64)</f>
        <v>0</v>
      </c>
      <c r="AA66" s="259">
        <f>IF('II. Inputs, Baseline Energy Mix'!$O$15=0,0,'II. Inputs, Baseline Energy Mix'!$O$92*'II. Inputs, Baseline Energy Mix'!$O$16*AA64)</f>
        <v>0</v>
      </c>
      <c r="AB66" s="259">
        <f>IF('II. Inputs, Baseline Energy Mix'!$O$15=0,0,'II. Inputs, Baseline Energy Mix'!$O$92*'II. Inputs, Baseline Energy Mix'!$O$16*AB64)</f>
        <v>0</v>
      </c>
      <c r="AC66" s="259">
        <f>IF('II. Inputs, Baseline Energy Mix'!$O$15=0,0,'II. Inputs, Baseline Energy Mix'!$O$92*'II. Inputs, Baseline Energy Mix'!$O$16*AC64)</f>
        <v>0</v>
      </c>
      <c r="AD66" s="259">
        <f>IF('II. Inputs, Baseline Energy Mix'!$O$15=0,0,'II. Inputs, Baseline Energy Mix'!$O$92*'II. Inputs, Baseline Energy Mix'!$O$16*AD64)</f>
        <v>0</v>
      </c>
      <c r="AE66" s="259">
        <f>IF('II. Inputs, Baseline Energy Mix'!$O$15=0,0,'II. Inputs, Baseline Energy Mix'!$O$92*'II. Inputs, Baseline Energy Mix'!$O$16*AE64)</f>
        <v>0</v>
      </c>
      <c r="AF66" s="259">
        <f>IF('II. Inputs, Baseline Energy Mix'!$O$15=0,0,'II. Inputs, Baseline Energy Mix'!$O$92*'II. Inputs, Baseline Energy Mix'!$O$16*AF64)</f>
        <v>0</v>
      </c>
      <c r="AG66" s="259">
        <f>IF('II. Inputs, Baseline Energy Mix'!$O$15=0,0,'II. Inputs, Baseline Energy Mix'!$O$92*'II. Inputs, Baseline Energy Mix'!$O$16*AG64)</f>
        <v>0</v>
      </c>
      <c r="AH66" s="259">
        <f>IF('II. Inputs, Baseline Energy Mix'!$O$15=0,0,'II. Inputs, Baseline Energy Mix'!$O$92*'II. Inputs, Baseline Energy Mix'!$O$16*AH64)</f>
        <v>0</v>
      </c>
      <c r="AI66" s="259">
        <f>IF('II. Inputs, Baseline Energy Mix'!$O$15=0,0,'II. Inputs, Baseline Energy Mix'!$O$92*'II. Inputs, Baseline Energy Mix'!$O$16*AI64)</f>
        <v>0</v>
      </c>
      <c r="AJ66" s="259">
        <f>IF('II. Inputs, Baseline Energy Mix'!$O$15=0,0,'II. Inputs, Baseline Energy Mix'!$O$92*'II. Inputs, Baseline Energy Mix'!$O$16*AJ64)</f>
        <v>0</v>
      </c>
      <c r="AK66" s="259">
        <f>IF('II. Inputs, Baseline Energy Mix'!$O$15=0,0,'II. Inputs, Baseline Energy Mix'!$O$92*'II. Inputs, Baseline Energy Mix'!$O$16*AK64)</f>
        <v>0</v>
      </c>
      <c r="AL66" s="259">
        <f>IF('II. Inputs, Baseline Energy Mix'!$O$15=0,0,'II. Inputs, Baseline Energy Mix'!$O$92*'II. Inputs, Baseline Energy Mix'!$O$16*AL64)</f>
        <v>0</v>
      </c>
      <c r="AM66" s="259">
        <f>IF('II. Inputs, Baseline Energy Mix'!$O$15=0,0,'II. Inputs, Baseline Energy Mix'!$O$92*'II. Inputs, Baseline Energy Mix'!$O$16*AM64)</f>
        <v>0</v>
      </c>
      <c r="AN66" s="259">
        <f>IF('II. Inputs, Baseline Energy Mix'!$O$15=0,0,'II. Inputs, Baseline Energy Mix'!$O$92*'II. Inputs, Baseline Energy Mix'!$O$16*AN64)</f>
        <v>0</v>
      </c>
      <c r="AO66" s="259">
        <f>IF('II. Inputs, Baseline Energy Mix'!$O$15=0,0,'II. Inputs, Baseline Energy Mix'!$O$92*'II. Inputs, Baseline Energy Mix'!$O$16*AO64)</f>
        <v>0</v>
      </c>
      <c r="AP66" s="259">
        <f>IF('II. Inputs, Baseline Energy Mix'!$O$15=0,0,'II. Inputs, Baseline Energy Mix'!$O$92*'II. Inputs, Baseline Energy Mix'!$O$16*AP64)</f>
        <v>0</v>
      </c>
      <c r="AQ66" s="259">
        <f>IF('II. Inputs, Baseline Energy Mix'!$O$15=0,0,'II. Inputs, Baseline Energy Mix'!$O$92*'II. Inputs, Baseline Energy Mix'!$O$16*AQ64)</f>
        <v>0</v>
      </c>
      <c r="AR66" s="259">
        <f>IF('II. Inputs, Baseline Energy Mix'!$O$15=0,0,'II. Inputs, Baseline Energy Mix'!$O$92*'II. Inputs, Baseline Energy Mix'!$O$16*AR64)</f>
        <v>0</v>
      </c>
      <c r="AS66" s="259">
        <f>IF('II. Inputs, Baseline Energy Mix'!$O$15=0,0,'II. Inputs, Baseline Energy Mix'!$O$92*'II. Inputs, Baseline Energy Mix'!$O$16*AS64)</f>
        <v>0</v>
      </c>
      <c r="AT66" s="259">
        <f>IF('II. Inputs, Baseline Energy Mix'!$O$15=0,0,'II. Inputs, Baseline Energy Mix'!$O$92*'II. Inputs, Baseline Energy Mix'!$O$16*AT64)</f>
        <v>0</v>
      </c>
      <c r="AU66" s="259">
        <f>IF('II. Inputs, Baseline Energy Mix'!$O$15=0,0,'II. Inputs, Baseline Energy Mix'!$O$92*'II. Inputs, Baseline Energy Mix'!$O$16*AU64)</f>
        <v>0</v>
      </c>
      <c r="AV66" s="259">
        <f>IF('II. Inputs, Baseline Energy Mix'!$O$15=0,0,'II. Inputs, Baseline Energy Mix'!$O$92*'II. Inputs, Baseline Energy Mix'!$O$16*AV64)</f>
        <v>0</v>
      </c>
      <c r="AW66" s="259">
        <f>IF('II. Inputs, Baseline Energy Mix'!$O$15=0,0,'II. Inputs, Baseline Energy Mix'!$O$92*'II. Inputs, Baseline Energy Mix'!$O$16*AW64)</f>
        <v>0</v>
      </c>
      <c r="AX66" s="259">
        <f>IF('II. Inputs, Baseline Energy Mix'!$O$15=0,0,'II. Inputs, Baseline Energy Mix'!$O$92*'II. Inputs, Baseline Energy Mix'!$O$16*AX64)</f>
        <v>0</v>
      </c>
      <c r="AY66" s="259">
        <f>IF('II. Inputs, Baseline Energy Mix'!$O$15=0,0,'II. Inputs, Baseline Energy Mix'!$O$92*'II. Inputs, Baseline Energy Mix'!$O$16*AY64)</f>
        <v>0</v>
      </c>
      <c r="AZ66" s="259">
        <f>IF('II. Inputs, Baseline Energy Mix'!$O$15=0,0,'II. Inputs, Baseline Energy Mix'!$O$92*'II. Inputs, Baseline Energy Mix'!$O$16*AZ64)</f>
        <v>0</v>
      </c>
      <c r="BA66" s="259">
        <f>IF('II. Inputs, Baseline Energy Mix'!$O$15=0,0,'II. Inputs, Baseline Energy Mix'!$O$92*'II. Inputs, Baseline Energy Mix'!$O$16*BA64)</f>
        <v>0</v>
      </c>
      <c r="BB66" s="259">
        <f>IF('II. Inputs, Baseline Energy Mix'!$O$15=0,0,'II. Inputs, Baseline Energy Mix'!$O$92*'II. Inputs, Baseline Energy Mix'!$O$16*BB64)</f>
        <v>0</v>
      </c>
      <c r="BC66" s="259">
        <f>IF('II. Inputs, Baseline Energy Mix'!$O$15=0,0,'II. Inputs, Baseline Energy Mix'!$O$92*'II. Inputs, Baseline Energy Mix'!$O$16*BC64)</f>
        <v>0</v>
      </c>
      <c r="BD66" s="259">
        <f>IF('II. Inputs, Baseline Energy Mix'!$O$15=0,0,'II. Inputs, Baseline Energy Mix'!$O$92*'II. Inputs, Baseline Energy Mix'!$O$16*BD64)</f>
        <v>0</v>
      </c>
      <c r="BE66" s="260">
        <f>IF('II. Inputs, Baseline Energy Mix'!$O$15=0,0,'II. Inputs, Baseline Energy Mix'!$O$92*'II. Inputs, Baseline Energy Mix'!$O$16*BE64)</f>
        <v>0</v>
      </c>
    </row>
    <row r="67" spans="2:57" x14ac:dyDescent="0.25">
      <c r="B67" s="254"/>
      <c r="C67" s="255"/>
      <c r="D67" s="255"/>
      <c r="E67" s="258"/>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6"/>
    </row>
    <row r="68" spans="2:57" x14ac:dyDescent="0.25">
      <c r="B68" s="261" t="s">
        <v>99</v>
      </c>
      <c r="C68" s="262"/>
      <c r="D68" s="262"/>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4"/>
    </row>
    <row r="69" spans="2:57" x14ac:dyDescent="0.25">
      <c r="B69" s="254"/>
      <c r="C69" s="255"/>
      <c r="D69" s="255"/>
      <c r="E69" s="258"/>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6"/>
    </row>
    <row r="70" spans="2:57" x14ac:dyDescent="0.25">
      <c r="B70" s="254" t="s">
        <v>137</v>
      </c>
      <c r="C70" s="255"/>
      <c r="D70" s="255"/>
      <c r="E70" s="258"/>
      <c r="F70" s="258" t="s">
        <v>631</v>
      </c>
      <c r="G70" s="255"/>
      <c r="H70" s="1245">
        <f>IF('II. Inputs, Baseline Energy Mix'!$O$15=0,0,H64*'II. Inputs, Baseline Energy Mix'!$O$105*(1+'II. Inputs, Baseline Energy Mix'!$O$106)^('IV. LCOE, Baseline Energy Mix'!H$13-1))</f>
        <v>0</v>
      </c>
      <c r="I70" s="1245">
        <f>IF('II. Inputs, Baseline Energy Mix'!$O$15=0,0,I64*'II. Inputs, Baseline Energy Mix'!$O$105*(1+'II. Inputs, Baseline Energy Mix'!$O$106)^('IV. LCOE, Baseline Energy Mix'!I$13-1))</f>
        <v>0</v>
      </c>
      <c r="J70" s="1245">
        <f>IF('II. Inputs, Baseline Energy Mix'!$O$15=0,0,J64*'II. Inputs, Baseline Energy Mix'!$O$105*(1+'II. Inputs, Baseline Energy Mix'!$O$106)^('IV. LCOE, Baseline Energy Mix'!J$13-1))</f>
        <v>0</v>
      </c>
      <c r="K70" s="1245">
        <f>IF('II. Inputs, Baseline Energy Mix'!$O$15=0,0,K64*'II. Inputs, Baseline Energy Mix'!$O$105*(1+'II. Inputs, Baseline Energy Mix'!$O$106)^('IV. LCOE, Baseline Energy Mix'!K$13-1))</f>
        <v>0</v>
      </c>
      <c r="L70" s="1245">
        <f>IF('II. Inputs, Baseline Energy Mix'!$O$15=0,0,L64*'II. Inputs, Baseline Energy Mix'!$O$105*(1+'II. Inputs, Baseline Energy Mix'!$O$106)^('IV. LCOE, Baseline Energy Mix'!L$13-1))</f>
        <v>0</v>
      </c>
      <c r="M70" s="1245">
        <f>IF('II. Inputs, Baseline Energy Mix'!$O$15=0,0,M64*'II. Inputs, Baseline Energy Mix'!$O$105*(1+'II. Inputs, Baseline Energy Mix'!$O$106)^('IV. LCOE, Baseline Energy Mix'!M$13-1))</f>
        <v>0</v>
      </c>
      <c r="N70" s="1245">
        <f>IF('II. Inputs, Baseline Energy Mix'!$O$15=0,0,N64*'II. Inputs, Baseline Energy Mix'!$O$105*(1+'II. Inputs, Baseline Energy Mix'!$O$106)^('IV. LCOE, Baseline Energy Mix'!N$13-1))</f>
        <v>0</v>
      </c>
      <c r="O70" s="1245">
        <f>IF('II. Inputs, Baseline Energy Mix'!$O$15=0,0,O64*'II. Inputs, Baseline Energy Mix'!$O$105*(1+'II. Inputs, Baseline Energy Mix'!$O$106)^('IV. LCOE, Baseline Energy Mix'!O$13-1))</f>
        <v>0</v>
      </c>
      <c r="P70" s="1245">
        <f>IF('II. Inputs, Baseline Energy Mix'!$O$15=0,0,P64*'II. Inputs, Baseline Energy Mix'!$O$105*(1+'II. Inputs, Baseline Energy Mix'!$O$106)^('IV. LCOE, Baseline Energy Mix'!P$13-1))</f>
        <v>0</v>
      </c>
      <c r="Q70" s="1245">
        <f>IF('II. Inputs, Baseline Energy Mix'!$O$15=0,0,Q64*'II. Inputs, Baseline Energy Mix'!$O$105*(1+'II. Inputs, Baseline Energy Mix'!$O$106)^('IV. LCOE, Baseline Energy Mix'!Q$13-1))</f>
        <v>0</v>
      </c>
      <c r="R70" s="1245">
        <f>IF('II. Inputs, Baseline Energy Mix'!$O$15=0,0,R64*'II. Inputs, Baseline Energy Mix'!$O$105*(1+'II. Inputs, Baseline Energy Mix'!$O$106)^('IV. LCOE, Baseline Energy Mix'!R$13-1))</f>
        <v>0</v>
      </c>
      <c r="S70" s="1245">
        <f>IF('II. Inputs, Baseline Energy Mix'!$O$15=0,0,S64*'II. Inputs, Baseline Energy Mix'!$O$105*(1+'II. Inputs, Baseline Energy Mix'!$O$106)^('IV. LCOE, Baseline Energy Mix'!S$13-1))</f>
        <v>0</v>
      </c>
      <c r="T70" s="1245">
        <f>IF('II. Inputs, Baseline Energy Mix'!$O$15=0,0,T64*'II. Inputs, Baseline Energy Mix'!$O$105*(1+'II. Inputs, Baseline Energy Mix'!$O$106)^('IV. LCOE, Baseline Energy Mix'!T$13-1))</f>
        <v>0</v>
      </c>
      <c r="U70" s="1245">
        <f>IF('II. Inputs, Baseline Energy Mix'!$O$15=0,0,U64*'II. Inputs, Baseline Energy Mix'!$O$105*(1+'II. Inputs, Baseline Energy Mix'!$O$106)^('IV. LCOE, Baseline Energy Mix'!U$13-1))</f>
        <v>0</v>
      </c>
      <c r="V70" s="1245">
        <f>IF('II. Inputs, Baseline Energy Mix'!$O$15=0,0,V64*'II. Inputs, Baseline Energy Mix'!$O$105*(1+'II. Inputs, Baseline Energy Mix'!$O$106)^('IV. LCOE, Baseline Energy Mix'!V$13-1))</f>
        <v>0</v>
      </c>
      <c r="W70" s="1245">
        <f>IF('II. Inputs, Baseline Energy Mix'!$O$15=0,0,W64*'II. Inputs, Baseline Energy Mix'!$O$105*(1+'II. Inputs, Baseline Energy Mix'!$O$106)^('IV. LCOE, Baseline Energy Mix'!W$13-1))</f>
        <v>0</v>
      </c>
      <c r="X70" s="1245">
        <f>IF('II. Inputs, Baseline Energy Mix'!$O$15=0,0,X64*'II. Inputs, Baseline Energy Mix'!$O$105*(1+'II. Inputs, Baseline Energy Mix'!$O$106)^('IV. LCOE, Baseline Energy Mix'!X$13-1))</f>
        <v>0</v>
      </c>
      <c r="Y70" s="1245">
        <f>IF('II. Inputs, Baseline Energy Mix'!$O$15=0,0,Y64*'II. Inputs, Baseline Energy Mix'!$O$105*(1+'II. Inputs, Baseline Energy Mix'!$O$106)^('IV. LCOE, Baseline Energy Mix'!Y$13-1))</f>
        <v>0</v>
      </c>
      <c r="Z70" s="1245">
        <f>IF('II. Inputs, Baseline Energy Mix'!$O$15=0,0,Z64*'II. Inputs, Baseline Energy Mix'!$O$105*(1+'II. Inputs, Baseline Energy Mix'!$O$106)^('IV. LCOE, Baseline Energy Mix'!Z$13-1))</f>
        <v>0</v>
      </c>
      <c r="AA70" s="1245">
        <f>IF('II. Inputs, Baseline Energy Mix'!$O$15=0,0,AA64*'II. Inputs, Baseline Energy Mix'!$O$105*(1+'II. Inputs, Baseline Energy Mix'!$O$106)^('IV. LCOE, Baseline Energy Mix'!AA$13-1))</f>
        <v>0</v>
      </c>
      <c r="AB70" s="1245">
        <f>IF('II. Inputs, Baseline Energy Mix'!$O$15=0,0,AB64*'II. Inputs, Baseline Energy Mix'!$O$105*(1+'II. Inputs, Baseline Energy Mix'!$O$106)^('IV. LCOE, Baseline Energy Mix'!AB$13-1))</f>
        <v>0</v>
      </c>
      <c r="AC70" s="1245">
        <f>IF('II. Inputs, Baseline Energy Mix'!$O$15=0,0,AC64*'II. Inputs, Baseline Energy Mix'!$O$105*(1+'II. Inputs, Baseline Energy Mix'!$O$106)^('IV. LCOE, Baseline Energy Mix'!AC$13-1))</f>
        <v>0</v>
      </c>
      <c r="AD70" s="1245">
        <f>IF('II. Inputs, Baseline Energy Mix'!$O$15=0,0,AD64*'II. Inputs, Baseline Energy Mix'!$O$105*(1+'II. Inputs, Baseline Energy Mix'!$O$106)^('IV. LCOE, Baseline Energy Mix'!AD$13-1))</f>
        <v>0</v>
      </c>
      <c r="AE70" s="1245">
        <f>IF('II. Inputs, Baseline Energy Mix'!$O$15=0,0,AE64*'II. Inputs, Baseline Energy Mix'!$O$105*(1+'II. Inputs, Baseline Energy Mix'!$O$106)^('IV. LCOE, Baseline Energy Mix'!AE$13-1))</f>
        <v>0</v>
      </c>
      <c r="AF70" s="1245">
        <f>IF('II. Inputs, Baseline Energy Mix'!$O$15=0,0,AF64*'II. Inputs, Baseline Energy Mix'!$O$105*(1+'II. Inputs, Baseline Energy Mix'!$O$106)^('IV. LCOE, Baseline Energy Mix'!AF$13-1))</f>
        <v>0</v>
      </c>
      <c r="AG70" s="1245">
        <f>IF('II. Inputs, Baseline Energy Mix'!$O$15=0,0,AG64*'II. Inputs, Baseline Energy Mix'!$O$105*(1+'II. Inputs, Baseline Energy Mix'!$O$106)^('IV. LCOE, Baseline Energy Mix'!AG$13-1))</f>
        <v>0</v>
      </c>
      <c r="AH70" s="1245">
        <f>IF('II. Inputs, Baseline Energy Mix'!$O$15=0,0,AH64*'II. Inputs, Baseline Energy Mix'!$O$105*(1+'II. Inputs, Baseline Energy Mix'!$O$106)^('IV. LCOE, Baseline Energy Mix'!AH$13-1))</f>
        <v>0</v>
      </c>
      <c r="AI70" s="1245">
        <f>IF('II. Inputs, Baseline Energy Mix'!$O$15=0,0,AI64*'II. Inputs, Baseline Energy Mix'!$O$105*(1+'II. Inputs, Baseline Energy Mix'!$O$106)^('IV. LCOE, Baseline Energy Mix'!AI$13-1))</f>
        <v>0</v>
      </c>
      <c r="AJ70" s="1245">
        <f>IF('II. Inputs, Baseline Energy Mix'!$O$15=0,0,AJ64*'II. Inputs, Baseline Energy Mix'!$O$105*(1+'II. Inputs, Baseline Energy Mix'!$O$106)^('IV. LCOE, Baseline Energy Mix'!AJ$13-1))</f>
        <v>0</v>
      </c>
      <c r="AK70" s="1245">
        <f>IF('II. Inputs, Baseline Energy Mix'!$O$15=0,0,AK64*'II. Inputs, Baseline Energy Mix'!$O$105*(1+'II. Inputs, Baseline Energy Mix'!$O$106)^('IV. LCOE, Baseline Energy Mix'!AK$13-1))</f>
        <v>0</v>
      </c>
      <c r="AL70" s="1245">
        <f>IF('II. Inputs, Baseline Energy Mix'!$O$15=0,0,AL64*'II. Inputs, Baseline Energy Mix'!$O$105*(1+'II. Inputs, Baseline Energy Mix'!$O$106)^('IV. LCOE, Baseline Energy Mix'!AL$13-1))</f>
        <v>0</v>
      </c>
      <c r="AM70" s="1245">
        <f>IF('II. Inputs, Baseline Energy Mix'!$O$15=0,0,AM64*'II. Inputs, Baseline Energy Mix'!$O$105*(1+'II. Inputs, Baseline Energy Mix'!$O$106)^('IV. LCOE, Baseline Energy Mix'!AM$13-1))</f>
        <v>0</v>
      </c>
      <c r="AN70" s="1245">
        <f>IF('II. Inputs, Baseline Energy Mix'!$O$15=0,0,AN64*'II. Inputs, Baseline Energy Mix'!$O$105*(1+'II. Inputs, Baseline Energy Mix'!$O$106)^('IV. LCOE, Baseline Energy Mix'!AN$13-1))</f>
        <v>0</v>
      </c>
      <c r="AO70" s="1245">
        <f>IF('II. Inputs, Baseline Energy Mix'!$O$15=0,0,AO64*'II. Inputs, Baseline Energy Mix'!$O$105*(1+'II. Inputs, Baseline Energy Mix'!$O$106)^('IV. LCOE, Baseline Energy Mix'!AO$13-1))</f>
        <v>0</v>
      </c>
      <c r="AP70" s="1245">
        <f>IF('II. Inputs, Baseline Energy Mix'!$O$15=0,0,AP64*'II. Inputs, Baseline Energy Mix'!$O$105*(1+'II. Inputs, Baseline Energy Mix'!$O$106)^('IV. LCOE, Baseline Energy Mix'!AP$13-1))</f>
        <v>0</v>
      </c>
      <c r="AQ70" s="1245">
        <f>IF('II. Inputs, Baseline Energy Mix'!$O$15=0,0,AQ64*'II. Inputs, Baseline Energy Mix'!$O$105*(1+'II. Inputs, Baseline Energy Mix'!$O$106)^('IV. LCOE, Baseline Energy Mix'!AQ$13-1))</f>
        <v>0</v>
      </c>
      <c r="AR70" s="1245">
        <f>IF('II. Inputs, Baseline Energy Mix'!$O$15=0,0,AR64*'II. Inputs, Baseline Energy Mix'!$O$105*(1+'II. Inputs, Baseline Energy Mix'!$O$106)^('IV. LCOE, Baseline Energy Mix'!AR$13-1))</f>
        <v>0</v>
      </c>
      <c r="AS70" s="1245">
        <f>IF('II. Inputs, Baseline Energy Mix'!$O$15=0,0,AS64*'II. Inputs, Baseline Energy Mix'!$O$105*(1+'II. Inputs, Baseline Energy Mix'!$O$106)^('IV. LCOE, Baseline Energy Mix'!AS$13-1))</f>
        <v>0</v>
      </c>
      <c r="AT70" s="1245">
        <f>IF('II. Inputs, Baseline Energy Mix'!$O$15=0,0,AT64*'II. Inputs, Baseline Energy Mix'!$O$105*(1+'II. Inputs, Baseline Energy Mix'!$O$106)^('IV. LCOE, Baseline Energy Mix'!AT$13-1))</f>
        <v>0</v>
      </c>
      <c r="AU70" s="1245">
        <f>IF('II. Inputs, Baseline Energy Mix'!$O$15=0,0,AU64*'II. Inputs, Baseline Energy Mix'!$O$105*(1+'II. Inputs, Baseline Energy Mix'!$O$106)^('IV. LCOE, Baseline Energy Mix'!AU$13-1))</f>
        <v>0</v>
      </c>
      <c r="AV70" s="1245">
        <f>IF('II. Inputs, Baseline Energy Mix'!$O$15=0,0,AV64*'II. Inputs, Baseline Energy Mix'!$O$105*(1+'II. Inputs, Baseline Energy Mix'!$O$106)^('IV. LCOE, Baseline Energy Mix'!AV$13-1))</f>
        <v>0</v>
      </c>
      <c r="AW70" s="1245">
        <f>IF('II. Inputs, Baseline Energy Mix'!$O$15=0,0,AW64*'II. Inputs, Baseline Energy Mix'!$O$105*(1+'II. Inputs, Baseline Energy Mix'!$O$106)^('IV. LCOE, Baseline Energy Mix'!AW$13-1))</f>
        <v>0</v>
      </c>
      <c r="AX70" s="1245">
        <f>IF('II. Inputs, Baseline Energy Mix'!$O$15=0,0,AX64*'II. Inputs, Baseline Energy Mix'!$O$105*(1+'II. Inputs, Baseline Energy Mix'!$O$106)^('IV. LCOE, Baseline Energy Mix'!AX$13-1))</f>
        <v>0</v>
      </c>
      <c r="AY70" s="1245">
        <f>IF('II. Inputs, Baseline Energy Mix'!$O$15=0,0,AY64*'II. Inputs, Baseline Energy Mix'!$O$105*(1+'II. Inputs, Baseline Energy Mix'!$O$106)^('IV. LCOE, Baseline Energy Mix'!AY$13-1))</f>
        <v>0</v>
      </c>
      <c r="AZ70" s="1245">
        <f>IF('II. Inputs, Baseline Energy Mix'!$O$15=0,0,AZ64*'II. Inputs, Baseline Energy Mix'!$O$105*(1+'II. Inputs, Baseline Energy Mix'!$O$106)^('IV. LCOE, Baseline Energy Mix'!AZ$13-1))</f>
        <v>0</v>
      </c>
      <c r="BA70" s="1245">
        <f>IF('II. Inputs, Baseline Energy Mix'!$O$15=0,0,BA64*'II. Inputs, Baseline Energy Mix'!$O$105*(1+'II. Inputs, Baseline Energy Mix'!$O$106)^('IV. LCOE, Baseline Energy Mix'!BA$13-1))</f>
        <v>0</v>
      </c>
      <c r="BB70" s="1245">
        <f>IF('II. Inputs, Baseline Energy Mix'!$O$15=0,0,BB64*'II. Inputs, Baseline Energy Mix'!$O$105*(1+'II. Inputs, Baseline Energy Mix'!$O$106)^('IV. LCOE, Baseline Energy Mix'!BB$13-1))</f>
        <v>0</v>
      </c>
      <c r="BC70" s="1245">
        <f>IF('II. Inputs, Baseline Energy Mix'!$O$15=0,0,BC64*'II. Inputs, Baseline Energy Mix'!$O$105*(1+'II. Inputs, Baseline Energy Mix'!$O$106)^('IV. LCOE, Baseline Energy Mix'!BC$13-1))</f>
        <v>0</v>
      </c>
      <c r="BD70" s="1245">
        <f>IF('II. Inputs, Baseline Energy Mix'!$O$15=0,0,BD64*'II. Inputs, Baseline Energy Mix'!$O$105*(1+'II. Inputs, Baseline Energy Mix'!$O$106)^('IV. LCOE, Baseline Energy Mix'!BD$13-1))</f>
        <v>0</v>
      </c>
      <c r="BE70" s="1246">
        <f>IF('II. Inputs, Baseline Energy Mix'!$O$15=0,0,BE64*'II. Inputs, Baseline Energy Mix'!$O$105*(1+'II. Inputs, Baseline Energy Mix'!$O$106)^('IV. LCOE, Baseline Energy Mix'!BE$13-1))</f>
        <v>0</v>
      </c>
    </row>
    <row r="71" spans="2:57" x14ac:dyDescent="0.25">
      <c r="B71" s="254"/>
      <c r="C71" s="255"/>
      <c r="D71" s="255"/>
      <c r="E71" s="258"/>
      <c r="F71" s="258"/>
      <c r="G71" s="255"/>
      <c r="H71" s="1245"/>
      <c r="I71" s="1245"/>
      <c r="J71" s="1245"/>
      <c r="K71" s="1245"/>
      <c r="L71" s="1245"/>
      <c r="M71" s="1245"/>
      <c r="N71" s="1245"/>
      <c r="O71" s="1245"/>
      <c r="P71" s="1245"/>
      <c r="Q71" s="1245"/>
      <c r="R71" s="1245"/>
      <c r="S71" s="1245"/>
      <c r="T71" s="1245"/>
      <c r="U71" s="1245"/>
      <c r="V71" s="1245"/>
      <c r="W71" s="1245"/>
      <c r="X71" s="1245"/>
      <c r="Y71" s="1245"/>
      <c r="Z71" s="1245"/>
      <c r="AA71" s="1245"/>
      <c r="AB71" s="1245"/>
      <c r="AC71" s="1245"/>
      <c r="AD71" s="1245"/>
      <c r="AE71" s="1245"/>
      <c r="AF71" s="1245"/>
      <c r="AG71" s="1245"/>
      <c r="AH71" s="1245"/>
      <c r="AI71" s="1245"/>
      <c r="AJ71" s="1245"/>
      <c r="AK71" s="1245"/>
      <c r="AL71" s="1245"/>
      <c r="AM71" s="1245"/>
      <c r="AN71" s="1245"/>
      <c r="AO71" s="1245"/>
      <c r="AP71" s="1245"/>
      <c r="AQ71" s="1245"/>
      <c r="AR71" s="1245"/>
      <c r="AS71" s="1245"/>
      <c r="AT71" s="1245"/>
      <c r="AU71" s="1245"/>
      <c r="AV71" s="1245"/>
      <c r="AW71" s="1245"/>
      <c r="AX71" s="1245"/>
      <c r="AY71" s="1245"/>
      <c r="AZ71" s="1245"/>
      <c r="BA71" s="1245"/>
      <c r="BB71" s="1245"/>
      <c r="BC71" s="1245"/>
      <c r="BD71" s="1245"/>
      <c r="BE71" s="1246"/>
    </row>
    <row r="72" spans="2:57" x14ac:dyDescent="0.25">
      <c r="B72" s="254" t="s">
        <v>38</v>
      </c>
      <c r="C72" s="255"/>
      <c r="D72" s="255"/>
      <c r="E72" s="258"/>
      <c r="F72" s="258" t="s">
        <v>632</v>
      </c>
      <c r="G72" s="255"/>
      <c r="H72" s="1251">
        <f>IF('II. Inputs, Baseline Energy Mix'!$O$96="Model Default",'IV. LCOE, Baseline Energy Mix'!H73,IF('II. Inputs, Baseline Energy Mix'!$O$96="User-defined, annually adjusted",'IV. LCOE, Baseline Energy Mix'!H74,IF('II. Inputs, Baseline Energy Mix'!$O$96="Manual Entry",'IV. LCOE, Baseline Energy Mix'!H76,H75)))</f>
        <v>0</v>
      </c>
      <c r="I72" s="1251">
        <f>IF('II. Inputs, Baseline Energy Mix'!$O$96="Model Default",'IV. LCOE, Baseline Energy Mix'!I73,IF('II. Inputs, Baseline Energy Mix'!$O$96="User-defined, annually adjusted",'IV. LCOE, Baseline Energy Mix'!I74,IF('II. Inputs, Baseline Energy Mix'!$O$96="Manual Entry",'IV. LCOE, Baseline Energy Mix'!I76,I75)))</f>
        <v>0</v>
      </c>
      <c r="J72" s="1251">
        <f>IF('II. Inputs, Baseline Energy Mix'!$O$96="Model Default",'IV. LCOE, Baseline Energy Mix'!J73,IF('II. Inputs, Baseline Energy Mix'!$O$96="User-defined, annually adjusted",'IV. LCOE, Baseline Energy Mix'!J74,IF('II. Inputs, Baseline Energy Mix'!$O$96="Manual Entry",'IV. LCOE, Baseline Energy Mix'!J76,J75)))</f>
        <v>0</v>
      </c>
      <c r="K72" s="1251">
        <f>IF('II. Inputs, Baseline Energy Mix'!$O$96="Model Default",'IV. LCOE, Baseline Energy Mix'!K73,IF('II. Inputs, Baseline Energy Mix'!$O$96="User-defined, annually adjusted",'IV. LCOE, Baseline Energy Mix'!K74,IF('II. Inputs, Baseline Energy Mix'!$O$96="Manual Entry",'IV. LCOE, Baseline Energy Mix'!K76,K75)))</f>
        <v>0</v>
      </c>
      <c r="L72" s="1251">
        <f>IF('II. Inputs, Baseline Energy Mix'!$O$96="Model Default",'IV. LCOE, Baseline Energy Mix'!L73,IF('II. Inputs, Baseline Energy Mix'!$O$96="User-defined, annually adjusted",'IV. LCOE, Baseline Energy Mix'!L74,IF('II. Inputs, Baseline Energy Mix'!$O$96="Manual Entry",'IV. LCOE, Baseline Energy Mix'!L76,L75)))</f>
        <v>0</v>
      </c>
      <c r="M72" s="1251">
        <f>IF('II. Inputs, Baseline Energy Mix'!$O$96="Model Default",'IV. LCOE, Baseline Energy Mix'!M73,IF('II. Inputs, Baseline Energy Mix'!$O$96="User-defined, annually adjusted",'IV. LCOE, Baseline Energy Mix'!M74,IF('II. Inputs, Baseline Energy Mix'!$O$96="Manual Entry",'IV. LCOE, Baseline Energy Mix'!M76,M75)))</f>
        <v>0</v>
      </c>
      <c r="N72" s="1251">
        <f>IF('II. Inputs, Baseline Energy Mix'!$O$96="Model Default",'IV. LCOE, Baseline Energy Mix'!N73,IF('II. Inputs, Baseline Energy Mix'!$O$96="User-defined, annually adjusted",'IV. LCOE, Baseline Energy Mix'!N74,IF('II. Inputs, Baseline Energy Mix'!$O$96="Manual Entry",'IV. LCOE, Baseline Energy Mix'!N76,N75)))</f>
        <v>0</v>
      </c>
      <c r="O72" s="1251">
        <f>IF('II. Inputs, Baseline Energy Mix'!$O$96="Model Default",'IV. LCOE, Baseline Energy Mix'!O73,IF('II. Inputs, Baseline Energy Mix'!$O$96="User-defined, annually adjusted",'IV. LCOE, Baseline Energy Mix'!O74,IF('II. Inputs, Baseline Energy Mix'!$O$96="Manual Entry",'IV. LCOE, Baseline Energy Mix'!O76,O75)))</f>
        <v>0</v>
      </c>
      <c r="P72" s="1251">
        <f>IF('II. Inputs, Baseline Energy Mix'!$O$96="Model Default",'IV. LCOE, Baseline Energy Mix'!P73,IF('II. Inputs, Baseline Energy Mix'!$O$96="User-defined, annually adjusted",'IV. LCOE, Baseline Energy Mix'!P74,IF('II. Inputs, Baseline Energy Mix'!$O$96="Manual Entry",'IV. LCOE, Baseline Energy Mix'!P76,P75)))</f>
        <v>0</v>
      </c>
      <c r="Q72" s="1251">
        <f>IF('II. Inputs, Baseline Energy Mix'!$O$96="Model Default",'IV. LCOE, Baseline Energy Mix'!Q73,IF('II. Inputs, Baseline Energy Mix'!$O$96="User-defined, annually adjusted",'IV. LCOE, Baseline Energy Mix'!Q74,IF('II. Inputs, Baseline Energy Mix'!$O$96="Manual Entry",'IV. LCOE, Baseline Energy Mix'!Q76,Q75)))</f>
        <v>0</v>
      </c>
      <c r="R72" s="1251">
        <f>IF('II. Inputs, Baseline Energy Mix'!$O$96="Model Default",'IV. LCOE, Baseline Energy Mix'!R73,IF('II. Inputs, Baseline Energy Mix'!$O$96="User-defined, annually adjusted",'IV. LCOE, Baseline Energy Mix'!R74,IF('II. Inputs, Baseline Energy Mix'!$O$96="Manual Entry",'IV. LCOE, Baseline Energy Mix'!R76,R75)))</f>
        <v>0</v>
      </c>
      <c r="S72" s="1251">
        <f>IF('II. Inputs, Baseline Energy Mix'!$O$96="Model Default",'IV. LCOE, Baseline Energy Mix'!S73,IF('II. Inputs, Baseline Energy Mix'!$O$96="User-defined, annually adjusted",'IV. LCOE, Baseline Energy Mix'!S74,IF('II. Inputs, Baseline Energy Mix'!$O$96="Manual Entry",'IV. LCOE, Baseline Energy Mix'!S76,S75)))</f>
        <v>0</v>
      </c>
      <c r="T72" s="1251">
        <f>IF('II. Inputs, Baseline Energy Mix'!$O$96="Model Default",'IV. LCOE, Baseline Energy Mix'!T73,IF('II. Inputs, Baseline Energy Mix'!$O$96="User-defined, annually adjusted",'IV. LCOE, Baseline Energy Mix'!T74,IF('II. Inputs, Baseline Energy Mix'!$O$96="Manual Entry",'IV. LCOE, Baseline Energy Mix'!T76,T75)))</f>
        <v>0</v>
      </c>
      <c r="U72" s="1251">
        <f>IF('II. Inputs, Baseline Energy Mix'!$O$96="Model Default",'IV. LCOE, Baseline Energy Mix'!U73,IF('II. Inputs, Baseline Energy Mix'!$O$96="User-defined, annually adjusted",'IV. LCOE, Baseline Energy Mix'!U74,IF('II. Inputs, Baseline Energy Mix'!$O$96="Manual Entry",'IV. LCOE, Baseline Energy Mix'!U76,U75)))</f>
        <v>0</v>
      </c>
      <c r="V72" s="1251">
        <f>IF('II. Inputs, Baseline Energy Mix'!$O$96="Model Default",'IV. LCOE, Baseline Energy Mix'!V73,IF('II. Inputs, Baseline Energy Mix'!$O$96="User-defined, annually adjusted",'IV. LCOE, Baseline Energy Mix'!V74,IF('II. Inputs, Baseline Energy Mix'!$O$96="Manual Entry",'IV. LCOE, Baseline Energy Mix'!V76,V75)))</f>
        <v>0</v>
      </c>
      <c r="W72" s="1251">
        <f>IF('II. Inputs, Baseline Energy Mix'!$O$96="Model Default",'IV. LCOE, Baseline Energy Mix'!W73,IF('II. Inputs, Baseline Energy Mix'!$O$96="User-defined, annually adjusted",'IV. LCOE, Baseline Energy Mix'!W74,IF('II. Inputs, Baseline Energy Mix'!$O$96="Manual Entry",'IV. LCOE, Baseline Energy Mix'!W76,W75)))</f>
        <v>0</v>
      </c>
      <c r="X72" s="1251">
        <f>IF('II. Inputs, Baseline Energy Mix'!$O$96="Model Default",'IV. LCOE, Baseline Energy Mix'!X73,IF('II. Inputs, Baseline Energy Mix'!$O$96="User-defined, annually adjusted",'IV. LCOE, Baseline Energy Mix'!X74,IF('II. Inputs, Baseline Energy Mix'!$O$96="Manual Entry",'IV. LCOE, Baseline Energy Mix'!X76,X75)))</f>
        <v>0</v>
      </c>
      <c r="Y72" s="1251">
        <f>IF('II. Inputs, Baseline Energy Mix'!$O$96="Model Default",'IV. LCOE, Baseline Energy Mix'!Y73,IF('II. Inputs, Baseline Energy Mix'!$O$96="User-defined, annually adjusted",'IV. LCOE, Baseline Energy Mix'!Y74,IF('II. Inputs, Baseline Energy Mix'!$O$96="Manual Entry",'IV. LCOE, Baseline Energy Mix'!Y76,Y75)))</f>
        <v>0</v>
      </c>
      <c r="Z72" s="1251">
        <f>IF('II. Inputs, Baseline Energy Mix'!$O$96="Model Default",'IV. LCOE, Baseline Energy Mix'!Z73,IF('II. Inputs, Baseline Energy Mix'!$O$96="User-defined, annually adjusted",'IV. LCOE, Baseline Energy Mix'!Z74,IF('II. Inputs, Baseline Energy Mix'!$O$96="Manual Entry",'IV. LCOE, Baseline Energy Mix'!Z76,Z75)))</f>
        <v>0</v>
      </c>
      <c r="AA72" s="1251">
        <f>IF('II. Inputs, Baseline Energy Mix'!$O$96="Model Default",'IV. LCOE, Baseline Energy Mix'!AA73,IF('II. Inputs, Baseline Energy Mix'!$O$96="User-defined, annually adjusted",'IV. LCOE, Baseline Energy Mix'!AA74,IF('II. Inputs, Baseline Energy Mix'!$O$96="Manual Entry",'IV. LCOE, Baseline Energy Mix'!AA76,AA75)))</f>
        <v>0</v>
      </c>
      <c r="AB72" s="1251">
        <f>IF('II. Inputs, Baseline Energy Mix'!$O$96="Model Default",'IV. LCOE, Baseline Energy Mix'!AB73,IF('II. Inputs, Baseline Energy Mix'!$O$96="User-defined, annually adjusted",'IV. LCOE, Baseline Energy Mix'!AB74,IF('II. Inputs, Baseline Energy Mix'!$O$96="Manual Entry",'IV. LCOE, Baseline Energy Mix'!AB76,AB75)))</f>
        <v>0</v>
      </c>
      <c r="AC72" s="1251">
        <f>IF('II. Inputs, Baseline Energy Mix'!$O$96="Model Default",'IV. LCOE, Baseline Energy Mix'!AC73,IF('II. Inputs, Baseline Energy Mix'!$O$96="User-defined, annually adjusted",'IV. LCOE, Baseline Energy Mix'!AC74,IF('II. Inputs, Baseline Energy Mix'!$O$96="Manual Entry",'IV. LCOE, Baseline Energy Mix'!AC76,AC75)))</f>
        <v>0</v>
      </c>
      <c r="AD72" s="1251">
        <f>IF('II. Inputs, Baseline Energy Mix'!$O$96="Model Default",'IV. LCOE, Baseline Energy Mix'!AD73,IF('II. Inputs, Baseline Energy Mix'!$O$96="User-defined, annually adjusted",'IV. LCOE, Baseline Energy Mix'!AD74,IF('II. Inputs, Baseline Energy Mix'!$O$96="Manual Entry",'IV. LCOE, Baseline Energy Mix'!AD76,AD75)))</f>
        <v>0</v>
      </c>
      <c r="AE72" s="1251">
        <f>IF('II. Inputs, Baseline Energy Mix'!$O$96="Model Default",'IV. LCOE, Baseline Energy Mix'!AE73,IF('II. Inputs, Baseline Energy Mix'!$O$96="User-defined, annually adjusted",'IV. LCOE, Baseline Energy Mix'!AE74,IF('II. Inputs, Baseline Energy Mix'!$O$96="Manual Entry",'IV. LCOE, Baseline Energy Mix'!AE76,AE75)))</f>
        <v>0</v>
      </c>
      <c r="AF72" s="1251">
        <f>IF('II. Inputs, Baseline Energy Mix'!$O$96="Model Default",'IV. LCOE, Baseline Energy Mix'!AF73,IF('II. Inputs, Baseline Energy Mix'!$O$96="User-defined, annually adjusted",'IV. LCOE, Baseline Energy Mix'!AF74,IF('II. Inputs, Baseline Energy Mix'!$O$96="Manual Entry",'IV. LCOE, Baseline Energy Mix'!AF76,AF75)))</f>
        <v>0</v>
      </c>
      <c r="AG72" s="1251">
        <f>IF('II. Inputs, Baseline Energy Mix'!$O$96="Model Default",'IV. LCOE, Baseline Energy Mix'!AG73,IF('II. Inputs, Baseline Energy Mix'!$O$96="User-defined, annually adjusted",'IV. LCOE, Baseline Energy Mix'!AG74,IF('II. Inputs, Baseline Energy Mix'!$O$96="Manual Entry",'IV. LCOE, Baseline Energy Mix'!AG76,AG75)))</f>
        <v>0</v>
      </c>
      <c r="AH72" s="1251">
        <f>IF('II. Inputs, Baseline Energy Mix'!$O$96="Model Default",'IV. LCOE, Baseline Energy Mix'!AH73,IF('II. Inputs, Baseline Energy Mix'!$O$96="User-defined, annually adjusted",'IV. LCOE, Baseline Energy Mix'!AH74,IF('II. Inputs, Baseline Energy Mix'!$O$96="Manual Entry",'IV. LCOE, Baseline Energy Mix'!AH76,AH75)))</f>
        <v>0</v>
      </c>
      <c r="AI72" s="1251">
        <f>IF('II. Inputs, Baseline Energy Mix'!$O$96="Model Default",'IV. LCOE, Baseline Energy Mix'!AI73,IF('II. Inputs, Baseline Energy Mix'!$O$96="User-defined, annually adjusted",'IV. LCOE, Baseline Energy Mix'!AI74,IF('II. Inputs, Baseline Energy Mix'!$O$96="Manual Entry",'IV. LCOE, Baseline Energy Mix'!AI76,AI75)))</f>
        <v>0</v>
      </c>
      <c r="AJ72" s="1251">
        <f>IF('II. Inputs, Baseline Energy Mix'!$O$96="Model Default",'IV. LCOE, Baseline Energy Mix'!AJ73,IF('II. Inputs, Baseline Energy Mix'!$O$96="User-defined, annually adjusted",'IV. LCOE, Baseline Energy Mix'!AJ74,IF('II. Inputs, Baseline Energy Mix'!$O$96="Manual Entry",'IV. LCOE, Baseline Energy Mix'!AJ76,AJ75)))</f>
        <v>0</v>
      </c>
      <c r="AK72" s="1251">
        <f>IF('II. Inputs, Baseline Energy Mix'!$O$96="Model Default",'IV. LCOE, Baseline Energy Mix'!AK73,IF('II. Inputs, Baseline Energy Mix'!$O$96="User-defined, annually adjusted",'IV. LCOE, Baseline Energy Mix'!AK74,IF('II. Inputs, Baseline Energy Mix'!$O$96="Manual Entry",'IV. LCOE, Baseline Energy Mix'!AK76,AK75)))</f>
        <v>0</v>
      </c>
      <c r="AL72" s="1251">
        <f>IF('II. Inputs, Baseline Energy Mix'!$O$96="Model Default",'IV. LCOE, Baseline Energy Mix'!AL73,IF('II. Inputs, Baseline Energy Mix'!$O$96="User-defined, annually adjusted",'IV. LCOE, Baseline Energy Mix'!AL74,IF('II. Inputs, Baseline Energy Mix'!$O$96="Manual Entry",'IV. LCOE, Baseline Energy Mix'!AL76,AL75)))</f>
        <v>0</v>
      </c>
      <c r="AM72" s="1251">
        <f>IF('II. Inputs, Baseline Energy Mix'!$O$96="Model Default",'IV. LCOE, Baseline Energy Mix'!AM73,IF('II. Inputs, Baseline Energy Mix'!$O$96="User-defined, annually adjusted",'IV. LCOE, Baseline Energy Mix'!AM74,IF('II. Inputs, Baseline Energy Mix'!$O$96="Manual Entry",'IV. LCOE, Baseline Energy Mix'!AM76,AM75)))</f>
        <v>0</v>
      </c>
      <c r="AN72" s="1251">
        <f>IF('II. Inputs, Baseline Energy Mix'!$O$96="Model Default",'IV. LCOE, Baseline Energy Mix'!AN73,IF('II. Inputs, Baseline Energy Mix'!$O$96="User-defined, annually adjusted",'IV. LCOE, Baseline Energy Mix'!AN74,IF('II. Inputs, Baseline Energy Mix'!$O$96="Manual Entry",'IV. LCOE, Baseline Energy Mix'!AN76,AN75)))</f>
        <v>0</v>
      </c>
      <c r="AO72" s="1251">
        <f>IF('II. Inputs, Baseline Energy Mix'!$O$96="Model Default",'IV. LCOE, Baseline Energy Mix'!AO73,IF('II. Inputs, Baseline Energy Mix'!$O$96="User-defined, annually adjusted",'IV. LCOE, Baseline Energy Mix'!AO74,IF('II. Inputs, Baseline Energy Mix'!$O$96="Manual Entry",'IV. LCOE, Baseline Energy Mix'!AO76,AO75)))</f>
        <v>0</v>
      </c>
      <c r="AP72" s="1251">
        <f>IF('II. Inputs, Baseline Energy Mix'!$O$96="Model Default",'IV. LCOE, Baseline Energy Mix'!AP73,IF('II. Inputs, Baseline Energy Mix'!$O$96="User-defined, annually adjusted",'IV. LCOE, Baseline Energy Mix'!AP74,IF('II. Inputs, Baseline Energy Mix'!$O$96="Manual Entry",'IV. LCOE, Baseline Energy Mix'!AP76,AP75)))</f>
        <v>0</v>
      </c>
      <c r="AQ72" s="1251">
        <f>IF('II. Inputs, Baseline Energy Mix'!$O$96="Model Default",'IV. LCOE, Baseline Energy Mix'!AQ73,IF('II. Inputs, Baseline Energy Mix'!$O$96="User-defined, annually adjusted",'IV. LCOE, Baseline Energy Mix'!AQ74,IF('II. Inputs, Baseline Energy Mix'!$O$96="Manual Entry",'IV. LCOE, Baseline Energy Mix'!AQ76,AQ75)))</f>
        <v>0</v>
      </c>
      <c r="AR72" s="1251">
        <f>IF('II. Inputs, Baseline Energy Mix'!$O$96="Model Default",'IV. LCOE, Baseline Energy Mix'!AR73,IF('II. Inputs, Baseline Energy Mix'!$O$96="User-defined, annually adjusted",'IV. LCOE, Baseline Energy Mix'!AR74,IF('II. Inputs, Baseline Energy Mix'!$O$96="Manual Entry",'IV. LCOE, Baseline Energy Mix'!AR76,AR75)))</f>
        <v>0</v>
      </c>
      <c r="AS72" s="1251">
        <f>IF('II. Inputs, Baseline Energy Mix'!$O$96="Model Default",'IV. LCOE, Baseline Energy Mix'!AS73,IF('II. Inputs, Baseline Energy Mix'!$O$96="User-defined, annually adjusted",'IV. LCOE, Baseline Energy Mix'!AS74,IF('II. Inputs, Baseline Energy Mix'!$O$96="Manual Entry",'IV. LCOE, Baseline Energy Mix'!AS76,AS75)))</f>
        <v>0</v>
      </c>
      <c r="AT72" s="1251">
        <f>IF('II. Inputs, Baseline Energy Mix'!$O$96="Model Default",'IV. LCOE, Baseline Energy Mix'!AT73,IF('II. Inputs, Baseline Energy Mix'!$O$96="User-defined, annually adjusted",'IV. LCOE, Baseline Energy Mix'!AT74,IF('II. Inputs, Baseline Energy Mix'!$O$96="Manual Entry",'IV. LCOE, Baseline Energy Mix'!AT76,AT75)))</f>
        <v>0</v>
      </c>
      <c r="AU72" s="1251">
        <f>IF('II. Inputs, Baseline Energy Mix'!$O$96="Model Default",'IV. LCOE, Baseline Energy Mix'!AU73,IF('II. Inputs, Baseline Energy Mix'!$O$96="User-defined, annually adjusted",'IV. LCOE, Baseline Energy Mix'!AU74,IF('II. Inputs, Baseline Energy Mix'!$O$96="Manual Entry",'IV. LCOE, Baseline Energy Mix'!AU76,AU75)))</f>
        <v>0</v>
      </c>
      <c r="AV72" s="1251">
        <f>IF('II. Inputs, Baseline Energy Mix'!$O$96="Model Default",'IV. LCOE, Baseline Energy Mix'!AV73,IF('II. Inputs, Baseline Energy Mix'!$O$96="User-defined, annually adjusted",'IV. LCOE, Baseline Energy Mix'!AV74,IF('II. Inputs, Baseline Energy Mix'!$O$96="Manual Entry",'IV. LCOE, Baseline Energy Mix'!AV76,AV75)))</f>
        <v>0</v>
      </c>
      <c r="AW72" s="1251">
        <f>IF('II. Inputs, Baseline Energy Mix'!$O$96="Model Default",'IV. LCOE, Baseline Energy Mix'!AW73,IF('II. Inputs, Baseline Energy Mix'!$O$96="User-defined, annually adjusted",'IV. LCOE, Baseline Energy Mix'!AW74,IF('II. Inputs, Baseline Energy Mix'!$O$96="Manual Entry",'IV. LCOE, Baseline Energy Mix'!AW76,AW75)))</f>
        <v>0</v>
      </c>
      <c r="AX72" s="1251">
        <f>IF('II. Inputs, Baseline Energy Mix'!$O$96="Model Default",'IV. LCOE, Baseline Energy Mix'!AX73,IF('II. Inputs, Baseline Energy Mix'!$O$96="User-defined, annually adjusted",'IV. LCOE, Baseline Energy Mix'!AX74,IF('II. Inputs, Baseline Energy Mix'!$O$96="Manual Entry",'IV. LCOE, Baseline Energy Mix'!AX76,AX75)))</f>
        <v>0</v>
      </c>
      <c r="AY72" s="1251">
        <f>IF('II. Inputs, Baseline Energy Mix'!$O$96="Model Default",'IV. LCOE, Baseline Energy Mix'!AY73,IF('II. Inputs, Baseline Energy Mix'!$O$96="User-defined, annually adjusted",'IV. LCOE, Baseline Energy Mix'!AY74,IF('II. Inputs, Baseline Energy Mix'!$O$96="Manual Entry",'IV. LCOE, Baseline Energy Mix'!AY76,AY75)))</f>
        <v>0</v>
      </c>
      <c r="AZ72" s="1251">
        <f>IF('II. Inputs, Baseline Energy Mix'!$O$96="Model Default",'IV. LCOE, Baseline Energy Mix'!AZ73,IF('II. Inputs, Baseline Energy Mix'!$O$96="User-defined, annually adjusted",'IV. LCOE, Baseline Energy Mix'!AZ74,IF('II. Inputs, Baseline Energy Mix'!$O$96="Manual Entry",'IV. LCOE, Baseline Energy Mix'!AZ76,AZ75)))</f>
        <v>0</v>
      </c>
      <c r="BA72" s="1251">
        <f>IF('II. Inputs, Baseline Energy Mix'!$O$96="Model Default",'IV. LCOE, Baseline Energy Mix'!BA73,IF('II. Inputs, Baseline Energy Mix'!$O$96="User-defined, annually adjusted",'IV. LCOE, Baseline Energy Mix'!BA74,IF('II. Inputs, Baseline Energy Mix'!$O$96="Manual Entry",'IV. LCOE, Baseline Energy Mix'!BA76,BA75)))</f>
        <v>0</v>
      </c>
      <c r="BB72" s="1251">
        <f>IF('II. Inputs, Baseline Energy Mix'!$O$96="Model Default",'IV. LCOE, Baseline Energy Mix'!BB73,IF('II. Inputs, Baseline Energy Mix'!$O$96="User-defined, annually adjusted",'IV. LCOE, Baseline Energy Mix'!BB74,IF('II. Inputs, Baseline Energy Mix'!$O$96="Manual Entry",'IV. LCOE, Baseline Energy Mix'!BB76,BB75)))</f>
        <v>0</v>
      </c>
      <c r="BC72" s="1251">
        <f>IF('II. Inputs, Baseline Energy Mix'!$O$96="Model Default",'IV. LCOE, Baseline Energy Mix'!BC73,IF('II. Inputs, Baseline Energy Mix'!$O$96="User-defined, annually adjusted",'IV. LCOE, Baseline Energy Mix'!BC74,IF('II. Inputs, Baseline Energy Mix'!$O$96="Manual Entry",'IV. LCOE, Baseline Energy Mix'!BC76,BC75)))</f>
        <v>0</v>
      </c>
      <c r="BD72" s="1251">
        <f>IF('II. Inputs, Baseline Energy Mix'!$O$96="Model Default",'IV. LCOE, Baseline Energy Mix'!BD73,IF('II. Inputs, Baseline Energy Mix'!$O$96="User-defined, annually adjusted",'IV. LCOE, Baseline Energy Mix'!BD74,IF('II. Inputs, Baseline Energy Mix'!$O$96="Manual Entry",'IV. LCOE, Baseline Energy Mix'!BD76,BD75)))</f>
        <v>0</v>
      </c>
      <c r="BE72" s="1252">
        <f>IF('II. Inputs, Baseline Energy Mix'!$O$96="Model Default",'IV. LCOE, Baseline Energy Mix'!BE73,IF('II. Inputs, Baseline Energy Mix'!$O$96="User-defined, annually adjusted",'IV. LCOE, Baseline Energy Mix'!BE74,IF('II. Inputs, Baseline Energy Mix'!$O$96="Manual Entry",'IV. LCOE, Baseline Energy Mix'!BE76,BE75)))</f>
        <v>0</v>
      </c>
    </row>
    <row r="73" spans="2:57" outlineLevel="1" x14ac:dyDescent="0.25">
      <c r="B73" s="254"/>
      <c r="C73" s="255" t="s">
        <v>160</v>
      </c>
      <c r="D73" s="255"/>
      <c r="E73" s="258"/>
      <c r="F73" s="258"/>
      <c r="G73" s="255"/>
      <c r="H73" s="1251">
        <f>H64*VLOOKUP('IV. LCOE, Baseline Energy Mix'!H$13,'IX. Additional Data'!$C$17:$V$66,4, FALSE)</f>
        <v>0</v>
      </c>
      <c r="I73" s="1251">
        <f>I64*VLOOKUP('IV. LCOE, Baseline Energy Mix'!I$13,'IX. Additional Data'!$C$17:$V$66,4, FALSE)</f>
        <v>0</v>
      </c>
      <c r="J73" s="1251">
        <f>J64*VLOOKUP('IV. LCOE, Baseline Energy Mix'!J$13,'IX. Additional Data'!$C$17:$V$66,4, FALSE)</f>
        <v>0</v>
      </c>
      <c r="K73" s="1251">
        <f>K64*VLOOKUP('IV. LCOE, Baseline Energy Mix'!K$13,'IX. Additional Data'!$C$17:$V$66,4, FALSE)</f>
        <v>0</v>
      </c>
      <c r="L73" s="1251">
        <f>L64*VLOOKUP('IV. LCOE, Baseline Energy Mix'!L$13,'IX. Additional Data'!$C$17:$V$66,4, FALSE)</f>
        <v>0</v>
      </c>
      <c r="M73" s="1251">
        <f>M64*VLOOKUP('IV. LCOE, Baseline Energy Mix'!M$13,'IX. Additional Data'!$C$17:$V$66,4, FALSE)</f>
        <v>0</v>
      </c>
      <c r="N73" s="1251">
        <f>N64*VLOOKUP('IV. LCOE, Baseline Energy Mix'!N$13,'IX. Additional Data'!$C$17:$V$66,4, FALSE)</f>
        <v>0</v>
      </c>
      <c r="O73" s="1251">
        <f>O64*VLOOKUP('IV. LCOE, Baseline Energy Mix'!O$13,'IX. Additional Data'!$C$17:$V$66,4, FALSE)</f>
        <v>0</v>
      </c>
      <c r="P73" s="1251">
        <f>P64*VLOOKUP('IV. LCOE, Baseline Energy Mix'!P$13,'IX. Additional Data'!$C$17:$V$66,4, FALSE)</f>
        <v>0</v>
      </c>
      <c r="Q73" s="1251">
        <f>Q64*VLOOKUP('IV. LCOE, Baseline Energy Mix'!Q$13,'IX. Additional Data'!$C$17:$V$66,4, FALSE)</f>
        <v>0</v>
      </c>
      <c r="R73" s="1251">
        <f>R64*VLOOKUP('IV. LCOE, Baseline Energy Mix'!R$13,'IX. Additional Data'!$C$17:$V$66,4, FALSE)</f>
        <v>0</v>
      </c>
      <c r="S73" s="1251">
        <f>S64*VLOOKUP('IV. LCOE, Baseline Energy Mix'!S$13,'IX. Additional Data'!$C$17:$V$66,4, FALSE)</f>
        <v>0</v>
      </c>
      <c r="T73" s="1251">
        <f>T64*VLOOKUP('IV. LCOE, Baseline Energy Mix'!T$13,'IX. Additional Data'!$C$17:$V$66,4, FALSE)</f>
        <v>0</v>
      </c>
      <c r="U73" s="1251">
        <f>U64*VLOOKUP('IV. LCOE, Baseline Energy Mix'!U$13,'IX. Additional Data'!$C$17:$V$66,4, FALSE)</f>
        <v>0</v>
      </c>
      <c r="V73" s="1251">
        <f>V64*VLOOKUP('IV. LCOE, Baseline Energy Mix'!V$13,'IX. Additional Data'!$C$17:$V$66,4, FALSE)</f>
        <v>0</v>
      </c>
      <c r="W73" s="1251">
        <f>W64*VLOOKUP('IV. LCOE, Baseline Energy Mix'!W$13,'IX. Additional Data'!$C$17:$V$66,4, FALSE)</f>
        <v>0</v>
      </c>
      <c r="X73" s="1251">
        <f>X64*VLOOKUP('IV. LCOE, Baseline Energy Mix'!X$13,'IX. Additional Data'!$C$17:$V$66,4, FALSE)</f>
        <v>0</v>
      </c>
      <c r="Y73" s="1251">
        <f>Y64*VLOOKUP('IV. LCOE, Baseline Energy Mix'!Y$13,'IX. Additional Data'!$C$17:$V$66,4, FALSE)</f>
        <v>0</v>
      </c>
      <c r="Z73" s="1251">
        <f>Z64*VLOOKUP('IV. LCOE, Baseline Energy Mix'!Z$13,'IX. Additional Data'!$C$17:$V$66,4, FALSE)</f>
        <v>0</v>
      </c>
      <c r="AA73" s="1251">
        <f>AA64*VLOOKUP('IV. LCOE, Baseline Energy Mix'!AA$13,'IX. Additional Data'!$C$17:$V$66,4, FALSE)</f>
        <v>0</v>
      </c>
      <c r="AB73" s="1251">
        <f>AB64*VLOOKUP('IV. LCOE, Baseline Energy Mix'!AB$13,'IX. Additional Data'!$C$17:$V$66,4, FALSE)</f>
        <v>0</v>
      </c>
      <c r="AC73" s="1251">
        <f>AC64*VLOOKUP('IV. LCOE, Baseline Energy Mix'!AC$13,'IX. Additional Data'!$C$17:$V$66,4, FALSE)</f>
        <v>0</v>
      </c>
      <c r="AD73" s="1251">
        <f>AD64*VLOOKUP('IV. LCOE, Baseline Energy Mix'!AD$13,'IX. Additional Data'!$C$17:$V$66,4, FALSE)</f>
        <v>0</v>
      </c>
      <c r="AE73" s="1251">
        <f>AE64*VLOOKUP('IV. LCOE, Baseline Energy Mix'!AE$13,'IX. Additional Data'!$C$17:$V$66,4, FALSE)</f>
        <v>0</v>
      </c>
      <c r="AF73" s="1251">
        <f>AF64*VLOOKUP('IV. LCOE, Baseline Energy Mix'!AF$13,'IX. Additional Data'!$C$17:$V$66,4, FALSE)</f>
        <v>0</v>
      </c>
      <c r="AG73" s="1251">
        <f>AG64*VLOOKUP('IV. LCOE, Baseline Energy Mix'!AG$13,'IX. Additional Data'!$C$17:$V$66,4, FALSE)</f>
        <v>0</v>
      </c>
      <c r="AH73" s="1251">
        <f>AH64*VLOOKUP('IV. LCOE, Baseline Energy Mix'!AH$13,'IX. Additional Data'!$C$17:$V$66,4, FALSE)</f>
        <v>0</v>
      </c>
      <c r="AI73" s="1251">
        <f>AI64*VLOOKUP('IV. LCOE, Baseline Energy Mix'!AI$13,'IX. Additional Data'!$C$17:$V$66,4, FALSE)</f>
        <v>0</v>
      </c>
      <c r="AJ73" s="1251">
        <f>AJ64*VLOOKUP('IV. LCOE, Baseline Energy Mix'!AJ$13,'IX. Additional Data'!$C$17:$V$66,4, FALSE)</f>
        <v>0</v>
      </c>
      <c r="AK73" s="1251">
        <f>AK64*VLOOKUP('IV. LCOE, Baseline Energy Mix'!AK$13,'IX. Additional Data'!$C$17:$V$66,4, FALSE)</f>
        <v>0</v>
      </c>
      <c r="AL73" s="1251">
        <f>AL64*VLOOKUP('IV. LCOE, Baseline Energy Mix'!AL$13,'IX. Additional Data'!$C$17:$V$66,4, FALSE)</f>
        <v>0</v>
      </c>
      <c r="AM73" s="1251">
        <f>AM64*VLOOKUP('IV. LCOE, Baseline Energy Mix'!AM$13,'IX. Additional Data'!$C$17:$V$66,4, FALSE)</f>
        <v>0</v>
      </c>
      <c r="AN73" s="1251">
        <f>AN64*VLOOKUP('IV. LCOE, Baseline Energy Mix'!AN$13,'IX. Additional Data'!$C$17:$V$66,4, FALSE)</f>
        <v>0</v>
      </c>
      <c r="AO73" s="1251">
        <f>AO64*VLOOKUP('IV. LCOE, Baseline Energy Mix'!AO$13,'IX. Additional Data'!$C$17:$V$66,4, FALSE)</f>
        <v>0</v>
      </c>
      <c r="AP73" s="1251">
        <f>AP64*VLOOKUP('IV. LCOE, Baseline Energy Mix'!AP$13,'IX. Additional Data'!$C$17:$V$66,4, FALSE)</f>
        <v>0</v>
      </c>
      <c r="AQ73" s="1251">
        <f>AQ64*VLOOKUP('IV. LCOE, Baseline Energy Mix'!AQ$13,'IX. Additional Data'!$C$17:$V$66,4, FALSE)</f>
        <v>0</v>
      </c>
      <c r="AR73" s="1251">
        <f>AR64*VLOOKUP('IV. LCOE, Baseline Energy Mix'!AR$13,'IX. Additional Data'!$C$17:$V$66,4, FALSE)</f>
        <v>0</v>
      </c>
      <c r="AS73" s="1251">
        <f>AS64*VLOOKUP('IV. LCOE, Baseline Energy Mix'!AS$13,'IX. Additional Data'!$C$17:$V$66,4, FALSE)</f>
        <v>0</v>
      </c>
      <c r="AT73" s="1251">
        <f>AT64*VLOOKUP('IV. LCOE, Baseline Energy Mix'!AT$13,'IX. Additional Data'!$C$17:$V$66,4, FALSE)</f>
        <v>0</v>
      </c>
      <c r="AU73" s="1251">
        <f>AU64*VLOOKUP('IV. LCOE, Baseline Energy Mix'!AU$13,'IX. Additional Data'!$C$17:$V$66,4, FALSE)</f>
        <v>0</v>
      </c>
      <c r="AV73" s="1251">
        <f>AV64*VLOOKUP('IV. LCOE, Baseline Energy Mix'!AV$13,'IX. Additional Data'!$C$17:$V$66,4, FALSE)</f>
        <v>0</v>
      </c>
      <c r="AW73" s="1251">
        <f>AW64*VLOOKUP('IV. LCOE, Baseline Energy Mix'!AW$13,'IX. Additional Data'!$C$17:$V$66,4, FALSE)</f>
        <v>0</v>
      </c>
      <c r="AX73" s="1251">
        <f>AX64*VLOOKUP('IV. LCOE, Baseline Energy Mix'!AX$13,'IX. Additional Data'!$C$17:$V$66,4, FALSE)</f>
        <v>0</v>
      </c>
      <c r="AY73" s="1251">
        <f>AY64*VLOOKUP('IV. LCOE, Baseline Energy Mix'!AY$13,'IX. Additional Data'!$C$17:$V$66,4, FALSE)</f>
        <v>0</v>
      </c>
      <c r="AZ73" s="1251">
        <f>AZ64*VLOOKUP('IV. LCOE, Baseline Energy Mix'!AZ$13,'IX. Additional Data'!$C$17:$V$66,4, FALSE)</f>
        <v>0</v>
      </c>
      <c r="BA73" s="1251">
        <f>BA64*VLOOKUP('IV. LCOE, Baseline Energy Mix'!BA$13,'IX. Additional Data'!$C$17:$V$66,4, FALSE)</f>
        <v>0</v>
      </c>
      <c r="BB73" s="1251">
        <f>BB64*VLOOKUP('IV. LCOE, Baseline Energy Mix'!BB$13,'IX. Additional Data'!$C$17:$V$66,4, FALSE)</f>
        <v>0</v>
      </c>
      <c r="BC73" s="1251">
        <f>BC64*VLOOKUP('IV. LCOE, Baseline Energy Mix'!BC$13,'IX. Additional Data'!$C$17:$V$66,4, FALSE)</f>
        <v>0</v>
      </c>
      <c r="BD73" s="1251">
        <f>BD64*VLOOKUP('IV. LCOE, Baseline Energy Mix'!BD$13,'IX. Additional Data'!$C$17:$V$66,4, FALSE)</f>
        <v>0</v>
      </c>
      <c r="BE73" s="1252">
        <f>BE64*VLOOKUP('IV. LCOE, Baseline Energy Mix'!BE$13,'IX. Additional Data'!$C$17:$V$66,4, FALSE)</f>
        <v>0</v>
      </c>
    </row>
    <row r="74" spans="2:57" outlineLevel="1" x14ac:dyDescent="0.25">
      <c r="B74" s="254"/>
      <c r="C74" s="255" t="s">
        <v>161</v>
      </c>
      <c r="D74" s="255"/>
      <c r="E74" s="258"/>
      <c r="F74" s="258"/>
      <c r="G74" s="255"/>
      <c r="H74" s="1251">
        <f xml:space="preserve"> H64*'II. Inputs, Baseline Energy Mix'!$O$98*(1+'II. Inputs, Baseline Energy Mix'!$O$99)^('IV. LCOE, Baseline Energy Mix'!H$13-1)</f>
        <v>0</v>
      </c>
      <c r="I74" s="1251">
        <f xml:space="preserve"> I64*'II. Inputs, Baseline Energy Mix'!$O$98*(1+'II. Inputs, Baseline Energy Mix'!$O$99)^('IV. LCOE, Baseline Energy Mix'!I$13-1)</f>
        <v>0</v>
      </c>
      <c r="J74" s="1251">
        <f xml:space="preserve"> J64*'II. Inputs, Baseline Energy Mix'!$O$98*(1+'II. Inputs, Baseline Energy Mix'!$O$99)^('IV. LCOE, Baseline Energy Mix'!J$13-1)</f>
        <v>0</v>
      </c>
      <c r="K74" s="1251">
        <f xml:space="preserve"> K64*'II. Inputs, Baseline Energy Mix'!$O$98*(1+'II. Inputs, Baseline Energy Mix'!$O$99)^('IV. LCOE, Baseline Energy Mix'!K$13-1)</f>
        <v>0</v>
      </c>
      <c r="L74" s="1251">
        <f xml:space="preserve"> L64*'II. Inputs, Baseline Energy Mix'!$O$98*(1+'II. Inputs, Baseline Energy Mix'!$O$99)^('IV. LCOE, Baseline Energy Mix'!L$13-1)</f>
        <v>0</v>
      </c>
      <c r="M74" s="1251">
        <f xml:space="preserve"> M64*'II. Inputs, Baseline Energy Mix'!$O$98*(1+'II. Inputs, Baseline Energy Mix'!$O$99)^('IV. LCOE, Baseline Energy Mix'!M$13-1)</f>
        <v>0</v>
      </c>
      <c r="N74" s="1251">
        <f xml:space="preserve"> N64*'II. Inputs, Baseline Energy Mix'!$O$98*(1+'II. Inputs, Baseline Energy Mix'!$O$99)^('IV. LCOE, Baseline Energy Mix'!N$13-1)</f>
        <v>0</v>
      </c>
      <c r="O74" s="1251">
        <f xml:space="preserve"> O64*'II. Inputs, Baseline Energy Mix'!$O$98*(1+'II. Inputs, Baseline Energy Mix'!$O$99)^('IV. LCOE, Baseline Energy Mix'!O$13-1)</f>
        <v>0</v>
      </c>
      <c r="P74" s="1251">
        <f xml:space="preserve"> P64*'II. Inputs, Baseline Energy Mix'!$O$98*(1+'II. Inputs, Baseline Energy Mix'!$O$99)^('IV. LCOE, Baseline Energy Mix'!P$13-1)</f>
        <v>0</v>
      </c>
      <c r="Q74" s="1251">
        <f xml:space="preserve"> Q64*'II. Inputs, Baseline Energy Mix'!$O$98*(1+'II. Inputs, Baseline Energy Mix'!$O$99)^('IV. LCOE, Baseline Energy Mix'!Q$13-1)</f>
        <v>0</v>
      </c>
      <c r="R74" s="1251">
        <f xml:space="preserve"> R64*'II. Inputs, Baseline Energy Mix'!$O$98*(1+'II. Inputs, Baseline Energy Mix'!$O$99)^('IV. LCOE, Baseline Energy Mix'!R$13-1)</f>
        <v>0</v>
      </c>
      <c r="S74" s="1251">
        <f xml:space="preserve"> S64*'II. Inputs, Baseline Energy Mix'!$O$98*(1+'II. Inputs, Baseline Energy Mix'!$O$99)^('IV. LCOE, Baseline Energy Mix'!S$13-1)</f>
        <v>0</v>
      </c>
      <c r="T74" s="1251">
        <f xml:space="preserve"> T64*'II. Inputs, Baseline Energy Mix'!$O$98*(1+'II. Inputs, Baseline Energy Mix'!$O$99)^('IV. LCOE, Baseline Energy Mix'!T$13-1)</f>
        <v>0</v>
      </c>
      <c r="U74" s="1251">
        <f xml:space="preserve"> U64*'II. Inputs, Baseline Energy Mix'!$O$98*(1+'II. Inputs, Baseline Energy Mix'!$O$99)^('IV. LCOE, Baseline Energy Mix'!U$13-1)</f>
        <v>0</v>
      </c>
      <c r="V74" s="1251">
        <f xml:space="preserve"> V64*'II. Inputs, Baseline Energy Mix'!$O$98*(1+'II. Inputs, Baseline Energy Mix'!$O$99)^('IV. LCOE, Baseline Energy Mix'!V$13-1)</f>
        <v>0</v>
      </c>
      <c r="W74" s="1251">
        <f xml:space="preserve"> W64*'II. Inputs, Baseline Energy Mix'!$O$98*(1+'II. Inputs, Baseline Energy Mix'!$O$99)^('IV. LCOE, Baseline Energy Mix'!W$13-1)</f>
        <v>0</v>
      </c>
      <c r="X74" s="1251">
        <f xml:space="preserve"> X64*'II. Inputs, Baseline Energy Mix'!$O$98*(1+'II. Inputs, Baseline Energy Mix'!$O$99)^('IV. LCOE, Baseline Energy Mix'!X$13-1)</f>
        <v>0</v>
      </c>
      <c r="Y74" s="1251">
        <f xml:space="preserve"> Y64*'II. Inputs, Baseline Energy Mix'!$O$98*(1+'II. Inputs, Baseline Energy Mix'!$O$99)^('IV. LCOE, Baseline Energy Mix'!Y$13-1)</f>
        <v>0</v>
      </c>
      <c r="Z74" s="1251">
        <f xml:space="preserve"> Z64*'II. Inputs, Baseline Energy Mix'!$O$98*(1+'II. Inputs, Baseline Energy Mix'!$O$99)^('IV. LCOE, Baseline Energy Mix'!Z$13-1)</f>
        <v>0</v>
      </c>
      <c r="AA74" s="1251">
        <f xml:space="preserve"> AA64*'II. Inputs, Baseline Energy Mix'!$O$98*(1+'II. Inputs, Baseline Energy Mix'!$O$99)^('IV. LCOE, Baseline Energy Mix'!AA$13-1)</f>
        <v>0</v>
      </c>
      <c r="AB74" s="1251">
        <f xml:space="preserve"> AB64*'II. Inputs, Baseline Energy Mix'!$O$98*(1+'II. Inputs, Baseline Energy Mix'!$O$99)^('IV. LCOE, Baseline Energy Mix'!AB$13-1)</f>
        <v>0</v>
      </c>
      <c r="AC74" s="1251">
        <f xml:space="preserve"> AC64*'II. Inputs, Baseline Energy Mix'!$O$98*(1+'II. Inputs, Baseline Energy Mix'!$O$99)^('IV. LCOE, Baseline Energy Mix'!AC$13-1)</f>
        <v>0</v>
      </c>
      <c r="AD74" s="1251">
        <f xml:space="preserve"> AD64*'II. Inputs, Baseline Energy Mix'!$O$98*(1+'II. Inputs, Baseline Energy Mix'!$O$99)^('IV. LCOE, Baseline Energy Mix'!AD$13-1)</f>
        <v>0</v>
      </c>
      <c r="AE74" s="1251">
        <f xml:space="preserve"> AE64*'II. Inputs, Baseline Energy Mix'!$O$98*(1+'II. Inputs, Baseline Energy Mix'!$O$99)^('IV. LCOE, Baseline Energy Mix'!AE$13-1)</f>
        <v>0</v>
      </c>
      <c r="AF74" s="1251">
        <f xml:space="preserve"> AF64*'II. Inputs, Baseline Energy Mix'!$O$98*(1+'II. Inputs, Baseline Energy Mix'!$O$99)^('IV. LCOE, Baseline Energy Mix'!AF$13-1)</f>
        <v>0</v>
      </c>
      <c r="AG74" s="1251">
        <f xml:space="preserve"> AG64*'II. Inputs, Baseline Energy Mix'!$O$98*(1+'II. Inputs, Baseline Energy Mix'!$O$99)^('IV. LCOE, Baseline Energy Mix'!AG$13-1)</f>
        <v>0</v>
      </c>
      <c r="AH74" s="1251">
        <f xml:space="preserve"> AH64*'II. Inputs, Baseline Energy Mix'!$O$98*(1+'II. Inputs, Baseline Energy Mix'!$O$99)^('IV. LCOE, Baseline Energy Mix'!AH$13-1)</f>
        <v>0</v>
      </c>
      <c r="AI74" s="1251">
        <f xml:space="preserve"> AI64*'II. Inputs, Baseline Energy Mix'!$O$98*(1+'II. Inputs, Baseline Energy Mix'!$O$99)^('IV. LCOE, Baseline Energy Mix'!AI$13-1)</f>
        <v>0</v>
      </c>
      <c r="AJ74" s="1251">
        <f xml:space="preserve"> AJ64*'II. Inputs, Baseline Energy Mix'!$O$98*(1+'II. Inputs, Baseline Energy Mix'!$O$99)^('IV. LCOE, Baseline Energy Mix'!AJ$13-1)</f>
        <v>0</v>
      </c>
      <c r="AK74" s="1251">
        <f xml:space="preserve"> AK64*'II. Inputs, Baseline Energy Mix'!$O$98*(1+'II. Inputs, Baseline Energy Mix'!$O$99)^('IV. LCOE, Baseline Energy Mix'!AK$13-1)</f>
        <v>0</v>
      </c>
      <c r="AL74" s="1251">
        <f xml:space="preserve"> AL64*'II. Inputs, Baseline Energy Mix'!$O$98*(1+'II. Inputs, Baseline Energy Mix'!$O$99)^('IV. LCOE, Baseline Energy Mix'!AL$13-1)</f>
        <v>0</v>
      </c>
      <c r="AM74" s="1251">
        <f xml:space="preserve"> AM64*'II. Inputs, Baseline Energy Mix'!$O$98*(1+'II. Inputs, Baseline Energy Mix'!$O$99)^('IV. LCOE, Baseline Energy Mix'!AM$13-1)</f>
        <v>0</v>
      </c>
      <c r="AN74" s="1251">
        <f xml:space="preserve"> AN64*'II. Inputs, Baseline Energy Mix'!$O$98*(1+'II. Inputs, Baseline Energy Mix'!$O$99)^('IV. LCOE, Baseline Energy Mix'!AN$13-1)</f>
        <v>0</v>
      </c>
      <c r="AO74" s="1251">
        <f xml:space="preserve"> AO64*'II. Inputs, Baseline Energy Mix'!$O$98*(1+'II. Inputs, Baseline Energy Mix'!$O$99)^('IV. LCOE, Baseline Energy Mix'!AO$13-1)</f>
        <v>0</v>
      </c>
      <c r="AP74" s="1251">
        <f xml:space="preserve"> AP64*'II. Inputs, Baseline Energy Mix'!$O$98*(1+'II. Inputs, Baseline Energy Mix'!$O$99)^('IV. LCOE, Baseline Energy Mix'!AP$13-1)</f>
        <v>0</v>
      </c>
      <c r="AQ74" s="1251">
        <f xml:space="preserve"> AQ64*'II. Inputs, Baseline Energy Mix'!$O$98*(1+'II. Inputs, Baseline Energy Mix'!$O$99)^('IV. LCOE, Baseline Energy Mix'!AQ$13-1)</f>
        <v>0</v>
      </c>
      <c r="AR74" s="1251">
        <f xml:space="preserve"> AR64*'II. Inputs, Baseline Energy Mix'!$O$98*(1+'II. Inputs, Baseline Energy Mix'!$O$99)^('IV. LCOE, Baseline Energy Mix'!AR$13-1)</f>
        <v>0</v>
      </c>
      <c r="AS74" s="1251">
        <f xml:space="preserve"> AS64*'II. Inputs, Baseline Energy Mix'!$O$98*(1+'II. Inputs, Baseline Energy Mix'!$O$99)^('IV. LCOE, Baseline Energy Mix'!AS$13-1)</f>
        <v>0</v>
      </c>
      <c r="AT74" s="1251">
        <f xml:space="preserve"> AT64*'II. Inputs, Baseline Energy Mix'!$O$98*(1+'II. Inputs, Baseline Energy Mix'!$O$99)^('IV. LCOE, Baseline Energy Mix'!AT$13-1)</f>
        <v>0</v>
      </c>
      <c r="AU74" s="1251">
        <f xml:space="preserve"> AU64*'II. Inputs, Baseline Energy Mix'!$O$98*(1+'II. Inputs, Baseline Energy Mix'!$O$99)^('IV. LCOE, Baseline Energy Mix'!AU$13-1)</f>
        <v>0</v>
      </c>
      <c r="AV74" s="1251">
        <f xml:space="preserve"> AV64*'II. Inputs, Baseline Energy Mix'!$O$98*(1+'II. Inputs, Baseline Energy Mix'!$O$99)^('IV. LCOE, Baseline Energy Mix'!AV$13-1)</f>
        <v>0</v>
      </c>
      <c r="AW74" s="1251">
        <f xml:space="preserve"> AW64*'II. Inputs, Baseline Energy Mix'!$O$98*(1+'II. Inputs, Baseline Energy Mix'!$O$99)^('IV. LCOE, Baseline Energy Mix'!AW$13-1)</f>
        <v>0</v>
      </c>
      <c r="AX74" s="1251">
        <f xml:space="preserve"> AX64*'II. Inputs, Baseline Energy Mix'!$O$98*(1+'II. Inputs, Baseline Energy Mix'!$O$99)^('IV. LCOE, Baseline Energy Mix'!AX$13-1)</f>
        <v>0</v>
      </c>
      <c r="AY74" s="1251">
        <f xml:space="preserve"> AY64*'II. Inputs, Baseline Energy Mix'!$O$98*(1+'II. Inputs, Baseline Energy Mix'!$O$99)^('IV. LCOE, Baseline Energy Mix'!AY$13-1)</f>
        <v>0</v>
      </c>
      <c r="AZ74" s="1251">
        <f xml:space="preserve"> AZ64*'II. Inputs, Baseline Energy Mix'!$O$98*(1+'II. Inputs, Baseline Energy Mix'!$O$99)^('IV. LCOE, Baseline Energy Mix'!AZ$13-1)</f>
        <v>0</v>
      </c>
      <c r="BA74" s="1251">
        <f xml:space="preserve"> BA64*'II. Inputs, Baseline Energy Mix'!$O$98*(1+'II. Inputs, Baseline Energy Mix'!$O$99)^('IV. LCOE, Baseline Energy Mix'!BA$13-1)</f>
        <v>0</v>
      </c>
      <c r="BB74" s="1251">
        <f xml:space="preserve"> BB64*'II. Inputs, Baseline Energy Mix'!$O$98*(1+'II. Inputs, Baseline Energy Mix'!$O$99)^('IV. LCOE, Baseline Energy Mix'!BB$13-1)</f>
        <v>0</v>
      </c>
      <c r="BC74" s="1251">
        <f xml:space="preserve"> BC64*'II. Inputs, Baseline Energy Mix'!$O$98*(1+'II. Inputs, Baseline Energy Mix'!$O$99)^('IV. LCOE, Baseline Energy Mix'!BC$13-1)</f>
        <v>0</v>
      </c>
      <c r="BD74" s="1251">
        <f xml:space="preserve"> BD64*'II. Inputs, Baseline Energy Mix'!$O$98*(1+'II. Inputs, Baseline Energy Mix'!$O$99)^('IV. LCOE, Baseline Energy Mix'!BD$13-1)</f>
        <v>0</v>
      </c>
      <c r="BE74" s="1252">
        <f xml:space="preserve"> BE64*'II. Inputs, Baseline Energy Mix'!$O$98*(1+'II. Inputs, Baseline Energy Mix'!$O$99)^('IV. LCOE, Baseline Energy Mix'!BE$13-1)</f>
        <v>0</v>
      </c>
    </row>
    <row r="75" spans="2:57" outlineLevel="1" x14ac:dyDescent="0.25">
      <c r="B75" s="254"/>
      <c r="C75" s="255" t="s">
        <v>162</v>
      </c>
      <c r="D75" s="255"/>
      <c r="E75" s="258"/>
      <c r="F75" s="258"/>
      <c r="G75" s="255"/>
      <c r="H75" s="1251">
        <f xml:space="preserve"> H64*VLOOKUP('IV. LCOE, Baseline Energy Mix'!H$13,'IX. Additional Data'!$C$17:$V$66,10, FALSE)</f>
        <v>0</v>
      </c>
      <c r="I75" s="1251">
        <f xml:space="preserve"> I64*VLOOKUP('IV. LCOE, Baseline Energy Mix'!I$13,'IX. Additional Data'!$C$17:$V$66,10, FALSE)</f>
        <v>0</v>
      </c>
      <c r="J75" s="1251">
        <f xml:space="preserve"> J64*VLOOKUP('IV. LCOE, Baseline Energy Mix'!J$13,'IX. Additional Data'!$C$17:$V$66,10, FALSE)</f>
        <v>0</v>
      </c>
      <c r="K75" s="1251">
        <f xml:space="preserve"> K64*VLOOKUP('IV. LCOE, Baseline Energy Mix'!K$13,'IX. Additional Data'!$C$17:$V$66,10, FALSE)</f>
        <v>0</v>
      </c>
      <c r="L75" s="1251">
        <f xml:space="preserve"> L64*VLOOKUP('IV. LCOE, Baseline Energy Mix'!L$13,'IX. Additional Data'!$C$17:$V$66,10, FALSE)</f>
        <v>0</v>
      </c>
      <c r="M75" s="1251">
        <f xml:space="preserve"> M64*VLOOKUP('IV. LCOE, Baseline Energy Mix'!M$13,'IX. Additional Data'!$C$17:$V$66,10, FALSE)</f>
        <v>0</v>
      </c>
      <c r="N75" s="1251">
        <f xml:space="preserve"> N64*VLOOKUP('IV. LCOE, Baseline Energy Mix'!N$13,'IX. Additional Data'!$C$17:$V$66,10, FALSE)</f>
        <v>0</v>
      </c>
      <c r="O75" s="1251">
        <f xml:space="preserve"> O64*VLOOKUP('IV. LCOE, Baseline Energy Mix'!O$13,'IX. Additional Data'!$C$17:$V$66,10, FALSE)</f>
        <v>0</v>
      </c>
      <c r="P75" s="1251">
        <f xml:space="preserve"> P64*VLOOKUP('IV. LCOE, Baseline Energy Mix'!P$13,'IX. Additional Data'!$C$17:$V$66,10, FALSE)</f>
        <v>0</v>
      </c>
      <c r="Q75" s="1251">
        <f xml:space="preserve"> Q64*VLOOKUP('IV. LCOE, Baseline Energy Mix'!Q$13,'IX. Additional Data'!$C$17:$V$66,10, FALSE)</f>
        <v>0</v>
      </c>
      <c r="R75" s="1251">
        <f xml:space="preserve"> R64*VLOOKUP('IV. LCOE, Baseline Energy Mix'!R$13,'IX. Additional Data'!$C$17:$V$66,10, FALSE)</f>
        <v>0</v>
      </c>
      <c r="S75" s="1251">
        <f xml:space="preserve"> S64*VLOOKUP('IV. LCOE, Baseline Energy Mix'!S$13,'IX. Additional Data'!$C$17:$V$66,10, FALSE)</f>
        <v>0</v>
      </c>
      <c r="T75" s="1251">
        <f xml:space="preserve"> T64*VLOOKUP('IV. LCOE, Baseline Energy Mix'!T$13,'IX. Additional Data'!$C$17:$V$66,10, FALSE)</f>
        <v>0</v>
      </c>
      <c r="U75" s="1251">
        <f xml:space="preserve"> U64*VLOOKUP('IV. LCOE, Baseline Energy Mix'!U$13,'IX. Additional Data'!$C$17:$V$66,10, FALSE)</f>
        <v>0</v>
      </c>
      <c r="V75" s="1251">
        <f xml:space="preserve"> V64*VLOOKUP('IV. LCOE, Baseline Energy Mix'!V$13,'IX. Additional Data'!$C$17:$V$66,10, FALSE)</f>
        <v>0</v>
      </c>
      <c r="W75" s="1251">
        <f xml:space="preserve"> W64*VLOOKUP('IV. LCOE, Baseline Energy Mix'!W$13,'IX. Additional Data'!$C$17:$V$66,10, FALSE)</f>
        <v>0</v>
      </c>
      <c r="X75" s="1251">
        <f xml:space="preserve"> X64*VLOOKUP('IV. LCOE, Baseline Energy Mix'!X$13,'IX. Additional Data'!$C$17:$V$66,10, FALSE)</f>
        <v>0</v>
      </c>
      <c r="Y75" s="1251">
        <f xml:space="preserve"> Y64*VLOOKUP('IV. LCOE, Baseline Energy Mix'!Y$13,'IX. Additional Data'!$C$17:$V$66,10, FALSE)</f>
        <v>0</v>
      </c>
      <c r="Z75" s="1251">
        <f xml:space="preserve"> Z64*VLOOKUP('IV. LCOE, Baseline Energy Mix'!Z$13,'IX. Additional Data'!$C$17:$V$66,10, FALSE)</f>
        <v>0</v>
      </c>
      <c r="AA75" s="1251">
        <f xml:space="preserve"> AA64*VLOOKUP('IV. LCOE, Baseline Energy Mix'!AA$13,'IX. Additional Data'!$C$17:$V$66,10, FALSE)</f>
        <v>0</v>
      </c>
      <c r="AB75" s="1251">
        <f xml:space="preserve"> AB64*VLOOKUP('IV. LCOE, Baseline Energy Mix'!AB$13,'IX. Additional Data'!$C$17:$V$66,10, FALSE)</f>
        <v>0</v>
      </c>
      <c r="AC75" s="1251">
        <f xml:space="preserve"> AC64*VLOOKUP('IV. LCOE, Baseline Energy Mix'!AC$13,'IX. Additional Data'!$C$17:$V$66,10, FALSE)</f>
        <v>0</v>
      </c>
      <c r="AD75" s="1251">
        <f xml:space="preserve"> AD64*VLOOKUP('IV. LCOE, Baseline Energy Mix'!AD$13,'IX. Additional Data'!$C$17:$V$66,10, FALSE)</f>
        <v>0</v>
      </c>
      <c r="AE75" s="1251">
        <f xml:space="preserve"> AE64*VLOOKUP('IV. LCOE, Baseline Energy Mix'!AE$13,'IX. Additional Data'!$C$17:$V$66,10, FALSE)</f>
        <v>0</v>
      </c>
      <c r="AF75" s="1251">
        <f xml:space="preserve"> AF64*VLOOKUP('IV. LCOE, Baseline Energy Mix'!AF$13,'IX. Additional Data'!$C$17:$V$66,10, FALSE)</f>
        <v>0</v>
      </c>
      <c r="AG75" s="1251">
        <f xml:space="preserve"> AG64*VLOOKUP('IV. LCOE, Baseline Energy Mix'!AG$13,'IX. Additional Data'!$C$17:$V$66,10, FALSE)</f>
        <v>0</v>
      </c>
      <c r="AH75" s="1251">
        <f xml:space="preserve"> AH64*VLOOKUP('IV. LCOE, Baseline Energy Mix'!AH$13,'IX. Additional Data'!$C$17:$V$66,10, FALSE)</f>
        <v>0</v>
      </c>
      <c r="AI75" s="1251">
        <f xml:space="preserve"> AI64*VLOOKUP('IV. LCOE, Baseline Energy Mix'!AI$13,'IX. Additional Data'!$C$17:$V$66,10, FALSE)</f>
        <v>0</v>
      </c>
      <c r="AJ75" s="1251">
        <f xml:space="preserve"> AJ64*VLOOKUP('IV. LCOE, Baseline Energy Mix'!AJ$13,'IX. Additional Data'!$C$17:$V$66,10, FALSE)</f>
        <v>0</v>
      </c>
      <c r="AK75" s="1251">
        <f xml:space="preserve"> AK64*VLOOKUP('IV. LCOE, Baseline Energy Mix'!AK$13,'IX. Additional Data'!$C$17:$V$66,10, FALSE)</f>
        <v>0</v>
      </c>
      <c r="AL75" s="1251">
        <f xml:space="preserve"> AL64*VLOOKUP('IV. LCOE, Baseline Energy Mix'!AL$13,'IX. Additional Data'!$C$17:$V$66,10, FALSE)</f>
        <v>0</v>
      </c>
      <c r="AM75" s="1251">
        <f xml:space="preserve"> AM64*VLOOKUP('IV. LCOE, Baseline Energy Mix'!AM$13,'IX. Additional Data'!$C$17:$V$66,10, FALSE)</f>
        <v>0</v>
      </c>
      <c r="AN75" s="1251">
        <f xml:space="preserve"> AN64*VLOOKUP('IV. LCOE, Baseline Energy Mix'!AN$13,'IX. Additional Data'!$C$17:$V$66,10, FALSE)</f>
        <v>0</v>
      </c>
      <c r="AO75" s="1251">
        <f xml:space="preserve"> AO64*VLOOKUP('IV. LCOE, Baseline Energy Mix'!AO$13,'IX. Additional Data'!$C$17:$V$66,10, FALSE)</f>
        <v>0</v>
      </c>
      <c r="AP75" s="1251">
        <f xml:space="preserve"> AP64*VLOOKUP('IV. LCOE, Baseline Energy Mix'!AP$13,'IX. Additional Data'!$C$17:$V$66,10, FALSE)</f>
        <v>0</v>
      </c>
      <c r="AQ75" s="1251">
        <f xml:space="preserve"> AQ64*VLOOKUP('IV. LCOE, Baseline Energy Mix'!AQ$13,'IX. Additional Data'!$C$17:$V$66,10, FALSE)</f>
        <v>0</v>
      </c>
      <c r="AR75" s="1251">
        <f xml:space="preserve"> AR64*VLOOKUP('IV. LCOE, Baseline Energy Mix'!AR$13,'IX. Additional Data'!$C$17:$V$66,10, FALSE)</f>
        <v>0</v>
      </c>
      <c r="AS75" s="1251">
        <f xml:space="preserve"> AS64*VLOOKUP('IV. LCOE, Baseline Energy Mix'!AS$13,'IX. Additional Data'!$C$17:$V$66,10, FALSE)</f>
        <v>0</v>
      </c>
      <c r="AT75" s="1251">
        <f xml:space="preserve"> AT64*VLOOKUP('IV. LCOE, Baseline Energy Mix'!AT$13,'IX. Additional Data'!$C$17:$V$66,10, FALSE)</f>
        <v>0</v>
      </c>
      <c r="AU75" s="1251">
        <f xml:space="preserve"> AU64*VLOOKUP('IV. LCOE, Baseline Energy Mix'!AU$13,'IX. Additional Data'!$C$17:$V$66,10, FALSE)</f>
        <v>0</v>
      </c>
      <c r="AV75" s="1251">
        <f xml:space="preserve"> AV64*VLOOKUP('IV. LCOE, Baseline Energy Mix'!AV$13,'IX. Additional Data'!$C$17:$V$66,10, FALSE)</f>
        <v>0</v>
      </c>
      <c r="AW75" s="1251">
        <f xml:space="preserve"> AW64*VLOOKUP('IV. LCOE, Baseline Energy Mix'!AW$13,'IX. Additional Data'!$C$17:$V$66,10, FALSE)</f>
        <v>0</v>
      </c>
      <c r="AX75" s="1251">
        <f xml:space="preserve"> AX64*VLOOKUP('IV. LCOE, Baseline Energy Mix'!AX$13,'IX. Additional Data'!$C$17:$V$66,10, FALSE)</f>
        <v>0</v>
      </c>
      <c r="AY75" s="1251">
        <f xml:space="preserve"> AY64*VLOOKUP('IV. LCOE, Baseline Energy Mix'!AY$13,'IX. Additional Data'!$C$17:$V$66,10, FALSE)</f>
        <v>0</v>
      </c>
      <c r="AZ75" s="1251">
        <f xml:space="preserve"> AZ64*VLOOKUP('IV. LCOE, Baseline Energy Mix'!AZ$13,'IX. Additional Data'!$C$17:$V$66,10, FALSE)</f>
        <v>0</v>
      </c>
      <c r="BA75" s="1251">
        <f xml:space="preserve"> BA64*VLOOKUP('IV. LCOE, Baseline Energy Mix'!BA$13,'IX. Additional Data'!$C$17:$V$66,10, FALSE)</f>
        <v>0</v>
      </c>
      <c r="BB75" s="1251">
        <f xml:space="preserve"> BB64*VLOOKUP('IV. LCOE, Baseline Energy Mix'!BB$13,'IX. Additional Data'!$C$17:$V$66,10, FALSE)</f>
        <v>0</v>
      </c>
      <c r="BC75" s="1251">
        <f xml:space="preserve"> BC64*VLOOKUP('IV. LCOE, Baseline Energy Mix'!BC$13,'IX. Additional Data'!$C$17:$V$66,10, FALSE)</f>
        <v>0</v>
      </c>
      <c r="BD75" s="1251">
        <f xml:space="preserve"> BD64*VLOOKUP('IV. LCOE, Baseline Energy Mix'!BD$13,'IX. Additional Data'!$C$17:$V$66,10, FALSE)</f>
        <v>0</v>
      </c>
      <c r="BE75" s="1252">
        <f xml:space="preserve"> BE64*VLOOKUP('IV. LCOE, Baseline Energy Mix'!BE$13,'IX. Additional Data'!$C$17:$V$66,10, FALSE)</f>
        <v>0</v>
      </c>
    </row>
    <row r="76" spans="2:57" outlineLevel="1" x14ac:dyDescent="0.25">
      <c r="B76" s="254"/>
      <c r="C76" s="255" t="s">
        <v>163</v>
      </c>
      <c r="D76" s="255"/>
      <c r="E76" s="258"/>
      <c r="F76" s="258"/>
      <c r="G76" s="255"/>
      <c r="H76" s="1251">
        <f>H64*VLOOKUP('IV. LCOE, Baseline Energy Mix'!H$13,'IX. Additional Data'!$C$17:$V$66,16, FALSE)</f>
        <v>0</v>
      </c>
      <c r="I76" s="1251">
        <f>I64*VLOOKUP('IV. LCOE, Baseline Energy Mix'!I$13,'IX. Additional Data'!$C$17:$V$66,16, FALSE)</f>
        <v>0</v>
      </c>
      <c r="J76" s="1251">
        <f>J64*VLOOKUP('IV. LCOE, Baseline Energy Mix'!J$13,'IX. Additional Data'!$C$17:$V$66,16, FALSE)</f>
        <v>0</v>
      </c>
      <c r="K76" s="1251">
        <f>K64*VLOOKUP('IV. LCOE, Baseline Energy Mix'!K$13,'IX. Additional Data'!$C$17:$V$66,16, FALSE)</f>
        <v>0</v>
      </c>
      <c r="L76" s="1251">
        <f>L64*VLOOKUP('IV. LCOE, Baseline Energy Mix'!L$13,'IX. Additional Data'!$C$17:$V$66,16, FALSE)</f>
        <v>0</v>
      </c>
      <c r="M76" s="1251">
        <f>M64*VLOOKUP('IV. LCOE, Baseline Energy Mix'!M$13,'IX. Additional Data'!$C$17:$V$66,16, FALSE)</f>
        <v>0</v>
      </c>
      <c r="N76" s="1251">
        <f>N64*VLOOKUP('IV. LCOE, Baseline Energy Mix'!N$13,'IX. Additional Data'!$C$17:$V$66,16, FALSE)</f>
        <v>0</v>
      </c>
      <c r="O76" s="1251">
        <f>O64*VLOOKUP('IV. LCOE, Baseline Energy Mix'!O$13,'IX. Additional Data'!$C$17:$V$66,16, FALSE)</f>
        <v>0</v>
      </c>
      <c r="P76" s="1251">
        <f>P64*VLOOKUP('IV. LCOE, Baseline Energy Mix'!P$13,'IX. Additional Data'!$C$17:$V$66,16, FALSE)</f>
        <v>0</v>
      </c>
      <c r="Q76" s="1251">
        <f>Q64*VLOOKUP('IV. LCOE, Baseline Energy Mix'!Q$13,'IX. Additional Data'!$C$17:$V$66,16, FALSE)</f>
        <v>0</v>
      </c>
      <c r="R76" s="1251">
        <f>R64*VLOOKUP('IV. LCOE, Baseline Energy Mix'!R$13,'IX. Additional Data'!$C$17:$V$66,16, FALSE)</f>
        <v>0</v>
      </c>
      <c r="S76" s="1251">
        <f>S64*VLOOKUP('IV. LCOE, Baseline Energy Mix'!S$13,'IX. Additional Data'!$C$17:$V$66,16, FALSE)</f>
        <v>0</v>
      </c>
      <c r="T76" s="1251">
        <f>T64*VLOOKUP('IV. LCOE, Baseline Energy Mix'!T$13,'IX. Additional Data'!$C$17:$V$66,16, FALSE)</f>
        <v>0</v>
      </c>
      <c r="U76" s="1251">
        <f>U64*VLOOKUP('IV. LCOE, Baseline Energy Mix'!U$13,'IX. Additional Data'!$C$17:$V$66,16, FALSE)</f>
        <v>0</v>
      </c>
      <c r="V76" s="1251">
        <f>V64*VLOOKUP('IV. LCOE, Baseline Energy Mix'!V$13,'IX. Additional Data'!$C$17:$V$66,16, FALSE)</f>
        <v>0</v>
      </c>
      <c r="W76" s="1251">
        <f>W64*VLOOKUP('IV. LCOE, Baseline Energy Mix'!W$13,'IX. Additional Data'!$C$17:$V$66,16, FALSE)</f>
        <v>0</v>
      </c>
      <c r="X76" s="1251">
        <f>X64*VLOOKUP('IV. LCOE, Baseline Energy Mix'!X$13,'IX. Additional Data'!$C$17:$V$66,16, FALSE)</f>
        <v>0</v>
      </c>
      <c r="Y76" s="1251">
        <f>Y64*VLOOKUP('IV. LCOE, Baseline Energy Mix'!Y$13,'IX. Additional Data'!$C$17:$V$66,16, FALSE)</f>
        <v>0</v>
      </c>
      <c r="Z76" s="1251">
        <f>Z64*VLOOKUP('IV. LCOE, Baseline Energy Mix'!Z$13,'IX. Additional Data'!$C$17:$V$66,16, FALSE)</f>
        <v>0</v>
      </c>
      <c r="AA76" s="1251">
        <f>AA64*VLOOKUP('IV. LCOE, Baseline Energy Mix'!AA$13,'IX. Additional Data'!$C$17:$V$66,16, FALSE)</f>
        <v>0</v>
      </c>
      <c r="AB76" s="1251">
        <f>AB64*VLOOKUP('IV. LCOE, Baseline Energy Mix'!AB$13,'IX. Additional Data'!$C$17:$V$66,16, FALSE)</f>
        <v>0</v>
      </c>
      <c r="AC76" s="1251">
        <f>AC64*VLOOKUP('IV. LCOE, Baseline Energy Mix'!AC$13,'IX. Additional Data'!$C$17:$V$66,16, FALSE)</f>
        <v>0</v>
      </c>
      <c r="AD76" s="1251">
        <f>AD64*VLOOKUP('IV. LCOE, Baseline Energy Mix'!AD$13,'IX. Additional Data'!$C$17:$V$66,16, FALSE)</f>
        <v>0</v>
      </c>
      <c r="AE76" s="1251">
        <f>AE64*VLOOKUP('IV. LCOE, Baseline Energy Mix'!AE$13,'IX. Additional Data'!$C$17:$V$66,16, FALSE)</f>
        <v>0</v>
      </c>
      <c r="AF76" s="1251">
        <f>AF64*VLOOKUP('IV. LCOE, Baseline Energy Mix'!AF$13,'IX. Additional Data'!$C$17:$V$66,16, FALSE)</f>
        <v>0</v>
      </c>
      <c r="AG76" s="1251">
        <f>AG64*VLOOKUP('IV. LCOE, Baseline Energy Mix'!AG$13,'IX. Additional Data'!$C$17:$V$66,16, FALSE)</f>
        <v>0</v>
      </c>
      <c r="AH76" s="1251">
        <f>AH64*VLOOKUP('IV. LCOE, Baseline Energy Mix'!AH$13,'IX. Additional Data'!$C$17:$V$66,16, FALSE)</f>
        <v>0</v>
      </c>
      <c r="AI76" s="1251">
        <f>AI64*VLOOKUP('IV. LCOE, Baseline Energy Mix'!AI$13,'IX. Additional Data'!$C$17:$V$66,16, FALSE)</f>
        <v>0</v>
      </c>
      <c r="AJ76" s="1251">
        <f>AJ64*VLOOKUP('IV. LCOE, Baseline Energy Mix'!AJ$13,'IX. Additional Data'!$C$17:$V$66,16, FALSE)</f>
        <v>0</v>
      </c>
      <c r="AK76" s="1251">
        <f>AK64*VLOOKUP('IV. LCOE, Baseline Energy Mix'!AK$13,'IX. Additional Data'!$C$17:$V$66,16, FALSE)</f>
        <v>0</v>
      </c>
      <c r="AL76" s="1251">
        <f>AL64*VLOOKUP('IV. LCOE, Baseline Energy Mix'!AL$13,'IX. Additional Data'!$C$17:$V$66,16, FALSE)</f>
        <v>0</v>
      </c>
      <c r="AM76" s="1251">
        <f>AM64*VLOOKUP('IV. LCOE, Baseline Energy Mix'!AM$13,'IX. Additional Data'!$C$17:$V$66,16, FALSE)</f>
        <v>0</v>
      </c>
      <c r="AN76" s="1251">
        <f>AN64*VLOOKUP('IV. LCOE, Baseline Energy Mix'!AN$13,'IX. Additional Data'!$C$17:$V$66,16, FALSE)</f>
        <v>0</v>
      </c>
      <c r="AO76" s="1251">
        <f>AO64*VLOOKUP('IV. LCOE, Baseline Energy Mix'!AO$13,'IX. Additional Data'!$C$17:$V$66,16, FALSE)</f>
        <v>0</v>
      </c>
      <c r="AP76" s="1251">
        <f>AP64*VLOOKUP('IV. LCOE, Baseline Energy Mix'!AP$13,'IX. Additional Data'!$C$17:$V$66,16, FALSE)</f>
        <v>0</v>
      </c>
      <c r="AQ76" s="1251">
        <f>AQ64*VLOOKUP('IV. LCOE, Baseline Energy Mix'!AQ$13,'IX. Additional Data'!$C$17:$V$66,16, FALSE)</f>
        <v>0</v>
      </c>
      <c r="AR76" s="1251">
        <f>AR64*VLOOKUP('IV. LCOE, Baseline Energy Mix'!AR$13,'IX. Additional Data'!$C$17:$V$66,16, FALSE)</f>
        <v>0</v>
      </c>
      <c r="AS76" s="1251">
        <f>AS64*VLOOKUP('IV. LCOE, Baseline Energy Mix'!AS$13,'IX. Additional Data'!$C$17:$V$66,16, FALSE)</f>
        <v>0</v>
      </c>
      <c r="AT76" s="1251">
        <f>AT64*VLOOKUP('IV. LCOE, Baseline Energy Mix'!AT$13,'IX. Additional Data'!$C$17:$V$66,16, FALSE)</f>
        <v>0</v>
      </c>
      <c r="AU76" s="1251">
        <f>AU64*VLOOKUP('IV. LCOE, Baseline Energy Mix'!AU$13,'IX. Additional Data'!$C$17:$V$66,16, FALSE)</f>
        <v>0</v>
      </c>
      <c r="AV76" s="1251">
        <f>AV64*VLOOKUP('IV. LCOE, Baseline Energy Mix'!AV$13,'IX. Additional Data'!$C$17:$V$66,16, FALSE)</f>
        <v>0</v>
      </c>
      <c r="AW76" s="1251">
        <f>AW64*VLOOKUP('IV. LCOE, Baseline Energy Mix'!AW$13,'IX. Additional Data'!$C$17:$V$66,16, FALSE)</f>
        <v>0</v>
      </c>
      <c r="AX76" s="1251">
        <f>AX64*VLOOKUP('IV. LCOE, Baseline Energy Mix'!AX$13,'IX. Additional Data'!$C$17:$V$66,16, FALSE)</f>
        <v>0</v>
      </c>
      <c r="AY76" s="1251">
        <f>AY64*VLOOKUP('IV. LCOE, Baseline Energy Mix'!AY$13,'IX. Additional Data'!$C$17:$V$66,16, FALSE)</f>
        <v>0</v>
      </c>
      <c r="AZ76" s="1251">
        <f>AZ64*VLOOKUP('IV. LCOE, Baseline Energy Mix'!AZ$13,'IX. Additional Data'!$C$17:$V$66,16, FALSE)</f>
        <v>0</v>
      </c>
      <c r="BA76" s="1251">
        <f>BA64*VLOOKUP('IV. LCOE, Baseline Energy Mix'!BA$13,'IX. Additional Data'!$C$17:$V$66,16, FALSE)</f>
        <v>0</v>
      </c>
      <c r="BB76" s="1251">
        <f>BB64*VLOOKUP('IV. LCOE, Baseline Energy Mix'!BB$13,'IX. Additional Data'!$C$17:$V$66,16, FALSE)</f>
        <v>0</v>
      </c>
      <c r="BC76" s="1251">
        <f>BC64*VLOOKUP('IV. LCOE, Baseline Energy Mix'!BC$13,'IX. Additional Data'!$C$17:$V$66,16, FALSE)</f>
        <v>0</v>
      </c>
      <c r="BD76" s="1251">
        <f>BD64*VLOOKUP('IV. LCOE, Baseline Energy Mix'!BD$13,'IX. Additional Data'!$C$17:$V$66,16, FALSE)</f>
        <v>0</v>
      </c>
      <c r="BE76" s="1252">
        <f>BE64*VLOOKUP('IV. LCOE, Baseline Energy Mix'!BE$13,'IX. Additional Data'!$C$17:$V$66,16, FALSE)</f>
        <v>0</v>
      </c>
    </row>
    <row r="77" spans="2:57" outlineLevel="1" x14ac:dyDescent="0.25">
      <c r="B77" s="254"/>
      <c r="C77" s="255"/>
      <c r="D77" s="255"/>
      <c r="E77" s="258"/>
      <c r="F77" s="258"/>
      <c r="G77" s="255"/>
      <c r="H77" s="1245"/>
      <c r="I77" s="1245"/>
      <c r="J77" s="1245"/>
      <c r="K77" s="1245"/>
      <c r="L77" s="1245"/>
      <c r="M77" s="1245"/>
      <c r="N77" s="1245"/>
      <c r="O77" s="1245"/>
      <c r="P77" s="1245"/>
      <c r="Q77" s="1245"/>
      <c r="R77" s="1245"/>
      <c r="S77" s="1245"/>
      <c r="T77" s="1245"/>
      <c r="U77" s="1245"/>
      <c r="V77" s="1245"/>
      <c r="W77" s="1245"/>
      <c r="X77" s="1245"/>
      <c r="Y77" s="1245"/>
      <c r="Z77" s="1245"/>
      <c r="AA77" s="1245"/>
      <c r="AB77" s="1245"/>
      <c r="AC77" s="1245"/>
      <c r="AD77" s="1245"/>
      <c r="AE77" s="1245"/>
      <c r="AF77" s="1245"/>
      <c r="AG77" s="1245"/>
      <c r="AH77" s="1245"/>
      <c r="AI77" s="1245"/>
      <c r="AJ77" s="1245"/>
      <c r="AK77" s="1245"/>
      <c r="AL77" s="1245"/>
      <c r="AM77" s="1245"/>
      <c r="AN77" s="1245"/>
      <c r="AO77" s="1245"/>
      <c r="AP77" s="1245"/>
      <c r="AQ77" s="1245"/>
      <c r="AR77" s="1245"/>
      <c r="AS77" s="1245"/>
      <c r="AT77" s="1245"/>
      <c r="AU77" s="1245"/>
      <c r="AV77" s="1245"/>
      <c r="AW77" s="1245"/>
      <c r="AX77" s="1245"/>
      <c r="AY77" s="1245"/>
      <c r="AZ77" s="1245"/>
      <c r="BA77" s="1245"/>
      <c r="BB77" s="1245"/>
      <c r="BC77" s="1245"/>
      <c r="BD77" s="1245"/>
      <c r="BE77" s="1246"/>
    </row>
    <row r="78" spans="2:57" x14ac:dyDescent="0.25">
      <c r="B78" s="254" t="s">
        <v>138</v>
      </c>
      <c r="C78" s="255"/>
      <c r="D78" s="255"/>
      <c r="E78" s="258"/>
      <c r="F78" s="258" t="s">
        <v>631</v>
      </c>
      <c r="G78" s="255"/>
      <c r="H78" s="1245" t="e">
        <f>H72*H66*H64/'II. Inputs, Baseline Energy Mix'!$O$91</f>
        <v>#DIV/0!</v>
      </c>
      <c r="I78" s="1245" t="e">
        <f>I72*I66*I64/'II. Inputs, Baseline Energy Mix'!$O$91</f>
        <v>#DIV/0!</v>
      </c>
      <c r="J78" s="1245" t="e">
        <f>J72*J66*J64/'II. Inputs, Baseline Energy Mix'!$O$91</f>
        <v>#DIV/0!</v>
      </c>
      <c r="K78" s="1245" t="e">
        <f>K72*K66*K64/'II. Inputs, Baseline Energy Mix'!$O$91</f>
        <v>#DIV/0!</v>
      </c>
      <c r="L78" s="1245" t="e">
        <f>L72*L66*L64/'II. Inputs, Baseline Energy Mix'!$O$91</f>
        <v>#DIV/0!</v>
      </c>
      <c r="M78" s="1245" t="e">
        <f>M72*M66*M64/'II. Inputs, Baseline Energy Mix'!$O$91</f>
        <v>#DIV/0!</v>
      </c>
      <c r="N78" s="1245" t="e">
        <f>N72*N66*N64/'II. Inputs, Baseline Energy Mix'!$O$91</f>
        <v>#DIV/0!</v>
      </c>
      <c r="O78" s="1245" t="e">
        <f>O72*O66*O64/'II. Inputs, Baseline Energy Mix'!$O$91</f>
        <v>#DIV/0!</v>
      </c>
      <c r="P78" s="1245" t="e">
        <f>P72*P66*P64/'II. Inputs, Baseline Energy Mix'!$O$91</f>
        <v>#DIV/0!</v>
      </c>
      <c r="Q78" s="1245" t="e">
        <f>Q72*Q66*Q64/'II. Inputs, Baseline Energy Mix'!$O$91</f>
        <v>#DIV/0!</v>
      </c>
      <c r="R78" s="1245" t="e">
        <f>R72*R66*R64/'II. Inputs, Baseline Energy Mix'!$O$91</f>
        <v>#DIV/0!</v>
      </c>
      <c r="S78" s="1245" t="e">
        <f>S72*S66*S64/'II. Inputs, Baseline Energy Mix'!$O$91</f>
        <v>#DIV/0!</v>
      </c>
      <c r="T78" s="1245" t="e">
        <f>T72*T66*T64/'II. Inputs, Baseline Energy Mix'!$O$91</f>
        <v>#DIV/0!</v>
      </c>
      <c r="U78" s="1245" t="e">
        <f>U72*U66*U64/'II. Inputs, Baseline Energy Mix'!$O$91</f>
        <v>#DIV/0!</v>
      </c>
      <c r="V78" s="1245" t="e">
        <f>V72*V66*V64/'II. Inputs, Baseline Energy Mix'!$O$91</f>
        <v>#DIV/0!</v>
      </c>
      <c r="W78" s="1245" t="e">
        <f>W72*W66*W64/'II. Inputs, Baseline Energy Mix'!$O$91</f>
        <v>#DIV/0!</v>
      </c>
      <c r="X78" s="1245" t="e">
        <f>X72*X66*X64/'II. Inputs, Baseline Energy Mix'!$O$91</f>
        <v>#DIV/0!</v>
      </c>
      <c r="Y78" s="1245" t="e">
        <f>Y72*Y66*Y64/'II. Inputs, Baseline Energy Mix'!$O$91</f>
        <v>#DIV/0!</v>
      </c>
      <c r="Z78" s="1245" t="e">
        <f>Z72*Z66*Z64/'II. Inputs, Baseline Energy Mix'!$O$91</f>
        <v>#DIV/0!</v>
      </c>
      <c r="AA78" s="1245" t="e">
        <f>AA72*AA66*AA64/'II. Inputs, Baseline Energy Mix'!$O$91</f>
        <v>#DIV/0!</v>
      </c>
      <c r="AB78" s="1245" t="e">
        <f>AB72*AB66*AB64/'II. Inputs, Baseline Energy Mix'!$O$91</f>
        <v>#DIV/0!</v>
      </c>
      <c r="AC78" s="1245" t="e">
        <f>AC72*AC66*AC64/'II. Inputs, Baseline Energy Mix'!$O$91</f>
        <v>#DIV/0!</v>
      </c>
      <c r="AD78" s="1245" t="e">
        <f>AD72*AD66*AD64/'II. Inputs, Baseline Energy Mix'!$O$91</f>
        <v>#DIV/0!</v>
      </c>
      <c r="AE78" s="1245" t="e">
        <f>AE72*AE66*AE64/'II. Inputs, Baseline Energy Mix'!$O$91</f>
        <v>#DIV/0!</v>
      </c>
      <c r="AF78" s="1245" t="e">
        <f>AF72*AF66*AF64/'II. Inputs, Baseline Energy Mix'!$O$91</f>
        <v>#DIV/0!</v>
      </c>
      <c r="AG78" s="1245" t="e">
        <f>AG72*AG66*AG64/'II. Inputs, Baseline Energy Mix'!$O$91</f>
        <v>#DIV/0!</v>
      </c>
      <c r="AH78" s="1245" t="e">
        <f>AH72*AH66*AH64/'II. Inputs, Baseline Energy Mix'!$O$91</f>
        <v>#DIV/0!</v>
      </c>
      <c r="AI78" s="1245" t="e">
        <f>AI72*AI66*AI64/'II. Inputs, Baseline Energy Mix'!$O$91</f>
        <v>#DIV/0!</v>
      </c>
      <c r="AJ78" s="1245" t="e">
        <f>AJ72*AJ66*AJ64/'II. Inputs, Baseline Energy Mix'!$O$91</f>
        <v>#DIV/0!</v>
      </c>
      <c r="AK78" s="1245" t="e">
        <f>AK72*AK66*AK64/'II. Inputs, Baseline Energy Mix'!$O$91</f>
        <v>#DIV/0!</v>
      </c>
      <c r="AL78" s="1245" t="e">
        <f>AL72*AL66*AL64/'II. Inputs, Baseline Energy Mix'!$O$91</f>
        <v>#DIV/0!</v>
      </c>
      <c r="AM78" s="1245" t="e">
        <f>AM72*AM66*AM64/'II. Inputs, Baseline Energy Mix'!$O$91</f>
        <v>#DIV/0!</v>
      </c>
      <c r="AN78" s="1245" t="e">
        <f>AN72*AN66*AN64/'II. Inputs, Baseline Energy Mix'!$O$91</f>
        <v>#DIV/0!</v>
      </c>
      <c r="AO78" s="1245" t="e">
        <f>AO72*AO66*AO64/'II. Inputs, Baseline Energy Mix'!$O$91</f>
        <v>#DIV/0!</v>
      </c>
      <c r="AP78" s="1245" t="e">
        <f>AP72*AP66*AP64/'II. Inputs, Baseline Energy Mix'!$O$91</f>
        <v>#DIV/0!</v>
      </c>
      <c r="AQ78" s="1245" t="e">
        <f>AQ72*AQ66*AQ64/'II. Inputs, Baseline Energy Mix'!$O$91</f>
        <v>#DIV/0!</v>
      </c>
      <c r="AR78" s="1245" t="e">
        <f>AR72*AR66*AR64/'II. Inputs, Baseline Energy Mix'!$O$91</f>
        <v>#DIV/0!</v>
      </c>
      <c r="AS78" s="1245" t="e">
        <f>AS72*AS66*AS64/'II. Inputs, Baseline Energy Mix'!$O$91</f>
        <v>#DIV/0!</v>
      </c>
      <c r="AT78" s="1245" t="e">
        <f>AT72*AT66*AT64/'II. Inputs, Baseline Energy Mix'!$O$91</f>
        <v>#DIV/0!</v>
      </c>
      <c r="AU78" s="1245" t="e">
        <f>AU72*AU66*AU64/'II. Inputs, Baseline Energy Mix'!$O$91</f>
        <v>#DIV/0!</v>
      </c>
      <c r="AV78" s="1245" t="e">
        <f>AV72*AV66*AV64/'II. Inputs, Baseline Energy Mix'!$O$91</f>
        <v>#DIV/0!</v>
      </c>
      <c r="AW78" s="1245" t="e">
        <f>AW72*AW66*AW64/'II. Inputs, Baseline Energy Mix'!$O$91</f>
        <v>#DIV/0!</v>
      </c>
      <c r="AX78" s="1245" t="e">
        <f>AX72*AX66*AX64/'II. Inputs, Baseline Energy Mix'!$O$91</f>
        <v>#DIV/0!</v>
      </c>
      <c r="AY78" s="1245" t="e">
        <f>AY72*AY66*AY64/'II. Inputs, Baseline Energy Mix'!$O$91</f>
        <v>#DIV/0!</v>
      </c>
      <c r="AZ78" s="1245" t="e">
        <f>AZ72*AZ66*AZ64/'II. Inputs, Baseline Energy Mix'!$O$91</f>
        <v>#DIV/0!</v>
      </c>
      <c r="BA78" s="1245" t="e">
        <f>BA72*BA66*BA64/'II. Inputs, Baseline Energy Mix'!$O$91</f>
        <v>#DIV/0!</v>
      </c>
      <c r="BB78" s="1245" t="e">
        <f>BB72*BB66*BB64/'II. Inputs, Baseline Energy Mix'!$O$91</f>
        <v>#DIV/0!</v>
      </c>
      <c r="BC78" s="1245" t="e">
        <f>BC72*BC66*BC64/'II. Inputs, Baseline Energy Mix'!$O$91</f>
        <v>#DIV/0!</v>
      </c>
      <c r="BD78" s="1245" t="e">
        <f>BD72*BD66*BD64/'II. Inputs, Baseline Energy Mix'!$O$91</f>
        <v>#DIV/0!</v>
      </c>
      <c r="BE78" s="1246" t="e">
        <f>BE72*BE66*BE64/'II. Inputs, Baseline Energy Mix'!$O$91</f>
        <v>#DIV/0!</v>
      </c>
    </row>
    <row r="79" spans="2:57" x14ac:dyDescent="0.25">
      <c r="B79" s="254"/>
      <c r="C79" s="255"/>
      <c r="D79" s="255"/>
      <c r="E79" s="258"/>
      <c r="F79" s="258"/>
      <c r="G79" s="255"/>
      <c r="H79" s="1245"/>
      <c r="I79" s="1247"/>
      <c r="J79" s="1247"/>
      <c r="K79" s="1247"/>
      <c r="L79" s="1247"/>
      <c r="M79" s="1247"/>
      <c r="N79" s="1247"/>
      <c r="O79" s="1247"/>
      <c r="P79" s="1247"/>
      <c r="Q79" s="1247"/>
      <c r="R79" s="1247"/>
      <c r="S79" s="1247"/>
      <c r="T79" s="1247"/>
      <c r="U79" s="1247"/>
      <c r="V79" s="1247"/>
      <c r="W79" s="1247"/>
      <c r="X79" s="1247"/>
      <c r="Y79" s="1247"/>
      <c r="Z79" s="1247"/>
      <c r="AA79" s="1247"/>
      <c r="AB79" s="1247"/>
      <c r="AC79" s="1247"/>
      <c r="AD79" s="1247"/>
      <c r="AE79" s="1247"/>
      <c r="AF79" s="1247"/>
      <c r="AG79" s="1247"/>
      <c r="AH79" s="1247"/>
      <c r="AI79" s="1247"/>
      <c r="AJ79" s="1247"/>
      <c r="AK79" s="1247"/>
      <c r="AL79" s="1247"/>
      <c r="AM79" s="1247"/>
      <c r="AN79" s="1247"/>
      <c r="AO79" s="1247"/>
      <c r="AP79" s="1247"/>
      <c r="AQ79" s="1247"/>
      <c r="AR79" s="1247"/>
      <c r="AS79" s="1247"/>
      <c r="AT79" s="1247"/>
      <c r="AU79" s="1247"/>
      <c r="AV79" s="1247"/>
      <c r="AW79" s="1247"/>
      <c r="AX79" s="1247"/>
      <c r="AY79" s="1247"/>
      <c r="AZ79" s="1247"/>
      <c r="BA79" s="1247"/>
      <c r="BB79" s="1247"/>
      <c r="BC79" s="1247"/>
      <c r="BD79" s="1247"/>
      <c r="BE79" s="1248"/>
    </row>
    <row r="80" spans="2:57" x14ac:dyDescent="0.25">
      <c r="B80" s="254" t="s">
        <v>101</v>
      </c>
      <c r="C80" s="255"/>
      <c r="D80" s="255"/>
      <c r="E80" s="258"/>
      <c r="F80" s="258" t="s">
        <v>631</v>
      </c>
      <c r="G80" s="255"/>
      <c r="H80" s="1247">
        <f>H790</f>
        <v>0</v>
      </c>
      <c r="I80" s="1247">
        <f t="shared" ref="I80:BE80" si="27">I790</f>
        <v>0</v>
      </c>
      <c r="J80" s="1247">
        <f t="shared" si="27"/>
        <v>0</v>
      </c>
      <c r="K80" s="1247">
        <f t="shared" si="27"/>
        <v>0</v>
      </c>
      <c r="L80" s="1247">
        <f t="shared" si="27"/>
        <v>0</v>
      </c>
      <c r="M80" s="1247">
        <f t="shared" si="27"/>
        <v>0</v>
      </c>
      <c r="N80" s="1247">
        <f t="shared" si="27"/>
        <v>0</v>
      </c>
      <c r="O80" s="1247">
        <f t="shared" si="27"/>
        <v>0</v>
      </c>
      <c r="P80" s="1247">
        <f t="shared" si="27"/>
        <v>0</v>
      </c>
      <c r="Q80" s="1247">
        <f t="shared" si="27"/>
        <v>0</v>
      </c>
      <c r="R80" s="1247">
        <f t="shared" si="27"/>
        <v>0</v>
      </c>
      <c r="S80" s="1247">
        <f t="shared" si="27"/>
        <v>0</v>
      </c>
      <c r="T80" s="1247">
        <f t="shared" si="27"/>
        <v>0</v>
      </c>
      <c r="U80" s="1247">
        <f t="shared" si="27"/>
        <v>0</v>
      </c>
      <c r="V80" s="1247">
        <f t="shared" si="27"/>
        <v>0</v>
      </c>
      <c r="W80" s="1247">
        <f t="shared" si="27"/>
        <v>0</v>
      </c>
      <c r="X80" s="1247">
        <f t="shared" si="27"/>
        <v>0</v>
      </c>
      <c r="Y80" s="1247">
        <f t="shared" si="27"/>
        <v>0</v>
      </c>
      <c r="Z80" s="1247">
        <f t="shared" si="27"/>
        <v>0</v>
      </c>
      <c r="AA80" s="1247">
        <f t="shared" si="27"/>
        <v>0</v>
      </c>
      <c r="AB80" s="1247">
        <f t="shared" si="27"/>
        <v>0</v>
      </c>
      <c r="AC80" s="1247">
        <f t="shared" si="27"/>
        <v>0</v>
      </c>
      <c r="AD80" s="1247">
        <f t="shared" si="27"/>
        <v>0</v>
      </c>
      <c r="AE80" s="1247">
        <f t="shared" si="27"/>
        <v>0</v>
      </c>
      <c r="AF80" s="1247">
        <f t="shared" si="27"/>
        <v>0</v>
      </c>
      <c r="AG80" s="1247">
        <f t="shared" si="27"/>
        <v>0</v>
      </c>
      <c r="AH80" s="1247">
        <f t="shared" si="27"/>
        <v>0</v>
      </c>
      <c r="AI80" s="1247">
        <f t="shared" si="27"/>
        <v>0</v>
      </c>
      <c r="AJ80" s="1247">
        <f t="shared" si="27"/>
        <v>0</v>
      </c>
      <c r="AK80" s="1247">
        <f t="shared" si="27"/>
        <v>0</v>
      </c>
      <c r="AL80" s="1247">
        <f t="shared" si="27"/>
        <v>0</v>
      </c>
      <c r="AM80" s="1247">
        <f t="shared" si="27"/>
        <v>0</v>
      </c>
      <c r="AN80" s="1247">
        <f t="shared" si="27"/>
        <v>0</v>
      </c>
      <c r="AO80" s="1247">
        <f t="shared" si="27"/>
        <v>0</v>
      </c>
      <c r="AP80" s="1247">
        <f t="shared" si="27"/>
        <v>0</v>
      </c>
      <c r="AQ80" s="1247">
        <f t="shared" si="27"/>
        <v>0</v>
      </c>
      <c r="AR80" s="1247">
        <f t="shared" si="27"/>
        <v>0</v>
      </c>
      <c r="AS80" s="1247">
        <f t="shared" si="27"/>
        <v>0</v>
      </c>
      <c r="AT80" s="1247">
        <f t="shared" si="27"/>
        <v>0</v>
      </c>
      <c r="AU80" s="1247">
        <f t="shared" si="27"/>
        <v>0</v>
      </c>
      <c r="AV80" s="1247">
        <f t="shared" si="27"/>
        <v>0</v>
      </c>
      <c r="AW80" s="1247">
        <f t="shared" si="27"/>
        <v>0</v>
      </c>
      <c r="AX80" s="1247">
        <f t="shared" si="27"/>
        <v>0</v>
      </c>
      <c r="AY80" s="1247">
        <f t="shared" si="27"/>
        <v>0</v>
      </c>
      <c r="AZ80" s="1247">
        <f t="shared" si="27"/>
        <v>0</v>
      </c>
      <c r="BA80" s="1247">
        <f t="shared" si="27"/>
        <v>0</v>
      </c>
      <c r="BB80" s="1247">
        <f t="shared" si="27"/>
        <v>0</v>
      </c>
      <c r="BC80" s="1247">
        <f t="shared" si="27"/>
        <v>0</v>
      </c>
      <c r="BD80" s="1247">
        <f t="shared" si="27"/>
        <v>0</v>
      </c>
      <c r="BE80" s="1248">
        <f t="shared" si="27"/>
        <v>0</v>
      </c>
    </row>
    <row r="81" spans="2:57" x14ac:dyDescent="0.25">
      <c r="B81" s="254"/>
      <c r="C81" s="255"/>
      <c r="D81" s="255"/>
      <c r="E81" s="258"/>
      <c r="F81" s="258"/>
      <c r="G81" s="255"/>
      <c r="H81" s="1247"/>
      <c r="I81" s="1247"/>
      <c r="J81" s="1247"/>
      <c r="K81" s="1247"/>
      <c r="L81" s="1247"/>
      <c r="M81" s="1247"/>
      <c r="N81" s="1247"/>
      <c r="O81" s="1247"/>
      <c r="P81" s="1247"/>
      <c r="Q81" s="1247"/>
      <c r="R81" s="1247"/>
      <c r="S81" s="1247"/>
      <c r="T81" s="1247"/>
      <c r="U81" s="1247"/>
      <c r="V81" s="1247"/>
      <c r="W81" s="1247"/>
      <c r="X81" s="1247"/>
      <c r="Y81" s="1247"/>
      <c r="Z81" s="1247"/>
      <c r="AA81" s="1247"/>
      <c r="AB81" s="1247"/>
      <c r="AC81" s="1247"/>
      <c r="AD81" s="1247"/>
      <c r="AE81" s="1247"/>
      <c r="AF81" s="1247"/>
      <c r="AG81" s="1247"/>
      <c r="AH81" s="1247"/>
      <c r="AI81" s="1247"/>
      <c r="AJ81" s="1247"/>
      <c r="AK81" s="1247"/>
      <c r="AL81" s="1247"/>
      <c r="AM81" s="1247"/>
      <c r="AN81" s="1247"/>
      <c r="AO81" s="1247"/>
      <c r="AP81" s="1247"/>
      <c r="AQ81" s="1247"/>
      <c r="AR81" s="1247"/>
      <c r="AS81" s="1247"/>
      <c r="AT81" s="1247"/>
      <c r="AU81" s="1247"/>
      <c r="AV81" s="1247"/>
      <c r="AW81" s="1247"/>
      <c r="AX81" s="1247"/>
      <c r="AY81" s="1247"/>
      <c r="AZ81" s="1247"/>
      <c r="BA81" s="1247"/>
      <c r="BB81" s="1247"/>
      <c r="BC81" s="1247"/>
      <c r="BD81" s="1247"/>
      <c r="BE81" s="1248"/>
    </row>
    <row r="82" spans="2:57" x14ac:dyDescent="0.25">
      <c r="B82" s="254" t="s">
        <v>257</v>
      </c>
      <c r="C82" s="255"/>
      <c r="D82" s="255"/>
      <c r="E82" s="258"/>
      <c r="F82" s="258" t="s">
        <v>631</v>
      </c>
      <c r="G82" s="255"/>
      <c r="H82" s="1247">
        <f>H385</f>
        <v>0</v>
      </c>
      <c r="I82" s="1247">
        <f>I385</f>
        <v>0</v>
      </c>
      <c r="J82" s="1247">
        <f t="shared" ref="J82:BE82" si="28">J385</f>
        <v>0</v>
      </c>
      <c r="K82" s="1247">
        <f t="shared" si="28"/>
        <v>0</v>
      </c>
      <c r="L82" s="1247">
        <f t="shared" si="28"/>
        <v>0</v>
      </c>
      <c r="M82" s="1247">
        <f t="shared" si="28"/>
        <v>0</v>
      </c>
      <c r="N82" s="1247">
        <f t="shared" si="28"/>
        <v>0</v>
      </c>
      <c r="O82" s="1247">
        <f t="shared" si="28"/>
        <v>0</v>
      </c>
      <c r="P82" s="1247">
        <f t="shared" si="28"/>
        <v>0</v>
      </c>
      <c r="Q82" s="1247">
        <f t="shared" si="28"/>
        <v>0</v>
      </c>
      <c r="R82" s="1247">
        <f t="shared" si="28"/>
        <v>0</v>
      </c>
      <c r="S82" s="1247">
        <f t="shared" si="28"/>
        <v>0</v>
      </c>
      <c r="T82" s="1247">
        <f t="shared" si="28"/>
        <v>0</v>
      </c>
      <c r="U82" s="1247">
        <f t="shared" si="28"/>
        <v>0</v>
      </c>
      <c r="V82" s="1247">
        <f t="shared" si="28"/>
        <v>0</v>
      </c>
      <c r="W82" s="1247">
        <f t="shared" si="28"/>
        <v>0</v>
      </c>
      <c r="X82" s="1247">
        <f t="shared" si="28"/>
        <v>0</v>
      </c>
      <c r="Y82" s="1247">
        <f t="shared" si="28"/>
        <v>0</v>
      </c>
      <c r="Z82" s="1247">
        <f t="shared" si="28"/>
        <v>0</v>
      </c>
      <c r="AA82" s="1247">
        <f t="shared" si="28"/>
        <v>0</v>
      </c>
      <c r="AB82" s="1247">
        <f t="shared" si="28"/>
        <v>0</v>
      </c>
      <c r="AC82" s="1247">
        <f t="shared" si="28"/>
        <v>0</v>
      </c>
      <c r="AD82" s="1247">
        <f t="shared" si="28"/>
        <v>0</v>
      </c>
      <c r="AE82" s="1247">
        <f t="shared" si="28"/>
        <v>0</v>
      </c>
      <c r="AF82" s="1247">
        <f t="shared" si="28"/>
        <v>0</v>
      </c>
      <c r="AG82" s="1247">
        <f t="shared" si="28"/>
        <v>0</v>
      </c>
      <c r="AH82" s="1247">
        <f t="shared" si="28"/>
        <v>0</v>
      </c>
      <c r="AI82" s="1247">
        <f t="shared" si="28"/>
        <v>0</v>
      </c>
      <c r="AJ82" s="1247">
        <f t="shared" si="28"/>
        <v>0</v>
      </c>
      <c r="AK82" s="1247">
        <f t="shared" si="28"/>
        <v>0</v>
      </c>
      <c r="AL82" s="1247">
        <f t="shared" si="28"/>
        <v>0</v>
      </c>
      <c r="AM82" s="1247">
        <f t="shared" si="28"/>
        <v>0</v>
      </c>
      <c r="AN82" s="1247">
        <f t="shared" si="28"/>
        <v>0</v>
      </c>
      <c r="AO82" s="1247">
        <f t="shared" si="28"/>
        <v>0</v>
      </c>
      <c r="AP82" s="1247">
        <f t="shared" si="28"/>
        <v>0</v>
      </c>
      <c r="AQ82" s="1247">
        <f t="shared" si="28"/>
        <v>0</v>
      </c>
      <c r="AR82" s="1247">
        <f t="shared" si="28"/>
        <v>0</v>
      </c>
      <c r="AS82" s="1247">
        <f t="shared" si="28"/>
        <v>0</v>
      </c>
      <c r="AT82" s="1247">
        <f t="shared" si="28"/>
        <v>0</v>
      </c>
      <c r="AU82" s="1247">
        <f t="shared" si="28"/>
        <v>0</v>
      </c>
      <c r="AV82" s="1247">
        <f t="shared" si="28"/>
        <v>0</v>
      </c>
      <c r="AW82" s="1247">
        <f t="shared" si="28"/>
        <v>0</v>
      </c>
      <c r="AX82" s="1247">
        <f t="shared" si="28"/>
        <v>0</v>
      </c>
      <c r="AY82" s="1247">
        <f t="shared" si="28"/>
        <v>0</v>
      </c>
      <c r="AZ82" s="1247">
        <f t="shared" si="28"/>
        <v>0</v>
      </c>
      <c r="BA82" s="1247">
        <f t="shared" si="28"/>
        <v>0</v>
      </c>
      <c r="BB82" s="1247">
        <f t="shared" si="28"/>
        <v>0</v>
      </c>
      <c r="BC82" s="1247">
        <f t="shared" si="28"/>
        <v>0</v>
      </c>
      <c r="BD82" s="1247">
        <f t="shared" si="28"/>
        <v>0</v>
      </c>
      <c r="BE82" s="1248">
        <f t="shared" si="28"/>
        <v>0</v>
      </c>
    </row>
    <row r="83" spans="2:57" x14ac:dyDescent="0.25">
      <c r="B83" s="254" t="s">
        <v>189</v>
      </c>
      <c r="C83" s="255"/>
      <c r="D83" s="255"/>
      <c r="E83" s="258"/>
      <c r="F83" s="258" t="s">
        <v>631</v>
      </c>
      <c r="G83" s="255"/>
      <c r="H83" s="1247">
        <f>H406</f>
        <v>0</v>
      </c>
      <c r="I83" s="1247">
        <f>I406</f>
        <v>0</v>
      </c>
      <c r="J83" s="1247">
        <f t="shared" ref="J83:BE83" si="29">J406</f>
        <v>0</v>
      </c>
      <c r="K83" s="1247">
        <f t="shared" si="29"/>
        <v>0</v>
      </c>
      <c r="L83" s="1247">
        <f t="shared" si="29"/>
        <v>0</v>
      </c>
      <c r="M83" s="1247">
        <f t="shared" si="29"/>
        <v>0</v>
      </c>
      <c r="N83" s="1247">
        <f t="shared" si="29"/>
        <v>0</v>
      </c>
      <c r="O83" s="1247">
        <f t="shared" si="29"/>
        <v>0</v>
      </c>
      <c r="P83" s="1247">
        <f t="shared" si="29"/>
        <v>0</v>
      </c>
      <c r="Q83" s="1247">
        <f t="shared" si="29"/>
        <v>0</v>
      </c>
      <c r="R83" s="1247">
        <f t="shared" si="29"/>
        <v>0</v>
      </c>
      <c r="S83" s="1247">
        <f t="shared" si="29"/>
        <v>0</v>
      </c>
      <c r="T83" s="1247">
        <f t="shared" si="29"/>
        <v>0</v>
      </c>
      <c r="U83" s="1247">
        <f t="shared" si="29"/>
        <v>0</v>
      </c>
      <c r="V83" s="1247">
        <f t="shared" si="29"/>
        <v>0</v>
      </c>
      <c r="W83" s="1247">
        <f t="shared" si="29"/>
        <v>0</v>
      </c>
      <c r="X83" s="1247">
        <f t="shared" si="29"/>
        <v>0</v>
      </c>
      <c r="Y83" s="1247">
        <f t="shared" si="29"/>
        <v>0</v>
      </c>
      <c r="Z83" s="1247">
        <f t="shared" si="29"/>
        <v>0</v>
      </c>
      <c r="AA83" s="1247">
        <f t="shared" si="29"/>
        <v>0</v>
      </c>
      <c r="AB83" s="1247">
        <f t="shared" si="29"/>
        <v>0</v>
      </c>
      <c r="AC83" s="1247">
        <f t="shared" si="29"/>
        <v>0</v>
      </c>
      <c r="AD83" s="1247">
        <f t="shared" si="29"/>
        <v>0</v>
      </c>
      <c r="AE83" s="1247">
        <f t="shared" si="29"/>
        <v>0</v>
      </c>
      <c r="AF83" s="1247">
        <f t="shared" si="29"/>
        <v>0</v>
      </c>
      <c r="AG83" s="1247">
        <f t="shared" si="29"/>
        <v>0</v>
      </c>
      <c r="AH83" s="1247">
        <f t="shared" si="29"/>
        <v>0</v>
      </c>
      <c r="AI83" s="1247">
        <f t="shared" si="29"/>
        <v>0</v>
      </c>
      <c r="AJ83" s="1247">
        <f t="shared" si="29"/>
        <v>0</v>
      </c>
      <c r="AK83" s="1247">
        <f t="shared" si="29"/>
        <v>0</v>
      </c>
      <c r="AL83" s="1247">
        <f t="shared" si="29"/>
        <v>0</v>
      </c>
      <c r="AM83" s="1247">
        <f t="shared" si="29"/>
        <v>0</v>
      </c>
      <c r="AN83" s="1247">
        <f t="shared" si="29"/>
        <v>0</v>
      </c>
      <c r="AO83" s="1247">
        <f t="shared" si="29"/>
        <v>0</v>
      </c>
      <c r="AP83" s="1247">
        <f t="shared" si="29"/>
        <v>0</v>
      </c>
      <c r="AQ83" s="1247">
        <f t="shared" si="29"/>
        <v>0</v>
      </c>
      <c r="AR83" s="1247">
        <f t="shared" si="29"/>
        <v>0</v>
      </c>
      <c r="AS83" s="1247">
        <f t="shared" si="29"/>
        <v>0</v>
      </c>
      <c r="AT83" s="1247">
        <f t="shared" si="29"/>
        <v>0</v>
      </c>
      <c r="AU83" s="1247">
        <f t="shared" si="29"/>
        <v>0</v>
      </c>
      <c r="AV83" s="1247">
        <f t="shared" si="29"/>
        <v>0</v>
      </c>
      <c r="AW83" s="1247">
        <f t="shared" si="29"/>
        <v>0</v>
      </c>
      <c r="AX83" s="1247">
        <f t="shared" si="29"/>
        <v>0</v>
      </c>
      <c r="AY83" s="1247">
        <f t="shared" si="29"/>
        <v>0</v>
      </c>
      <c r="AZ83" s="1247">
        <f t="shared" si="29"/>
        <v>0</v>
      </c>
      <c r="BA83" s="1247">
        <f t="shared" si="29"/>
        <v>0</v>
      </c>
      <c r="BB83" s="1247">
        <f t="shared" si="29"/>
        <v>0</v>
      </c>
      <c r="BC83" s="1247">
        <f t="shared" si="29"/>
        <v>0</v>
      </c>
      <c r="BD83" s="1247">
        <f t="shared" si="29"/>
        <v>0</v>
      </c>
      <c r="BE83" s="1248">
        <f t="shared" si="29"/>
        <v>0</v>
      </c>
    </row>
    <row r="84" spans="2:57" x14ac:dyDescent="0.25">
      <c r="B84" s="254" t="s">
        <v>190</v>
      </c>
      <c r="C84" s="255"/>
      <c r="D84" s="255"/>
      <c r="E84" s="258"/>
      <c r="F84" s="258" t="s">
        <v>631</v>
      </c>
      <c r="G84" s="255"/>
      <c r="H84" s="1247">
        <f>H427</f>
        <v>0</v>
      </c>
      <c r="I84" s="1247">
        <f>I427</f>
        <v>0</v>
      </c>
      <c r="J84" s="1247">
        <f t="shared" ref="J84:BE84" si="30">J427</f>
        <v>0</v>
      </c>
      <c r="K84" s="1247">
        <f t="shared" si="30"/>
        <v>0</v>
      </c>
      <c r="L84" s="1247">
        <f t="shared" si="30"/>
        <v>0</v>
      </c>
      <c r="M84" s="1247">
        <f t="shared" si="30"/>
        <v>0</v>
      </c>
      <c r="N84" s="1247">
        <f t="shared" si="30"/>
        <v>0</v>
      </c>
      <c r="O84" s="1247">
        <f t="shared" si="30"/>
        <v>0</v>
      </c>
      <c r="P84" s="1247">
        <f t="shared" si="30"/>
        <v>0</v>
      </c>
      <c r="Q84" s="1247">
        <f t="shared" si="30"/>
        <v>0</v>
      </c>
      <c r="R84" s="1247">
        <f t="shared" si="30"/>
        <v>0</v>
      </c>
      <c r="S84" s="1247">
        <f t="shared" si="30"/>
        <v>0</v>
      </c>
      <c r="T84" s="1247">
        <f t="shared" si="30"/>
        <v>0</v>
      </c>
      <c r="U84" s="1247">
        <f t="shared" si="30"/>
        <v>0</v>
      </c>
      <c r="V84" s="1247">
        <f t="shared" si="30"/>
        <v>0</v>
      </c>
      <c r="W84" s="1247">
        <f t="shared" si="30"/>
        <v>0</v>
      </c>
      <c r="X84" s="1247">
        <f t="shared" si="30"/>
        <v>0</v>
      </c>
      <c r="Y84" s="1247">
        <f t="shared" si="30"/>
        <v>0</v>
      </c>
      <c r="Z84" s="1247">
        <f t="shared" si="30"/>
        <v>0</v>
      </c>
      <c r="AA84" s="1247">
        <f t="shared" si="30"/>
        <v>0</v>
      </c>
      <c r="AB84" s="1247">
        <f t="shared" si="30"/>
        <v>0</v>
      </c>
      <c r="AC84" s="1247">
        <f t="shared" si="30"/>
        <v>0</v>
      </c>
      <c r="AD84" s="1247">
        <f t="shared" si="30"/>
        <v>0</v>
      </c>
      <c r="AE84" s="1247">
        <f t="shared" si="30"/>
        <v>0</v>
      </c>
      <c r="AF84" s="1247">
        <f t="shared" si="30"/>
        <v>0</v>
      </c>
      <c r="AG84" s="1247">
        <f t="shared" si="30"/>
        <v>0</v>
      </c>
      <c r="AH84" s="1247">
        <f t="shared" si="30"/>
        <v>0</v>
      </c>
      <c r="AI84" s="1247">
        <f t="shared" si="30"/>
        <v>0</v>
      </c>
      <c r="AJ84" s="1247">
        <f t="shared" si="30"/>
        <v>0</v>
      </c>
      <c r="AK84" s="1247">
        <f t="shared" si="30"/>
        <v>0</v>
      </c>
      <c r="AL84" s="1247">
        <f t="shared" si="30"/>
        <v>0</v>
      </c>
      <c r="AM84" s="1247">
        <f t="shared" si="30"/>
        <v>0</v>
      </c>
      <c r="AN84" s="1247">
        <f t="shared" si="30"/>
        <v>0</v>
      </c>
      <c r="AO84" s="1247">
        <f t="shared" si="30"/>
        <v>0</v>
      </c>
      <c r="AP84" s="1247">
        <f t="shared" si="30"/>
        <v>0</v>
      </c>
      <c r="AQ84" s="1247">
        <f t="shared" si="30"/>
        <v>0</v>
      </c>
      <c r="AR84" s="1247">
        <f t="shared" si="30"/>
        <v>0</v>
      </c>
      <c r="AS84" s="1247">
        <f t="shared" si="30"/>
        <v>0</v>
      </c>
      <c r="AT84" s="1247">
        <f t="shared" si="30"/>
        <v>0</v>
      </c>
      <c r="AU84" s="1247">
        <f t="shared" si="30"/>
        <v>0</v>
      </c>
      <c r="AV84" s="1247">
        <f t="shared" si="30"/>
        <v>0</v>
      </c>
      <c r="AW84" s="1247">
        <f t="shared" si="30"/>
        <v>0</v>
      </c>
      <c r="AX84" s="1247">
        <f t="shared" si="30"/>
        <v>0</v>
      </c>
      <c r="AY84" s="1247">
        <f t="shared" si="30"/>
        <v>0</v>
      </c>
      <c r="AZ84" s="1247">
        <f t="shared" si="30"/>
        <v>0</v>
      </c>
      <c r="BA84" s="1247">
        <f t="shared" si="30"/>
        <v>0</v>
      </c>
      <c r="BB84" s="1247">
        <f t="shared" si="30"/>
        <v>0</v>
      </c>
      <c r="BC84" s="1247">
        <f t="shared" si="30"/>
        <v>0</v>
      </c>
      <c r="BD84" s="1247">
        <f t="shared" si="30"/>
        <v>0</v>
      </c>
      <c r="BE84" s="1248">
        <f t="shared" si="30"/>
        <v>0</v>
      </c>
    </row>
    <row r="85" spans="2:57" x14ac:dyDescent="0.25">
      <c r="B85" s="254" t="s">
        <v>132</v>
      </c>
      <c r="C85" s="255"/>
      <c r="D85" s="255"/>
      <c r="E85" s="258"/>
      <c r="F85" s="258" t="s">
        <v>631</v>
      </c>
      <c r="G85" s="255"/>
      <c r="H85" s="1247">
        <f>(H396+H417+H438)</f>
        <v>0</v>
      </c>
      <c r="I85" s="1247">
        <f>(I396+I417+I438)</f>
        <v>0</v>
      </c>
      <c r="J85" s="1247">
        <f t="shared" ref="J85:BE85" si="31">(J396+J417+J438)</f>
        <v>0</v>
      </c>
      <c r="K85" s="1247">
        <f t="shared" si="31"/>
        <v>0</v>
      </c>
      <c r="L85" s="1247">
        <f t="shared" si="31"/>
        <v>0</v>
      </c>
      <c r="M85" s="1247">
        <f t="shared" si="31"/>
        <v>0</v>
      </c>
      <c r="N85" s="1247">
        <f t="shared" si="31"/>
        <v>0</v>
      </c>
      <c r="O85" s="1247">
        <f t="shared" si="31"/>
        <v>0</v>
      </c>
      <c r="P85" s="1247">
        <f t="shared" si="31"/>
        <v>0</v>
      </c>
      <c r="Q85" s="1247">
        <f t="shared" si="31"/>
        <v>0</v>
      </c>
      <c r="R85" s="1247">
        <f t="shared" si="31"/>
        <v>0</v>
      </c>
      <c r="S85" s="1247">
        <f t="shared" si="31"/>
        <v>0</v>
      </c>
      <c r="T85" s="1247">
        <f t="shared" si="31"/>
        <v>0</v>
      </c>
      <c r="U85" s="1247">
        <f t="shared" si="31"/>
        <v>0</v>
      </c>
      <c r="V85" s="1247">
        <f t="shared" si="31"/>
        <v>0</v>
      </c>
      <c r="W85" s="1247">
        <f t="shared" si="31"/>
        <v>0</v>
      </c>
      <c r="X85" s="1247">
        <f t="shared" si="31"/>
        <v>0</v>
      </c>
      <c r="Y85" s="1247">
        <f t="shared" si="31"/>
        <v>0</v>
      </c>
      <c r="Z85" s="1247">
        <f t="shared" si="31"/>
        <v>0</v>
      </c>
      <c r="AA85" s="1247">
        <f t="shared" si="31"/>
        <v>0</v>
      </c>
      <c r="AB85" s="1247">
        <f t="shared" si="31"/>
        <v>0</v>
      </c>
      <c r="AC85" s="1247">
        <f t="shared" si="31"/>
        <v>0</v>
      </c>
      <c r="AD85" s="1247">
        <f t="shared" si="31"/>
        <v>0</v>
      </c>
      <c r="AE85" s="1247">
        <f t="shared" si="31"/>
        <v>0</v>
      </c>
      <c r="AF85" s="1247">
        <f t="shared" si="31"/>
        <v>0</v>
      </c>
      <c r="AG85" s="1247">
        <f t="shared" si="31"/>
        <v>0</v>
      </c>
      <c r="AH85" s="1247">
        <f t="shared" si="31"/>
        <v>0</v>
      </c>
      <c r="AI85" s="1247">
        <f t="shared" si="31"/>
        <v>0</v>
      </c>
      <c r="AJ85" s="1247">
        <f t="shared" si="31"/>
        <v>0</v>
      </c>
      <c r="AK85" s="1247">
        <f t="shared" si="31"/>
        <v>0</v>
      </c>
      <c r="AL85" s="1247">
        <f t="shared" si="31"/>
        <v>0</v>
      </c>
      <c r="AM85" s="1247">
        <f t="shared" si="31"/>
        <v>0</v>
      </c>
      <c r="AN85" s="1247">
        <f t="shared" si="31"/>
        <v>0</v>
      </c>
      <c r="AO85" s="1247">
        <f t="shared" si="31"/>
        <v>0</v>
      </c>
      <c r="AP85" s="1247">
        <f t="shared" si="31"/>
        <v>0</v>
      </c>
      <c r="AQ85" s="1247">
        <f t="shared" si="31"/>
        <v>0</v>
      </c>
      <c r="AR85" s="1247">
        <f t="shared" si="31"/>
        <v>0</v>
      </c>
      <c r="AS85" s="1247">
        <f t="shared" si="31"/>
        <v>0</v>
      </c>
      <c r="AT85" s="1247">
        <f t="shared" si="31"/>
        <v>0</v>
      </c>
      <c r="AU85" s="1247">
        <f t="shared" si="31"/>
        <v>0</v>
      </c>
      <c r="AV85" s="1247">
        <f t="shared" si="31"/>
        <v>0</v>
      </c>
      <c r="AW85" s="1247">
        <f t="shared" si="31"/>
        <v>0</v>
      </c>
      <c r="AX85" s="1247">
        <f t="shared" si="31"/>
        <v>0</v>
      </c>
      <c r="AY85" s="1247">
        <f t="shared" si="31"/>
        <v>0</v>
      </c>
      <c r="AZ85" s="1247">
        <f t="shared" si="31"/>
        <v>0</v>
      </c>
      <c r="BA85" s="1247">
        <f t="shared" si="31"/>
        <v>0</v>
      </c>
      <c r="BB85" s="1247">
        <f t="shared" si="31"/>
        <v>0</v>
      </c>
      <c r="BC85" s="1247">
        <f t="shared" si="31"/>
        <v>0</v>
      </c>
      <c r="BD85" s="1247">
        <f t="shared" si="31"/>
        <v>0</v>
      </c>
      <c r="BE85" s="1248">
        <f t="shared" si="31"/>
        <v>0</v>
      </c>
    </row>
    <row r="86" spans="2:57" x14ac:dyDescent="0.25">
      <c r="B86" s="254" t="s">
        <v>191</v>
      </c>
      <c r="C86" s="255"/>
      <c r="D86" s="255"/>
      <c r="E86" s="258"/>
      <c r="F86" s="258" t="s">
        <v>631</v>
      </c>
      <c r="G86" s="255"/>
      <c r="H86" s="1247">
        <f>(H418+H419)</f>
        <v>0</v>
      </c>
      <c r="I86" s="1247">
        <f>(I419)</f>
        <v>0</v>
      </c>
      <c r="J86" s="1247">
        <f t="shared" ref="J86:BE86" si="32">(J419)</f>
        <v>0</v>
      </c>
      <c r="K86" s="1247">
        <f t="shared" si="32"/>
        <v>0</v>
      </c>
      <c r="L86" s="1247">
        <f t="shared" si="32"/>
        <v>0</v>
      </c>
      <c r="M86" s="1247">
        <f t="shared" si="32"/>
        <v>0</v>
      </c>
      <c r="N86" s="1247">
        <f t="shared" si="32"/>
        <v>0</v>
      </c>
      <c r="O86" s="1247">
        <f t="shared" si="32"/>
        <v>0</v>
      </c>
      <c r="P86" s="1247">
        <f t="shared" si="32"/>
        <v>0</v>
      </c>
      <c r="Q86" s="1247">
        <f t="shared" si="32"/>
        <v>0</v>
      </c>
      <c r="R86" s="1247">
        <f t="shared" si="32"/>
        <v>0</v>
      </c>
      <c r="S86" s="1247">
        <f t="shared" si="32"/>
        <v>0</v>
      </c>
      <c r="T86" s="1247">
        <f t="shared" si="32"/>
        <v>0</v>
      </c>
      <c r="U86" s="1247">
        <f t="shared" si="32"/>
        <v>0</v>
      </c>
      <c r="V86" s="1247">
        <f t="shared" si="32"/>
        <v>0</v>
      </c>
      <c r="W86" s="1247">
        <f t="shared" si="32"/>
        <v>0</v>
      </c>
      <c r="X86" s="1247">
        <f t="shared" si="32"/>
        <v>0</v>
      </c>
      <c r="Y86" s="1247">
        <f t="shared" si="32"/>
        <v>0</v>
      </c>
      <c r="Z86" s="1247">
        <f t="shared" si="32"/>
        <v>0</v>
      </c>
      <c r="AA86" s="1247">
        <f t="shared" si="32"/>
        <v>0</v>
      </c>
      <c r="AB86" s="1247">
        <f t="shared" si="32"/>
        <v>0</v>
      </c>
      <c r="AC86" s="1247">
        <f t="shared" si="32"/>
        <v>0</v>
      </c>
      <c r="AD86" s="1247">
        <f t="shared" si="32"/>
        <v>0</v>
      </c>
      <c r="AE86" s="1247">
        <f t="shared" si="32"/>
        <v>0</v>
      </c>
      <c r="AF86" s="1247">
        <f t="shared" si="32"/>
        <v>0</v>
      </c>
      <c r="AG86" s="1247">
        <f t="shared" si="32"/>
        <v>0</v>
      </c>
      <c r="AH86" s="1247">
        <f t="shared" si="32"/>
        <v>0</v>
      </c>
      <c r="AI86" s="1247">
        <f t="shared" si="32"/>
        <v>0</v>
      </c>
      <c r="AJ86" s="1247">
        <f t="shared" si="32"/>
        <v>0</v>
      </c>
      <c r="AK86" s="1247">
        <f t="shared" si="32"/>
        <v>0</v>
      </c>
      <c r="AL86" s="1247">
        <f t="shared" si="32"/>
        <v>0</v>
      </c>
      <c r="AM86" s="1247">
        <f t="shared" si="32"/>
        <v>0</v>
      </c>
      <c r="AN86" s="1247">
        <f t="shared" si="32"/>
        <v>0</v>
      </c>
      <c r="AO86" s="1247">
        <f t="shared" si="32"/>
        <v>0</v>
      </c>
      <c r="AP86" s="1247">
        <f t="shared" si="32"/>
        <v>0</v>
      </c>
      <c r="AQ86" s="1247">
        <f t="shared" si="32"/>
        <v>0</v>
      </c>
      <c r="AR86" s="1247">
        <f t="shared" si="32"/>
        <v>0</v>
      </c>
      <c r="AS86" s="1247">
        <f t="shared" si="32"/>
        <v>0</v>
      </c>
      <c r="AT86" s="1247">
        <f t="shared" si="32"/>
        <v>0</v>
      </c>
      <c r="AU86" s="1247">
        <f t="shared" si="32"/>
        <v>0</v>
      </c>
      <c r="AV86" s="1247">
        <f t="shared" si="32"/>
        <v>0</v>
      </c>
      <c r="AW86" s="1247">
        <f t="shared" si="32"/>
        <v>0</v>
      </c>
      <c r="AX86" s="1247">
        <f t="shared" si="32"/>
        <v>0</v>
      </c>
      <c r="AY86" s="1247">
        <f t="shared" si="32"/>
        <v>0</v>
      </c>
      <c r="AZ86" s="1247">
        <f t="shared" si="32"/>
        <v>0</v>
      </c>
      <c r="BA86" s="1247">
        <f t="shared" si="32"/>
        <v>0</v>
      </c>
      <c r="BB86" s="1247">
        <f t="shared" si="32"/>
        <v>0</v>
      </c>
      <c r="BC86" s="1247">
        <f t="shared" si="32"/>
        <v>0</v>
      </c>
      <c r="BD86" s="1247">
        <f t="shared" si="32"/>
        <v>0</v>
      </c>
      <c r="BE86" s="1248">
        <f t="shared" si="32"/>
        <v>0</v>
      </c>
    </row>
    <row r="87" spans="2:57" x14ac:dyDescent="0.25">
      <c r="B87" s="254" t="s">
        <v>134</v>
      </c>
      <c r="C87" s="255"/>
      <c r="D87" s="255"/>
      <c r="E87" s="258"/>
      <c r="F87" s="258" t="s">
        <v>631</v>
      </c>
      <c r="G87" s="255"/>
      <c r="H87" s="1247">
        <f>(H448+H449)</f>
        <v>0</v>
      </c>
      <c r="I87" s="1247">
        <f>I449</f>
        <v>0</v>
      </c>
      <c r="J87" s="1247">
        <f t="shared" ref="J87:BE87" si="33">J449</f>
        <v>0</v>
      </c>
      <c r="K87" s="1247">
        <f t="shared" si="33"/>
        <v>0</v>
      </c>
      <c r="L87" s="1247">
        <f t="shared" si="33"/>
        <v>0</v>
      </c>
      <c r="M87" s="1247">
        <f t="shared" si="33"/>
        <v>0</v>
      </c>
      <c r="N87" s="1247">
        <f t="shared" si="33"/>
        <v>0</v>
      </c>
      <c r="O87" s="1247">
        <f t="shared" si="33"/>
        <v>0</v>
      </c>
      <c r="P87" s="1247">
        <f t="shared" si="33"/>
        <v>0</v>
      </c>
      <c r="Q87" s="1247">
        <f t="shared" si="33"/>
        <v>0</v>
      </c>
      <c r="R87" s="1247">
        <f t="shared" si="33"/>
        <v>0</v>
      </c>
      <c r="S87" s="1247">
        <f t="shared" si="33"/>
        <v>0</v>
      </c>
      <c r="T87" s="1247">
        <f t="shared" si="33"/>
        <v>0</v>
      </c>
      <c r="U87" s="1247">
        <f t="shared" si="33"/>
        <v>0</v>
      </c>
      <c r="V87" s="1247">
        <f t="shared" si="33"/>
        <v>0</v>
      </c>
      <c r="W87" s="1247">
        <f t="shared" si="33"/>
        <v>0</v>
      </c>
      <c r="X87" s="1247">
        <f t="shared" si="33"/>
        <v>0</v>
      </c>
      <c r="Y87" s="1247">
        <f t="shared" si="33"/>
        <v>0</v>
      </c>
      <c r="Z87" s="1247">
        <f t="shared" si="33"/>
        <v>0</v>
      </c>
      <c r="AA87" s="1247">
        <f t="shared" si="33"/>
        <v>0</v>
      </c>
      <c r="AB87" s="1247">
        <f t="shared" si="33"/>
        <v>0</v>
      </c>
      <c r="AC87" s="1247">
        <f t="shared" si="33"/>
        <v>0</v>
      </c>
      <c r="AD87" s="1247">
        <f t="shared" si="33"/>
        <v>0</v>
      </c>
      <c r="AE87" s="1247">
        <f t="shared" si="33"/>
        <v>0</v>
      </c>
      <c r="AF87" s="1247">
        <f t="shared" si="33"/>
        <v>0</v>
      </c>
      <c r="AG87" s="1247">
        <f t="shared" si="33"/>
        <v>0</v>
      </c>
      <c r="AH87" s="1247">
        <f t="shared" si="33"/>
        <v>0</v>
      </c>
      <c r="AI87" s="1247">
        <f t="shared" si="33"/>
        <v>0</v>
      </c>
      <c r="AJ87" s="1247">
        <f t="shared" si="33"/>
        <v>0</v>
      </c>
      <c r="AK87" s="1247">
        <f t="shared" si="33"/>
        <v>0</v>
      </c>
      <c r="AL87" s="1247">
        <f t="shared" si="33"/>
        <v>0</v>
      </c>
      <c r="AM87" s="1247">
        <f t="shared" si="33"/>
        <v>0</v>
      </c>
      <c r="AN87" s="1247">
        <f t="shared" si="33"/>
        <v>0</v>
      </c>
      <c r="AO87" s="1247">
        <f t="shared" si="33"/>
        <v>0</v>
      </c>
      <c r="AP87" s="1247">
        <f t="shared" si="33"/>
        <v>0</v>
      </c>
      <c r="AQ87" s="1247">
        <f t="shared" si="33"/>
        <v>0</v>
      </c>
      <c r="AR87" s="1247">
        <f t="shared" si="33"/>
        <v>0</v>
      </c>
      <c r="AS87" s="1247">
        <f t="shared" si="33"/>
        <v>0</v>
      </c>
      <c r="AT87" s="1247">
        <f t="shared" si="33"/>
        <v>0</v>
      </c>
      <c r="AU87" s="1247">
        <f t="shared" si="33"/>
        <v>0</v>
      </c>
      <c r="AV87" s="1247">
        <f t="shared" si="33"/>
        <v>0</v>
      </c>
      <c r="AW87" s="1247">
        <f t="shared" si="33"/>
        <v>0</v>
      </c>
      <c r="AX87" s="1247">
        <f t="shared" si="33"/>
        <v>0</v>
      </c>
      <c r="AY87" s="1247">
        <f t="shared" si="33"/>
        <v>0</v>
      </c>
      <c r="AZ87" s="1247">
        <f t="shared" si="33"/>
        <v>0</v>
      </c>
      <c r="BA87" s="1247">
        <f t="shared" si="33"/>
        <v>0</v>
      </c>
      <c r="BB87" s="1247">
        <f t="shared" si="33"/>
        <v>0</v>
      </c>
      <c r="BC87" s="1247">
        <f t="shared" si="33"/>
        <v>0</v>
      </c>
      <c r="BD87" s="1247">
        <f t="shared" si="33"/>
        <v>0</v>
      </c>
      <c r="BE87" s="1248">
        <f t="shared" si="33"/>
        <v>0</v>
      </c>
    </row>
    <row r="88" spans="2:57" x14ac:dyDescent="0.25">
      <c r="B88" s="254"/>
      <c r="C88" s="255"/>
      <c r="D88" s="255"/>
      <c r="E88" s="258"/>
      <c r="F88" s="258"/>
      <c r="G88" s="255"/>
      <c r="H88" s="1247"/>
      <c r="I88" s="1247"/>
      <c r="J88" s="1247"/>
      <c r="K88" s="1247"/>
      <c r="L88" s="1247"/>
      <c r="M88" s="1247"/>
      <c r="N88" s="1247"/>
      <c r="O88" s="1247"/>
      <c r="P88" s="1247"/>
      <c r="Q88" s="1247"/>
      <c r="R88" s="1247"/>
      <c r="S88" s="1247"/>
      <c r="T88" s="1247"/>
      <c r="U88" s="1247"/>
      <c r="V88" s="1247"/>
      <c r="W88" s="1247"/>
      <c r="X88" s="1247"/>
      <c r="Y88" s="1247"/>
      <c r="Z88" s="1247"/>
      <c r="AA88" s="1247"/>
      <c r="AB88" s="1247"/>
      <c r="AC88" s="1247"/>
      <c r="AD88" s="1247"/>
      <c r="AE88" s="1247"/>
      <c r="AF88" s="1247"/>
      <c r="AG88" s="1247"/>
      <c r="AH88" s="1247"/>
      <c r="AI88" s="1247"/>
      <c r="AJ88" s="1247"/>
      <c r="AK88" s="1247"/>
      <c r="AL88" s="1247"/>
      <c r="AM88" s="1247"/>
      <c r="AN88" s="1247"/>
      <c r="AO88" s="1247"/>
      <c r="AP88" s="1247"/>
      <c r="AQ88" s="1247"/>
      <c r="AR88" s="1247"/>
      <c r="AS88" s="1247"/>
      <c r="AT88" s="1247"/>
      <c r="AU88" s="1247"/>
      <c r="AV88" s="1247"/>
      <c r="AW88" s="1247"/>
      <c r="AX88" s="1247"/>
      <c r="AY88" s="1247"/>
      <c r="AZ88" s="1247"/>
      <c r="BA88" s="1247"/>
      <c r="BB88" s="1247"/>
      <c r="BC88" s="1247"/>
      <c r="BD88" s="1247"/>
      <c r="BE88" s="1248"/>
    </row>
    <row r="89" spans="2:57" x14ac:dyDescent="0.25">
      <c r="B89" s="254"/>
      <c r="C89" s="255"/>
      <c r="D89" s="255"/>
      <c r="E89" s="258"/>
      <c r="F89" s="258"/>
      <c r="G89" s="255"/>
      <c r="H89" s="1247"/>
      <c r="I89" s="1247"/>
      <c r="J89" s="1247"/>
      <c r="K89" s="1247"/>
      <c r="L89" s="1247"/>
      <c r="M89" s="1247"/>
      <c r="N89" s="1247"/>
      <c r="O89" s="1247"/>
      <c r="P89" s="1247"/>
      <c r="Q89" s="1247"/>
      <c r="R89" s="1247"/>
      <c r="S89" s="1247"/>
      <c r="T89" s="1247"/>
      <c r="U89" s="1247"/>
      <c r="V89" s="1247"/>
      <c r="W89" s="1247"/>
      <c r="X89" s="1247"/>
      <c r="Y89" s="1247"/>
      <c r="Z89" s="1247"/>
      <c r="AA89" s="1247"/>
      <c r="AB89" s="1247"/>
      <c r="AC89" s="1247"/>
      <c r="AD89" s="1247"/>
      <c r="AE89" s="1247"/>
      <c r="AF89" s="1247"/>
      <c r="AG89" s="1247"/>
      <c r="AH89" s="1247"/>
      <c r="AI89" s="1247"/>
      <c r="AJ89" s="1247"/>
      <c r="AK89" s="1247"/>
      <c r="AL89" s="1247"/>
      <c r="AM89" s="1247"/>
      <c r="AN89" s="1247"/>
      <c r="AO89" s="1247"/>
      <c r="AP89" s="1247"/>
      <c r="AQ89" s="1247"/>
      <c r="AR89" s="1247"/>
      <c r="AS89" s="1247"/>
      <c r="AT89" s="1247"/>
      <c r="AU89" s="1247"/>
      <c r="AV89" s="1247"/>
      <c r="AW89" s="1247"/>
      <c r="AX89" s="1247"/>
      <c r="AY89" s="1247"/>
      <c r="AZ89" s="1247"/>
      <c r="BA89" s="1247"/>
      <c r="BB89" s="1247"/>
      <c r="BC89" s="1247"/>
      <c r="BD89" s="1247"/>
      <c r="BE89" s="1248"/>
    </row>
    <row r="90" spans="2:57" x14ac:dyDescent="0.25">
      <c r="B90" s="266" t="s">
        <v>133</v>
      </c>
      <c r="C90" s="255"/>
      <c r="D90" s="255"/>
      <c r="E90" s="258"/>
      <c r="F90" s="258"/>
      <c r="G90" s="255"/>
      <c r="H90" s="1247"/>
      <c r="I90" s="1247"/>
      <c r="J90" s="1247"/>
      <c r="K90" s="1247"/>
      <c r="L90" s="1247"/>
      <c r="M90" s="1247"/>
      <c r="N90" s="1247"/>
      <c r="O90" s="1247"/>
      <c r="P90" s="1247"/>
      <c r="Q90" s="1247"/>
      <c r="R90" s="1247"/>
      <c r="S90" s="1247"/>
      <c r="T90" s="1247"/>
      <c r="U90" s="1247"/>
      <c r="V90" s="1247"/>
      <c r="W90" s="1247"/>
      <c r="X90" s="1247"/>
      <c r="Y90" s="1247"/>
      <c r="Z90" s="1247"/>
      <c r="AA90" s="1247"/>
      <c r="AB90" s="1247"/>
      <c r="AC90" s="1247"/>
      <c r="AD90" s="1247"/>
      <c r="AE90" s="1247"/>
      <c r="AF90" s="1247"/>
      <c r="AG90" s="1247"/>
      <c r="AH90" s="1247"/>
      <c r="AI90" s="1247"/>
      <c r="AJ90" s="1247"/>
      <c r="AK90" s="1247"/>
      <c r="AL90" s="1247"/>
      <c r="AM90" s="1247"/>
      <c r="AN90" s="1247"/>
      <c r="AO90" s="1247"/>
      <c r="AP90" s="1247"/>
      <c r="AQ90" s="1247"/>
      <c r="AR90" s="1247"/>
      <c r="AS90" s="1247"/>
      <c r="AT90" s="1247"/>
      <c r="AU90" s="1247"/>
      <c r="AV90" s="1247"/>
      <c r="AW90" s="1247"/>
      <c r="AX90" s="1247"/>
      <c r="AY90" s="1247"/>
      <c r="AZ90" s="1247"/>
      <c r="BA90" s="1247"/>
      <c r="BB90" s="1247"/>
      <c r="BC90" s="1247"/>
      <c r="BD90" s="1247"/>
      <c r="BE90" s="1248"/>
    </row>
    <row r="91" spans="2:57" x14ac:dyDescent="0.25">
      <c r="B91" s="254"/>
      <c r="C91" s="255"/>
      <c r="D91" s="255"/>
      <c r="E91" s="258"/>
      <c r="F91" s="258"/>
      <c r="G91" s="255"/>
      <c r="H91" s="1247"/>
      <c r="I91" s="1247"/>
      <c r="J91" s="1247"/>
      <c r="K91" s="1247"/>
      <c r="L91" s="1247"/>
      <c r="M91" s="1247"/>
      <c r="N91" s="1247"/>
      <c r="O91" s="1247"/>
      <c r="P91" s="1247"/>
      <c r="Q91" s="1247"/>
      <c r="R91" s="1247"/>
      <c r="S91" s="1247"/>
      <c r="T91" s="1247"/>
      <c r="U91" s="1247"/>
      <c r="V91" s="1247"/>
      <c r="W91" s="1247"/>
      <c r="X91" s="1247"/>
      <c r="Y91" s="1247"/>
      <c r="Z91" s="1247"/>
      <c r="AA91" s="1247"/>
      <c r="AB91" s="1247"/>
      <c r="AC91" s="1247"/>
      <c r="AD91" s="1247"/>
      <c r="AE91" s="1247"/>
      <c r="AF91" s="1247"/>
      <c r="AG91" s="1247"/>
      <c r="AH91" s="1247"/>
      <c r="AI91" s="1247"/>
      <c r="AJ91" s="1247"/>
      <c r="AK91" s="1247"/>
      <c r="AL91" s="1247"/>
      <c r="AM91" s="1247"/>
      <c r="AN91" s="1247"/>
      <c r="AO91" s="1247"/>
      <c r="AP91" s="1247"/>
      <c r="AQ91" s="1247"/>
      <c r="AR91" s="1247"/>
      <c r="AS91" s="1247"/>
      <c r="AT91" s="1247"/>
      <c r="AU91" s="1247"/>
      <c r="AV91" s="1247"/>
      <c r="AW91" s="1247"/>
      <c r="AX91" s="1247"/>
      <c r="AY91" s="1247"/>
      <c r="AZ91" s="1247"/>
      <c r="BA91" s="1247"/>
      <c r="BB91" s="1247"/>
      <c r="BC91" s="1247"/>
      <c r="BD91" s="1247"/>
      <c r="BE91" s="1248"/>
    </row>
    <row r="92" spans="2:57" x14ac:dyDescent="0.25">
      <c r="B92" s="254" t="str">
        <f>B70</f>
        <v>Operations &amp; Maintenance Expenses, excluding fuel cost</v>
      </c>
      <c r="C92" s="255"/>
      <c r="D92" s="255"/>
      <c r="E92" s="258"/>
      <c r="F92" s="258" t="s">
        <v>631</v>
      </c>
      <c r="G92" s="255"/>
      <c r="H92" s="1247">
        <f>-H70</f>
        <v>0</v>
      </c>
      <c r="I92" s="1247">
        <f>-I70</f>
        <v>0</v>
      </c>
      <c r="J92" s="1247">
        <f>-J70</f>
        <v>0</v>
      </c>
      <c r="K92" s="1247">
        <f t="shared" ref="K92:BE92" si="34">-K70</f>
        <v>0</v>
      </c>
      <c r="L92" s="1247">
        <f t="shared" si="34"/>
        <v>0</v>
      </c>
      <c r="M92" s="1247">
        <f t="shared" si="34"/>
        <v>0</v>
      </c>
      <c r="N92" s="1247">
        <f t="shared" si="34"/>
        <v>0</v>
      </c>
      <c r="O92" s="1247">
        <f t="shared" si="34"/>
        <v>0</v>
      </c>
      <c r="P92" s="1247">
        <f t="shared" si="34"/>
        <v>0</v>
      </c>
      <c r="Q92" s="1247">
        <f t="shared" si="34"/>
        <v>0</v>
      </c>
      <c r="R92" s="1247">
        <f t="shared" si="34"/>
        <v>0</v>
      </c>
      <c r="S92" s="1247">
        <f t="shared" si="34"/>
        <v>0</v>
      </c>
      <c r="T92" s="1247">
        <f t="shared" si="34"/>
        <v>0</v>
      </c>
      <c r="U92" s="1247">
        <f t="shared" si="34"/>
        <v>0</v>
      </c>
      <c r="V92" s="1247">
        <f t="shared" si="34"/>
        <v>0</v>
      </c>
      <c r="W92" s="1247">
        <f t="shared" si="34"/>
        <v>0</v>
      </c>
      <c r="X92" s="1247">
        <f t="shared" si="34"/>
        <v>0</v>
      </c>
      <c r="Y92" s="1247">
        <f t="shared" si="34"/>
        <v>0</v>
      </c>
      <c r="Z92" s="1247">
        <f t="shared" si="34"/>
        <v>0</v>
      </c>
      <c r="AA92" s="1247">
        <f t="shared" si="34"/>
        <v>0</v>
      </c>
      <c r="AB92" s="1247">
        <f t="shared" si="34"/>
        <v>0</v>
      </c>
      <c r="AC92" s="1247">
        <f t="shared" si="34"/>
        <v>0</v>
      </c>
      <c r="AD92" s="1247">
        <f t="shared" si="34"/>
        <v>0</v>
      </c>
      <c r="AE92" s="1247">
        <f t="shared" si="34"/>
        <v>0</v>
      </c>
      <c r="AF92" s="1247">
        <f t="shared" si="34"/>
        <v>0</v>
      </c>
      <c r="AG92" s="1247">
        <f t="shared" si="34"/>
        <v>0</v>
      </c>
      <c r="AH92" s="1247">
        <f t="shared" si="34"/>
        <v>0</v>
      </c>
      <c r="AI92" s="1247">
        <f t="shared" si="34"/>
        <v>0</v>
      </c>
      <c r="AJ92" s="1247">
        <f t="shared" si="34"/>
        <v>0</v>
      </c>
      <c r="AK92" s="1247">
        <f t="shared" si="34"/>
        <v>0</v>
      </c>
      <c r="AL92" s="1247">
        <f t="shared" si="34"/>
        <v>0</v>
      </c>
      <c r="AM92" s="1247">
        <f t="shared" si="34"/>
        <v>0</v>
      </c>
      <c r="AN92" s="1247">
        <f t="shared" si="34"/>
        <v>0</v>
      </c>
      <c r="AO92" s="1247">
        <f t="shared" si="34"/>
        <v>0</v>
      </c>
      <c r="AP92" s="1247">
        <f t="shared" si="34"/>
        <v>0</v>
      </c>
      <c r="AQ92" s="1247">
        <f t="shared" si="34"/>
        <v>0</v>
      </c>
      <c r="AR92" s="1247">
        <f t="shared" si="34"/>
        <v>0</v>
      </c>
      <c r="AS92" s="1247">
        <f t="shared" si="34"/>
        <v>0</v>
      </c>
      <c r="AT92" s="1247">
        <f t="shared" si="34"/>
        <v>0</v>
      </c>
      <c r="AU92" s="1247">
        <f t="shared" si="34"/>
        <v>0</v>
      </c>
      <c r="AV92" s="1247">
        <f t="shared" si="34"/>
        <v>0</v>
      </c>
      <c r="AW92" s="1247">
        <f t="shared" si="34"/>
        <v>0</v>
      </c>
      <c r="AX92" s="1247">
        <f t="shared" si="34"/>
        <v>0</v>
      </c>
      <c r="AY92" s="1247">
        <f t="shared" si="34"/>
        <v>0</v>
      </c>
      <c r="AZ92" s="1247">
        <f t="shared" si="34"/>
        <v>0</v>
      </c>
      <c r="BA92" s="1247">
        <f t="shared" si="34"/>
        <v>0</v>
      </c>
      <c r="BB92" s="1247">
        <f t="shared" si="34"/>
        <v>0</v>
      </c>
      <c r="BC92" s="1247">
        <f t="shared" si="34"/>
        <v>0</v>
      </c>
      <c r="BD92" s="1247">
        <f t="shared" si="34"/>
        <v>0</v>
      </c>
      <c r="BE92" s="1248">
        <f t="shared" si="34"/>
        <v>0</v>
      </c>
    </row>
    <row r="93" spans="2:57" x14ac:dyDescent="0.25">
      <c r="B93" s="254" t="s">
        <v>41</v>
      </c>
      <c r="C93" s="255"/>
      <c r="D93" s="255"/>
      <c r="E93" s="258"/>
      <c r="F93" s="258" t="s">
        <v>631</v>
      </c>
      <c r="G93" s="255"/>
      <c r="H93" s="1247" t="e">
        <f>-H78</f>
        <v>#DIV/0!</v>
      </c>
      <c r="I93" s="1247" t="e">
        <f>-I78</f>
        <v>#DIV/0!</v>
      </c>
      <c r="J93" s="1247" t="e">
        <f>-J78</f>
        <v>#DIV/0!</v>
      </c>
      <c r="K93" s="1247" t="e">
        <f t="shared" ref="K93:BE93" si="35">-K78</f>
        <v>#DIV/0!</v>
      </c>
      <c r="L93" s="1247" t="e">
        <f t="shared" si="35"/>
        <v>#DIV/0!</v>
      </c>
      <c r="M93" s="1247" t="e">
        <f t="shared" si="35"/>
        <v>#DIV/0!</v>
      </c>
      <c r="N93" s="1247" t="e">
        <f t="shared" si="35"/>
        <v>#DIV/0!</v>
      </c>
      <c r="O93" s="1247" t="e">
        <f t="shared" si="35"/>
        <v>#DIV/0!</v>
      </c>
      <c r="P93" s="1247" t="e">
        <f t="shared" si="35"/>
        <v>#DIV/0!</v>
      </c>
      <c r="Q93" s="1247" t="e">
        <f t="shared" si="35"/>
        <v>#DIV/0!</v>
      </c>
      <c r="R93" s="1247" t="e">
        <f t="shared" si="35"/>
        <v>#DIV/0!</v>
      </c>
      <c r="S93" s="1247" t="e">
        <f t="shared" si="35"/>
        <v>#DIV/0!</v>
      </c>
      <c r="T93" s="1247" t="e">
        <f t="shared" si="35"/>
        <v>#DIV/0!</v>
      </c>
      <c r="U93" s="1247" t="e">
        <f t="shared" si="35"/>
        <v>#DIV/0!</v>
      </c>
      <c r="V93" s="1247" t="e">
        <f t="shared" si="35"/>
        <v>#DIV/0!</v>
      </c>
      <c r="W93" s="1247" t="e">
        <f t="shared" si="35"/>
        <v>#DIV/0!</v>
      </c>
      <c r="X93" s="1247" t="e">
        <f t="shared" si="35"/>
        <v>#DIV/0!</v>
      </c>
      <c r="Y93" s="1247" t="e">
        <f t="shared" si="35"/>
        <v>#DIV/0!</v>
      </c>
      <c r="Z93" s="1247" t="e">
        <f t="shared" si="35"/>
        <v>#DIV/0!</v>
      </c>
      <c r="AA93" s="1247" t="e">
        <f t="shared" si="35"/>
        <v>#DIV/0!</v>
      </c>
      <c r="AB93" s="1247" t="e">
        <f t="shared" si="35"/>
        <v>#DIV/0!</v>
      </c>
      <c r="AC93" s="1247" t="e">
        <f t="shared" si="35"/>
        <v>#DIV/0!</v>
      </c>
      <c r="AD93" s="1247" t="e">
        <f t="shared" si="35"/>
        <v>#DIV/0!</v>
      </c>
      <c r="AE93" s="1247" t="e">
        <f t="shared" si="35"/>
        <v>#DIV/0!</v>
      </c>
      <c r="AF93" s="1247" t="e">
        <f t="shared" si="35"/>
        <v>#DIV/0!</v>
      </c>
      <c r="AG93" s="1247" t="e">
        <f t="shared" si="35"/>
        <v>#DIV/0!</v>
      </c>
      <c r="AH93" s="1247" t="e">
        <f t="shared" si="35"/>
        <v>#DIV/0!</v>
      </c>
      <c r="AI93" s="1247" t="e">
        <f t="shared" si="35"/>
        <v>#DIV/0!</v>
      </c>
      <c r="AJ93" s="1247" t="e">
        <f t="shared" si="35"/>
        <v>#DIV/0!</v>
      </c>
      <c r="AK93" s="1247" t="e">
        <f t="shared" si="35"/>
        <v>#DIV/0!</v>
      </c>
      <c r="AL93" s="1247" t="e">
        <f t="shared" si="35"/>
        <v>#DIV/0!</v>
      </c>
      <c r="AM93" s="1247" t="e">
        <f t="shared" si="35"/>
        <v>#DIV/0!</v>
      </c>
      <c r="AN93" s="1247" t="e">
        <f t="shared" si="35"/>
        <v>#DIV/0!</v>
      </c>
      <c r="AO93" s="1247" t="e">
        <f t="shared" si="35"/>
        <v>#DIV/0!</v>
      </c>
      <c r="AP93" s="1247" t="e">
        <f t="shared" si="35"/>
        <v>#DIV/0!</v>
      </c>
      <c r="AQ93" s="1247" t="e">
        <f t="shared" si="35"/>
        <v>#DIV/0!</v>
      </c>
      <c r="AR93" s="1247" t="e">
        <f t="shared" si="35"/>
        <v>#DIV/0!</v>
      </c>
      <c r="AS93" s="1247" t="e">
        <f t="shared" si="35"/>
        <v>#DIV/0!</v>
      </c>
      <c r="AT93" s="1247" t="e">
        <f t="shared" si="35"/>
        <v>#DIV/0!</v>
      </c>
      <c r="AU93" s="1247" t="e">
        <f t="shared" si="35"/>
        <v>#DIV/0!</v>
      </c>
      <c r="AV93" s="1247" t="e">
        <f t="shared" si="35"/>
        <v>#DIV/0!</v>
      </c>
      <c r="AW93" s="1247" t="e">
        <f t="shared" si="35"/>
        <v>#DIV/0!</v>
      </c>
      <c r="AX93" s="1247" t="e">
        <f t="shared" si="35"/>
        <v>#DIV/0!</v>
      </c>
      <c r="AY93" s="1247" t="e">
        <f t="shared" si="35"/>
        <v>#DIV/0!</v>
      </c>
      <c r="AZ93" s="1247" t="e">
        <f t="shared" si="35"/>
        <v>#DIV/0!</v>
      </c>
      <c r="BA93" s="1247" t="e">
        <f t="shared" si="35"/>
        <v>#DIV/0!</v>
      </c>
      <c r="BB93" s="1247" t="e">
        <f t="shared" si="35"/>
        <v>#DIV/0!</v>
      </c>
      <c r="BC93" s="1247" t="e">
        <f t="shared" si="35"/>
        <v>#DIV/0!</v>
      </c>
      <c r="BD93" s="1247" t="e">
        <f t="shared" si="35"/>
        <v>#DIV/0!</v>
      </c>
      <c r="BE93" s="1248" t="e">
        <f t="shared" si="35"/>
        <v>#DIV/0!</v>
      </c>
    </row>
    <row r="94" spans="2:57" x14ac:dyDescent="0.25">
      <c r="B94" s="254" t="str">
        <f>B85</f>
        <v xml:space="preserve">Front-end Fees </v>
      </c>
      <c r="C94" s="255"/>
      <c r="D94" s="255"/>
      <c r="E94" s="258"/>
      <c r="F94" s="258" t="s">
        <v>631</v>
      </c>
      <c r="G94" s="255"/>
      <c r="H94" s="1247">
        <f t="shared" ref="H94:J96" si="36">-H85</f>
        <v>0</v>
      </c>
      <c r="I94" s="1247">
        <f t="shared" si="36"/>
        <v>0</v>
      </c>
      <c r="J94" s="1247">
        <f t="shared" si="36"/>
        <v>0</v>
      </c>
      <c r="K94" s="1247">
        <f t="shared" ref="K94:BE94" si="37">-K85</f>
        <v>0</v>
      </c>
      <c r="L94" s="1247">
        <f t="shared" si="37"/>
        <v>0</v>
      </c>
      <c r="M94" s="1247">
        <f t="shared" si="37"/>
        <v>0</v>
      </c>
      <c r="N94" s="1247">
        <f t="shared" si="37"/>
        <v>0</v>
      </c>
      <c r="O94" s="1247">
        <f t="shared" si="37"/>
        <v>0</v>
      </c>
      <c r="P94" s="1247">
        <f t="shared" si="37"/>
        <v>0</v>
      </c>
      <c r="Q94" s="1247">
        <f t="shared" si="37"/>
        <v>0</v>
      </c>
      <c r="R94" s="1247">
        <f t="shared" si="37"/>
        <v>0</v>
      </c>
      <c r="S94" s="1247">
        <f t="shared" si="37"/>
        <v>0</v>
      </c>
      <c r="T94" s="1247">
        <f t="shared" si="37"/>
        <v>0</v>
      </c>
      <c r="U94" s="1247">
        <f t="shared" si="37"/>
        <v>0</v>
      </c>
      <c r="V94" s="1247">
        <f t="shared" si="37"/>
        <v>0</v>
      </c>
      <c r="W94" s="1247">
        <f t="shared" si="37"/>
        <v>0</v>
      </c>
      <c r="X94" s="1247">
        <f t="shared" si="37"/>
        <v>0</v>
      </c>
      <c r="Y94" s="1247">
        <f t="shared" si="37"/>
        <v>0</v>
      </c>
      <c r="Z94" s="1247">
        <f t="shared" si="37"/>
        <v>0</v>
      </c>
      <c r="AA94" s="1247">
        <f t="shared" si="37"/>
        <v>0</v>
      </c>
      <c r="AB94" s="1247">
        <f t="shared" si="37"/>
        <v>0</v>
      </c>
      <c r="AC94" s="1247">
        <f t="shared" si="37"/>
        <v>0</v>
      </c>
      <c r="AD94" s="1247">
        <f t="shared" si="37"/>
        <v>0</v>
      </c>
      <c r="AE94" s="1247">
        <f t="shared" si="37"/>
        <v>0</v>
      </c>
      <c r="AF94" s="1247">
        <f t="shared" si="37"/>
        <v>0</v>
      </c>
      <c r="AG94" s="1247">
        <f t="shared" si="37"/>
        <v>0</v>
      </c>
      <c r="AH94" s="1247">
        <f t="shared" si="37"/>
        <v>0</v>
      </c>
      <c r="AI94" s="1247">
        <f t="shared" si="37"/>
        <v>0</v>
      </c>
      <c r="AJ94" s="1247">
        <f t="shared" si="37"/>
        <v>0</v>
      </c>
      <c r="AK94" s="1247">
        <f t="shared" si="37"/>
        <v>0</v>
      </c>
      <c r="AL94" s="1247">
        <f t="shared" si="37"/>
        <v>0</v>
      </c>
      <c r="AM94" s="1247">
        <f t="shared" si="37"/>
        <v>0</v>
      </c>
      <c r="AN94" s="1247">
        <f t="shared" si="37"/>
        <v>0</v>
      </c>
      <c r="AO94" s="1247">
        <f t="shared" si="37"/>
        <v>0</v>
      </c>
      <c r="AP94" s="1247">
        <f t="shared" si="37"/>
        <v>0</v>
      </c>
      <c r="AQ94" s="1247">
        <f t="shared" si="37"/>
        <v>0</v>
      </c>
      <c r="AR94" s="1247">
        <f t="shared" si="37"/>
        <v>0</v>
      </c>
      <c r="AS94" s="1247">
        <f t="shared" si="37"/>
        <v>0</v>
      </c>
      <c r="AT94" s="1247">
        <f t="shared" si="37"/>
        <v>0</v>
      </c>
      <c r="AU94" s="1247">
        <f t="shared" si="37"/>
        <v>0</v>
      </c>
      <c r="AV94" s="1247">
        <f t="shared" si="37"/>
        <v>0</v>
      </c>
      <c r="AW94" s="1247">
        <f t="shared" si="37"/>
        <v>0</v>
      </c>
      <c r="AX94" s="1247">
        <f t="shared" si="37"/>
        <v>0</v>
      </c>
      <c r="AY94" s="1247">
        <f t="shared" si="37"/>
        <v>0</v>
      </c>
      <c r="AZ94" s="1247">
        <f t="shared" si="37"/>
        <v>0</v>
      </c>
      <c r="BA94" s="1247">
        <f t="shared" si="37"/>
        <v>0</v>
      </c>
      <c r="BB94" s="1247">
        <f t="shared" si="37"/>
        <v>0</v>
      </c>
      <c r="BC94" s="1247">
        <f t="shared" si="37"/>
        <v>0</v>
      </c>
      <c r="BD94" s="1247">
        <f t="shared" si="37"/>
        <v>0</v>
      </c>
      <c r="BE94" s="1248">
        <f t="shared" si="37"/>
        <v>0</v>
      </c>
    </row>
    <row r="95" spans="2:57" x14ac:dyDescent="0.25">
      <c r="B95" s="254" t="str">
        <f>B86</f>
        <v xml:space="preserve">Public Guarantee Fees </v>
      </c>
      <c r="C95" s="255"/>
      <c r="D95" s="255"/>
      <c r="E95" s="258"/>
      <c r="F95" s="258" t="s">
        <v>631</v>
      </c>
      <c r="G95" s="255"/>
      <c r="H95" s="1247">
        <f t="shared" si="36"/>
        <v>0</v>
      </c>
      <c r="I95" s="1247">
        <f t="shared" si="36"/>
        <v>0</v>
      </c>
      <c r="J95" s="1247">
        <f t="shared" si="36"/>
        <v>0</v>
      </c>
      <c r="K95" s="1247">
        <f t="shared" ref="K95:BE95" si="38">-K86</f>
        <v>0</v>
      </c>
      <c r="L95" s="1247">
        <f t="shared" si="38"/>
        <v>0</v>
      </c>
      <c r="M95" s="1247">
        <f t="shared" si="38"/>
        <v>0</v>
      </c>
      <c r="N95" s="1247">
        <f t="shared" si="38"/>
        <v>0</v>
      </c>
      <c r="O95" s="1247">
        <f t="shared" si="38"/>
        <v>0</v>
      </c>
      <c r="P95" s="1247">
        <f t="shared" si="38"/>
        <v>0</v>
      </c>
      <c r="Q95" s="1247">
        <f t="shared" si="38"/>
        <v>0</v>
      </c>
      <c r="R95" s="1247">
        <f t="shared" si="38"/>
        <v>0</v>
      </c>
      <c r="S95" s="1247">
        <f t="shared" si="38"/>
        <v>0</v>
      </c>
      <c r="T95" s="1247">
        <f t="shared" si="38"/>
        <v>0</v>
      </c>
      <c r="U95" s="1247">
        <f t="shared" si="38"/>
        <v>0</v>
      </c>
      <c r="V95" s="1247">
        <f t="shared" si="38"/>
        <v>0</v>
      </c>
      <c r="W95" s="1247">
        <f t="shared" si="38"/>
        <v>0</v>
      </c>
      <c r="X95" s="1247">
        <f t="shared" si="38"/>
        <v>0</v>
      </c>
      <c r="Y95" s="1247">
        <f t="shared" si="38"/>
        <v>0</v>
      </c>
      <c r="Z95" s="1247">
        <f t="shared" si="38"/>
        <v>0</v>
      </c>
      <c r="AA95" s="1247">
        <f t="shared" si="38"/>
        <v>0</v>
      </c>
      <c r="AB95" s="1247">
        <f t="shared" si="38"/>
        <v>0</v>
      </c>
      <c r="AC95" s="1247">
        <f t="shared" si="38"/>
        <v>0</v>
      </c>
      <c r="AD95" s="1247">
        <f t="shared" si="38"/>
        <v>0</v>
      </c>
      <c r="AE95" s="1247">
        <f t="shared" si="38"/>
        <v>0</v>
      </c>
      <c r="AF95" s="1247">
        <f t="shared" si="38"/>
        <v>0</v>
      </c>
      <c r="AG95" s="1247">
        <f t="shared" si="38"/>
        <v>0</v>
      </c>
      <c r="AH95" s="1247">
        <f t="shared" si="38"/>
        <v>0</v>
      </c>
      <c r="AI95" s="1247">
        <f t="shared" si="38"/>
        <v>0</v>
      </c>
      <c r="AJ95" s="1247">
        <f t="shared" si="38"/>
        <v>0</v>
      </c>
      <c r="AK95" s="1247">
        <f t="shared" si="38"/>
        <v>0</v>
      </c>
      <c r="AL95" s="1247">
        <f t="shared" si="38"/>
        <v>0</v>
      </c>
      <c r="AM95" s="1247">
        <f t="shared" si="38"/>
        <v>0</v>
      </c>
      <c r="AN95" s="1247">
        <f t="shared" si="38"/>
        <v>0</v>
      </c>
      <c r="AO95" s="1247">
        <f t="shared" si="38"/>
        <v>0</v>
      </c>
      <c r="AP95" s="1247">
        <f t="shared" si="38"/>
        <v>0</v>
      </c>
      <c r="AQ95" s="1247">
        <f t="shared" si="38"/>
        <v>0</v>
      </c>
      <c r="AR95" s="1247">
        <f t="shared" si="38"/>
        <v>0</v>
      </c>
      <c r="AS95" s="1247">
        <f t="shared" si="38"/>
        <v>0</v>
      </c>
      <c r="AT95" s="1247">
        <f t="shared" si="38"/>
        <v>0</v>
      </c>
      <c r="AU95" s="1247">
        <f t="shared" si="38"/>
        <v>0</v>
      </c>
      <c r="AV95" s="1247">
        <f t="shared" si="38"/>
        <v>0</v>
      </c>
      <c r="AW95" s="1247">
        <f t="shared" si="38"/>
        <v>0</v>
      </c>
      <c r="AX95" s="1247">
        <f t="shared" si="38"/>
        <v>0</v>
      </c>
      <c r="AY95" s="1247">
        <f t="shared" si="38"/>
        <v>0</v>
      </c>
      <c r="AZ95" s="1247">
        <f t="shared" si="38"/>
        <v>0</v>
      </c>
      <c r="BA95" s="1247">
        <f t="shared" si="38"/>
        <v>0</v>
      </c>
      <c r="BB95" s="1247">
        <f t="shared" si="38"/>
        <v>0</v>
      </c>
      <c r="BC95" s="1247">
        <f t="shared" si="38"/>
        <v>0</v>
      </c>
      <c r="BD95" s="1247">
        <f t="shared" si="38"/>
        <v>0</v>
      </c>
      <c r="BE95" s="1248">
        <f t="shared" si="38"/>
        <v>0</v>
      </c>
    </row>
    <row r="96" spans="2:57" x14ac:dyDescent="0.25">
      <c r="B96" s="254" t="str">
        <f>B87</f>
        <v>Political Risk Insurance - Fees &amp; Annual Premium Payments</v>
      </c>
      <c r="C96" s="255"/>
      <c r="D96" s="255"/>
      <c r="E96" s="258"/>
      <c r="F96" s="258" t="s">
        <v>631</v>
      </c>
      <c r="G96" s="255"/>
      <c r="H96" s="1247">
        <f t="shared" si="36"/>
        <v>0</v>
      </c>
      <c r="I96" s="1247">
        <f t="shared" si="36"/>
        <v>0</v>
      </c>
      <c r="J96" s="1247">
        <f t="shared" si="36"/>
        <v>0</v>
      </c>
      <c r="K96" s="1247">
        <f t="shared" ref="K96:BE96" si="39">-K87</f>
        <v>0</v>
      </c>
      <c r="L96" s="1247">
        <f t="shared" si="39"/>
        <v>0</v>
      </c>
      <c r="M96" s="1247">
        <f t="shared" si="39"/>
        <v>0</v>
      </c>
      <c r="N96" s="1247">
        <f t="shared" si="39"/>
        <v>0</v>
      </c>
      <c r="O96" s="1247">
        <f t="shared" si="39"/>
        <v>0</v>
      </c>
      <c r="P96" s="1247">
        <f t="shared" si="39"/>
        <v>0</v>
      </c>
      <c r="Q96" s="1247">
        <f t="shared" si="39"/>
        <v>0</v>
      </c>
      <c r="R96" s="1247">
        <f t="shared" si="39"/>
        <v>0</v>
      </c>
      <c r="S96" s="1247">
        <f t="shared" si="39"/>
        <v>0</v>
      </c>
      <c r="T96" s="1247">
        <f t="shared" si="39"/>
        <v>0</v>
      </c>
      <c r="U96" s="1247">
        <f t="shared" si="39"/>
        <v>0</v>
      </c>
      <c r="V96" s="1247">
        <f t="shared" si="39"/>
        <v>0</v>
      </c>
      <c r="W96" s="1247">
        <f t="shared" si="39"/>
        <v>0</v>
      </c>
      <c r="X96" s="1247">
        <f t="shared" si="39"/>
        <v>0</v>
      </c>
      <c r="Y96" s="1247">
        <f t="shared" si="39"/>
        <v>0</v>
      </c>
      <c r="Z96" s="1247">
        <f t="shared" si="39"/>
        <v>0</v>
      </c>
      <c r="AA96" s="1247">
        <f t="shared" si="39"/>
        <v>0</v>
      </c>
      <c r="AB96" s="1247">
        <f t="shared" si="39"/>
        <v>0</v>
      </c>
      <c r="AC96" s="1247">
        <f t="shared" si="39"/>
        <v>0</v>
      </c>
      <c r="AD96" s="1247">
        <f t="shared" si="39"/>
        <v>0</v>
      </c>
      <c r="AE96" s="1247">
        <f t="shared" si="39"/>
        <v>0</v>
      </c>
      <c r="AF96" s="1247">
        <f t="shared" si="39"/>
        <v>0</v>
      </c>
      <c r="AG96" s="1247">
        <f t="shared" si="39"/>
        <v>0</v>
      </c>
      <c r="AH96" s="1247">
        <f t="shared" si="39"/>
        <v>0</v>
      </c>
      <c r="AI96" s="1247">
        <f t="shared" si="39"/>
        <v>0</v>
      </c>
      <c r="AJ96" s="1247">
        <f t="shared" si="39"/>
        <v>0</v>
      </c>
      <c r="AK96" s="1247">
        <f t="shared" si="39"/>
        <v>0</v>
      </c>
      <c r="AL96" s="1247">
        <f t="shared" si="39"/>
        <v>0</v>
      </c>
      <c r="AM96" s="1247">
        <f t="shared" si="39"/>
        <v>0</v>
      </c>
      <c r="AN96" s="1247">
        <f t="shared" si="39"/>
        <v>0</v>
      </c>
      <c r="AO96" s="1247">
        <f t="shared" si="39"/>
        <v>0</v>
      </c>
      <c r="AP96" s="1247">
        <f t="shared" si="39"/>
        <v>0</v>
      </c>
      <c r="AQ96" s="1247">
        <f t="shared" si="39"/>
        <v>0</v>
      </c>
      <c r="AR96" s="1247">
        <f t="shared" si="39"/>
        <v>0</v>
      </c>
      <c r="AS96" s="1247">
        <f t="shared" si="39"/>
        <v>0</v>
      </c>
      <c r="AT96" s="1247">
        <f t="shared" si="39"/>
        <v>0</v>
      </c>
      <c r="AU96" s="1247">
        <f t="shared" si="39"/>
        <v>0</v>
      </c>
      <c r="AV96" s="1247">
        <f t="shared" si="39"/>
        <v>0</v>
      </c>
      <c r="AW96" s="1247">
        <f t="shared" si="39"/>
        <v>0</v>
      </c>
      <c r="AX96" s="1247">
        <f t="shared" si="39"/>
        <v>0</v>
      </c>
      <c r="AY96" s="1247">
        <f t="shared" si="39"/>
        <v>0</v>
      </c>
      <c r="AZ96" s="1247">
        <f t="shared" si="39"/>
        <v>0</v>
      </c>
      <c r="BA96" s="1247">
        <f t="shared" si="39"/>
        <v>0</v>
      </c>
      <c r="BB96" s="1247">
        <f t="shared" si="39"/>
        <v>0</v>
      </c>
      <c r="BC96" s="1247">
        <f t="shared" si="39"/>
        <v>0</v>
      </c>
      <c r="BD96" s="1247">
        <f t="shared" si="39"/>
        <v>0</v>
      </c>
      <c r="BE96" s="1248">
        <f t="shared" si="39"/>
        <v>0</v>
      </c>
    </row>
    <row r="97" spans="2:57" x14ac:dyDescent="0.25">
      <c r="B97" s="254" t="s">
        <v>102</v>
      </c>
      <c r="C97" s="255"/>
      <c r="D97" s="255"/>
      <c r="E97" s="258"/>
      <c r="F97" s="258" t="s">
        <v>631</v>
      </c>
      <c r="G97" s="255"/>
      <c r="H97" s="1247">
        <f>-(H387+H408+H429)</f>
        <v>0</v>
      </c>
      <c r="I97" s="1247">
        <f>-(I387+I408+I429)</f>
        <v>0</v>
      </c>
      <c r="J97" s="1247">
        <f>-(J387+J408+J429)</f>
        <v>0</v>
      </c>
      <c r="K97" s="1247">
        <f t="shared" ref="K97:BE97" si="40">-(K387+K408+K429)</f>
        <v>0</v>
      </c>
      <c r="L97" s="1247">
        <f t="shared" si="40"/>
        <v>0</v>
      </c>
      <c r="M97" s="1247">
        <f t="shared" si="40"/>
        <v>0</v>
      </c>
      <c r="N97" s="1247">
        <f t="shared" si="40"/>
        <v>0</v>
      </c>
      <c r="O97" s="1247">
        <f t="shared" si="40"/>
        <v>0</v>
      </c>
      <c r="P97" s="1247">
        <f t="shared" si="40"/>
        <v>0</v>
      </c>
      <c r="Q97" s="1247">
        <f t="shared" si="40"/>
        <v>0</v>
      </c>
      <c r="R97" s="1247">
        <f t="shared" si="40"/>
        <v>0</v>
      </c>
      <c r="S97" s="1247">
        <f t="shared" si="40"/>
        <v>0</v>
      </c>
      <c r="T97" s="1247">
        <f t="shared" si="40"/>
        <v>0</v>
      </c>
      <c r="U97" s="1247">
        <f t="shared" si="40"/>
        <v>0</v>
      </c>
      <c r="V97" s="1247">
        <f t="shared" si="40"/>
        <v>0</v>
      </c>
      <c r="W97" s="1247">
        <f t="shared" si="40"/>
        <v>0</v>
      </c>
      <c r="X97" s="1247">
        <f t="shared" si="40"/>
        <v>0</v>
      </c>
      <c r="Y97" s="1247">
        <f t="shared" si="40"/>
        <v>0</v>
      </c>
      <c r="Z97" s="1247">
        <f t="shared" si="40"/>
        <v>0</v>
      </c>
      <c r="AA97" s="1247">
        <f t="shared" si="40"/>
        <v>0</v>
      </c>
      <c r="AB97" s="1247">
        <f t="shared" si="40"/>
        <v>0</v>
      </c>
      <c r="AC97" s="1247">
        <f t="shared" si="40"/>
        <v>0</v>
      </c>
      <c r="AD97" s="1247">
        <f t="shared" si="40"/>
        <v>0</v>
      </c>
      <c r="AE97" s="1247">
        <f t="shared" si="40"/>
        <v>0</v>
      </c>
      <c r="AF97" s="1247">
        <f t="shared" si="40"/>
        <v>0</v>
      </c>
      <c r="AG97" s="1247">
        <f t="shared" si="40"/>
        <v>0</v>
      </c>
      <c r="AH97" s="1247">
        <f t="shared" si="40"/>
        <v>0</v>
      </c>
      <c r="AI97" s="1247">
        <f t="shared" si="40"/>
        <v>0</v>
      </c>
      <c r="AJ97" s="1247">
        <f t="shared" si="40"/>
        <v>0</v>
      </c>
      <c r="AK97" s="1247">
        <f t="shared" si="40"/>
        <v>0</v>
      </c>
      <c r="AL97" s="1247">
        <f t="shared" si="40"/>
        <v>0</v>
      </c>
      <c r="AM97" s="1247">
        <f t="shared" si="40"/>
        <v>0</v>
      </c>
      <c r="AN97" s="1247">
        <f t="shared" si="40"/>
        <v>0</v>
      </c>
      <c r="AO97" s="1247">
        <f t="shared" si="40"/>
        <v>0</v>
      </c>
      <c r="AP97" s="1247">
        <f t="shared" si="40"/>
        <v>0</v>
      </c>
      <c r="AQ97" s="1247">
        <f t="shared" si="40"/>
        <v>0</v>
      </c>
      <c r="AR97" s="1247">
        <f t="shared" si="40"/>
        <v>0</v>
      </c>
      <c r="AS97" s="1247">
        <f t="shared" si="40"/>
        <v>0</v>
      </c>
      <c r="AT97" s="1247">
        <f t="shared" si="40"/>
        <v>0</v>
      </c>
      <c r="AU97" s="1247">
        <f t="shared" si="40"/>
        <v>0</v>
      </c>
      <c r="AV97" s="1247">
        <f t="shared" si="40"/>
        <v>0</v>
      </c>
      <c r="AW97" s="1247">
        <f t="shared" si="40"/>
        <v>0</v>
      </c>
      <c r="AX97" s="1247">
        <f t="shared" si="40"/>
        <v>0</v>
      </c>
      <c r="AY97" s="1247">
        <f t="shared" si="40"/>
        <v>0</v>
      </c>
      <c r="AZ97" s="1247">
        <f t="shared" si="40"/>
        <v>0</v>
      </c>
      <c r="BA97" s="1247">
        <f t="shared" si="40"/>
        <v>0</v>
      </c>
      <c r="BB97" s="1247">
        <f t="shared" si="40"/>
        <v>0</v>
      </c>
      <c r="BC97" s="1247">
        <f t="shared" si="40"/>
        <v>0</v>
      </c>
      <c r="BD97" s="1247">
        <f t="shared" si="40"/>
        <v>0</v>
      </c>
      <c r="BE97" s="1248">
        <f t="shared" si="40"/>
        <v>0</v>
      </c>
    </row>
    <row r="98" spans="2:57" x14ac:dyDescent="0.25">
      <c r="B98" s="267" t="s">
        <v>103</v>
      </c>
      <c r="C98" s="262"/>
      <c r="D98" s="262"/>
      <c r="E98" s="263"/>
      <c r="F98" s="263" t="s">
        <v>631</v>
      </c>
      <c r="G98" s="262"/>
      <c r="H98" s="1249" t="e">
        <f>(H70+H78+H80+H85+H86+H87+H82+H83+H84)*'II. Inputs, Baseline Energy Mix'!$O$19</f>
        <v>#DIV/0!</v>
      </c>
      <c r="I98" s="1249" t="e">
        <f>(I70+I78+I80+I85+I86+I87+I82+I83+I84)*'II. Inputs, Baseline Energy Mix'!$O$19</f>
        <v>#DIV/0!</v>
      </c>
      <c r="J98" s="1249" t="e">
        <f>(J70+J78+J80+J85+J86+J87+J82+J83+J84)*'II. Inputs, Baseline Energy Mix'!$O$19</f>
        <v>#DIV/0!</v>
      </c>
      <c r="K98" s="1249" t="e">
        <f>(K70+K78+K80+K85+K86+K87+K82+K83+K84)*'II. Inputs, Baseline Energy Mix'!$O$19</f>
        <v>#DIV/0!</v>
      </c>
      <c r="L98" s="1249" t="e">
        <f>(L70+L78+L80+L85+L86+L87+L82+L83+L84)*'II. Inputs, Baseline Energy Mix'!$O$19</f>
        <v>#DIV/0!</v>
      </c>
      <c r="M98" s="1249" t="e">
        <f>(M70+M78+M80+M85+M86+M87+M82+M83+M84)*'II. Inputs, Baseline Energy Mix'!$O$19</f>
        <v>#DIV/0!</v>
      </c>
      <c r="N98" s="1249" t="e">
        <f>(N70+N78+N80+N85+N86+N87+N82+N83+N84)*'II. Inputs, Baseline Energy Mix'!$O$19</f>
        <v>#DIV/0!</v>
      </c>
      <c r="O98" s="1249" t="e">
        <f>(O70+O78+O80+O85+O86+O87+O82+O83+O84)*'II. Inputs, Baseline Energy Mix'!$O$19</f>
        <v>#DIV/0!</v>
      </c>
      <c r="P98" s="1249" t="e">
        <f>(P70+P78+P80+P85+P86+P87+P82+P83+P84)*'II. Inputs, Baseline Energy Mix'!$O$19</f>
        <v>#DIV/0!</v>
      </c>
      <c r="Q98" s="1249" t="e">
        <f>(Q70+Q78+Q80+Q85+Q86+Q87+Q82+Q83+Q84)*'II. Inputs, Baseline Energy Mix'!$O$19</f>
        <v>#DIV/0!</v>
      </c>
      <c r="R98" s="1249" t="e">
        <f>(R70+R78+R80+R85+R86+R87+R82+R83+R84)*'II. Inputs, Baseline Energy Mix'!$O$19</f>
        <v>#DIV/0!</v>
      </c>
      <c r="S98" s="1249" t="e">
        <f>(S70+S78+S80+S85+S86+S87+S82+S83+S84)*'II. Inputs, Baseline Energy Mix'!$O$19</f>
        <v>#DIV/0!</v>
      </c>
      <c r="T98" s="1249" t="e">
        <f>(T70+T78+T80+T85+T86+T87+T82+T83+T84)*'II. Inputs, Baseline Energy Mix'!$O$19</f>
        <v>#DIV/0!</v>
      </c>
      <c r="U98" s="1249" t="e">
        <f>(U70+U78+U80+U85+U86+U87+U82+U83+U84)*'II. Inputs, Baseline Energy Mix'!$O$19</f>
        <v>#DIV/0!</v>
      </c>
      <c r="V98" s="1249" t="e">
        <f>(V70+V78+V80+V85+V86+V87+V82+V83+V84)*'II. Inputs, Baseline Energy Mix'!$O$19</f>
        <v>#DIV/0!</v>
      </c>
      <c r="W98" s="1249" t="e">
        <f>(W70+W78+W80+W85+W86+W87+W82+W83+W84)*'II. Inputs, Baseline Energy Mix'!$O$19</f>
        <v>#DIV/0!</v>
      </c>
      <c r="X98" s="1249" t="e">
        <f>(X70+X78+X80+X85+X86+X87+X82+X83+X84)*'II. Inputs, Baseline Energy Mix'!$O$19</f>
        <v>#DIV/0!</v>
      </c>
      <c r="Y98" s="1249" t="e">
        <f>(Y70+Y78+Y80+Y85+Y86+Y87+Y82+Y83+Y84)*'II. Inputs, Baseline Energy Mix'!$O$19</f>
        <v>#DIV/0!</v>
      </c>
      <c r="Z98" s="1249" t="e">
        <f>(Z70+Z78+Z80+Z85+Z86+Z87+Z82+Z83+Z84)*'II. Inputs, Baseline Energy Mix'!$O$19</f>
        <v>#DIV/0!</v>
      </c>
      <c r="AA98" s="1249" t="e">
        <f>(AA70+AA78+AA80+AA85+AA86+AA87+AA82+AA83+AA84)*'II. Inputs, Baseline Energy Mix'!$O$19</f>
        <v>#DIV/0!</v>
      </c>
      <c r="AB98" s="1249" t="e">
        <f>(AB70+AB78+AB80+AB85+AB86+AB87+AB82+AB83+AB84)*'II. Inputs, Baseline Energy Mix'!$O$19</f>
        <v>#DIV/0!</v>
      </c>
      <c r="AC98" s="1249" t="e">
        <f>(AC70+AC78+AC80+AC85+AC86+AC87+AC82+AC83+AC84)*'II. Inputs, Baseline Energy Mix'!$O$19</f>
        <v>#DIV/0!</v>
      </c>
      <c r="AD98" s="1249" t="e">
        <f>(AD70+AD78+AD80+AD85+AD86+AD87+AD82+AD83+AD84)*'II. Inputs, Baseline Energy Mix'!$O$19</f>
        <v>#DIV/0!</v>
      </c>
      <c r="AE98" s="1249" t="e">
        <f>(AE70+AE78+AE80+AE85+AE86+AE87+AE82+AE83+AE84)*'II. Inputs, Baseline Energy Mix'!$O$19</f>
        <v>#DIV/0!</v>
      </c>
      <c r="AF98" s="1249" t="e">
        <f>(AF70+AF78+AF80+AF85+AF86+AF87+AF82+AF83+AF84)*'II. Inputs, Baseline Energy Mix'!$O$19</f>
        <v>#DIV/0!</v>
      </c>
      <c r="AG98" s="1249" t="e">
        <f>(AG70+AG78+AG80+AG85+AG86+AG87+AG82+AG83+AG84)*'II. Inputs, Baseline Energy Mix'!$O$19</f>
        <v>#DIV/0!</v>
      </c>
      <c r="AH98" s="1249" t="e">
        <f>(AH70+AH78+AH80+AH85+AH86+AH87+AH82+AH83+AH84)*'II. Inputs, Baseline Energy Mix'!$O$19</f>
        <v>#DIV/0!</v>
      </c>
      <c r="AI98" s="1249" t="e">
        <f>(AI70+AI78+AI80+AI85+AI86+AI87+AI82+AI83+AI84)*'II. Inputs, Baseline Energy Mix'!$O$19</f>
        <v>#DIV/0!</v>
      </c>
      <c r="AJ98" s="1249" t="e">
        <f>(AJ70+AJ78+AJ80+AJ85+AJ86+AJ87+AJ82+AJ83+AJ84)*'II. Inputs, Baseline Energy Mix'!$O$19</f>
        <v>#DIV/0!</v>
      </c>
      <c r="AK98" s="1249" t="e">
        <f>(AK70+AK78+AK80+AK85+AK86+AK87+AK82+AK83+AK84)*'II. Inputs, Baseline Energy Mix'!$O$19</f>
        <v>#DIV/0!</v>
      </c>
      <c r="AL98" s="1249" t="e">
        <f>(AL70+AL78+AL80+AL85+AL86+AL87+AL82+AL83+AL84)*'II. Inputs, Baseline Energy Mix'!$O$19</f>
        <v>#DIV/0!</v>
      </c>
      <c r="AM98" s="1249" t="e">
        <f>(AM70+AM78+AM80+AM85+AM86+AM87+AM82+AM83+AM84)*'II. Inputs, Baseline Energy Mix'!$O$19</f>
        <v>#DIV/0!</v>
      </c>
      <c r="AN98" s="1249" t="e">
        <f>(AN70+AN78+AN80+AN85+AN86+AN87+AN82+AN83+AN84)*'II. Inputs, Baseline Energy Mix'!$O$19</f>
        <v>#DIV/0!</v>
      </c>
      <c r="AO98" s="1249" t="e">
        <f>(AO70+AO78+AO80+AO85+AO86+AO87+AO82+AO83+AO84)*'II. Inputs, Baseline Energy Mix'!$O$19</f>
        <v>#DIV/0!</v>
      </c>
      <c r="AP98" s="1249" t="e">
        <f>(AP70+AP78+AP80+AP85+AP86+AP87+AP82+AP83+AP84)*'II. Inputs, Baseline Energy Mix'!$O$19</f>
        <v>#DIV/0!</v>
      </c>
      <c r="AQ98" s="1249" t="e">
        <f>(AQ70+AQ78+AQ80+AQ85+AQ86+AQ87+AQ82+AQ83+AQ84)*'II. Inputs, Baseline Energy Mix'!$O$19</f>
        <v>#DIV/0!</v>
      </c>
      <c r="AR98" s="1249" t="e">
        <f>(AR70+AR78+AR80+AR85+AR86+AR87+AR82+AR83+AR84)*'II. Inputs, Baseline Energy Mix'!$O$19</f>
        <v>#DIV/0!</v>
      </c>
      <c r="AS98" s="1249" t="e">
        <f>(AS70+AS78+AS80+AS85+AS86+AS87+AS82+AS83+AS84)*'II. Inputs, Baseline Energy Mix'!$O$19</f>
        <v>#DIV/0!</v>
      </c>
      <c r="AT98" s="1249" t="e">
        <f>(AT70+AT78+AT80+AT85+AT86+AT87+AT82+AT83+AT84)*'II. Inputs, Baseline Energy Mix'!$O$19</f>
        <v>#DIV/0!</v>
      </c>
      <c r="AU98" s="1249" t="e">
        <f>(AU70+AU78+AU80+AU85+AU86+AU87+AU82+AU83+AU84)*'II. Inputs, Baseline Energy Mix'!$O$19</f>
        <v>#DIV/0!</v>
      </c>
      <c r="AV98" s="1249" t="e">
        <f>(AV70+AV78+AV80+AV85+AV86+AV87+AV82+AV83+AV84)*'II. Inputs, Baseline Energy Mix'!$O$19</f>
        <v>#DIV/0!</v>
      </c>
      <c r="AW98" s="1249" t="e">
        <f>(AW70+AW78+AW80+AW85+AW86+AW87+AW82+AW83+AW84)*'II. Inputs, Baseline Energy Mix'!$O$19</f>
        <v>#DIV/0!</v>
      </c>
      <c r="AX98" s="1249" t="e">
        <f>(AX70+AX78+AX80+AX85+AX86+AX87+AX82+AX83+AX84)*'II. Inputs, Baseline Energy Mix'!$O$19</f>
        <v>#DIV/0!</v>
      </c>
      <c r="AY98" s="1249" t="e">
        <f>(AY70+AY78+AY80+AY85+AY86+AY87+AY82+AY83+AY84)*'II. Inputs, Baseline Energy Mix'!$O$19</f>
        <v>#DIV/0!</v>
      </c>
      <c r="AZ98" s="1249" t="e">
        <f>(AZ70+AZ78+AZ80+AZ85+AZ86+AZ87+AZ82+AZ83+AZ84)*'II. Inputs, Baseline Energy Mix'!$O$19</f>
        <v>#DIV/0!</v>
      </c>
      <c r="BA98" s="1249" t="e">
        <f>(BA70+BA78+BA80+BA85+BA86+BA87+BA82+BA83+BA84)*'II. Inputs, Baseline Energy Mix'!$O$19</f>
        <v>#DIV/0!</v>
      </c>
      <c r="BB98" s="1249" t="e">
        <f>(BB70+BB78+BB80+BB85+BB86+BB87+BB82+BB83+BB84)*'II. Inputs, Baseline Energy Mix'!$O$19</f>
        <v>#DIV/0!</v>
      </c>
      <c r="BC98" s="1249" t="e">
        <f>(BC70+BC78+BC80+BC85+BC86+BC87+BC82+BC83+BC84)*'II. Inputs, Baseline Energy Mix'!$O$19</f>
        <v>#DIV/0!</v>
      </c>
      <c r="BD98" s="1249" t="e">
        <f>(BD70+BD78+BD80+BD85+BD86+BD87+BD82+BD83+BD84)*'II. Inputs, Baseline Energy Mix'!$O$19</f>
        <v>#DIV/0!</v>
      </c>
      <c r="BE98" s="1250" t="e">
        <f>(BE70+BE78+BE80+BE85+BE86+BE87+BE82+BE83+BE84)*'II. Inputs, Baseline Energy Mix'!$O$19</f>
        <v>#DIV/0!</v>
      </c>
    </row>
    <row r="99" spans="2:57" x14ac:dyDescent="0.25">
      <c r="B99" s="254" t="s">
        <v>104</v>
      </c>
      <c r="C99" s="255"/>
      <c r="D99" s="255"/>
      <c r="E99" s="258"/>
      <c r="F99" s="258" t="s">
        <v>631</v>
      </c>
      <c r="G99" s="1247">
        <f>-IF('II. Inputs, Baseline Energy Mix'!$O$15&gt;0, 'II. Inputs, Baseline Energy Mix'!$O$16*'II. Inputs, Baseline Energy Mix'!$O$17*'II. Inputs, Baseline Energy Mix'!$O$29,0)</f>
        <v>0</v>
      </c>
      <c r="H99" s="1247" t="e">
        <f>SUM(H92:H98)</f>
        <v>#DIV/0!</v>
      </c>
      <c r="I99" s="1247" t="e">
        <f>SUM(I92:I98)</f>
        <v>#DIV/0!</v>
      </c>
      <c r="J99" s="1247" t="e">
        <f>SUM(J92:J98)</f>
        <v>#DIV/0!</v>
      </c>
      <c r="K99" s="1247" t="e">
        <f t="shared" ref="K99:BE99" si="41">SUM(K92:K98)</f>
        <v>#DIV/0!</v>
      </c>
      <c r="L99" s="1247" t="e">
        <f t="shared" si="41"/>
        <v>#DIV/0!</v>
      </c>
      <c r="M99" s="1247" t="e">
        <f t="shared" si="41"/>
        <v>#DIV/0!</v>
      </c>
      <c r="N99" s="1247" t="e">
        <f t="shared" si="41"/>
        <v>#DIV/0!</v>
      </c>
      <c r="O99" s="1247" t="e">
        <f t="shared" si="41"/>
        <v>#DIV/0!</v>
      </c>
      <c r="P99" s="1247" t="e">
        <f t="shared" si="41"/>
        <v>#DIV/0!</v>
      </c>
      <c r="Q99" s="1247" t="e">
        <f t="shared" si="41"/>
        <v>#DIV/0!</v>
      </c>
      <c r="R99" s="1247" t="e">
        <f t="shared" si="41"/>
        <v>#DIV/0!</v>
      </c>
      <c r="S99" s="1247" t="e">
        <f t="shared" si="41"/>
        <v>#DIV/0!</v>
      </c>
      <c r="T99" s="1247" t="e">
        <f t="shared" si="41"/>
        <v>#DIV/0!</v>
      </c>
      <c r="U99" s="1247" t="e">
        <f t="shared" si="41"/>
        <v>#DIV/0!</v>
      </c>
      <c r="V99" s="1247" t="e">
        <f t="shared" si="41"/>
        <v>#DIV/0!</v>
      </c>
      <c r="W99" s="1247" t="e">
        <f t="shared" si="41"/>
        <v>#DIV/0!</v>
      </c>
      <c r="X99" s="1247" t="e">
        <f t="shared" si="41"/>
        <v>#DIV/0!</v>
      </c>
      <c r="Y99" s="1247" t="e">
        <f t="shared" si="41"/>
        <v>#DIV/0!</v>
      </c>
      <c r="Z99" s="1247" t="e">
        <f t="shared" si="41"/>
        <v>#DIV/0!</v>
      </c>
      <c r="AA99" s="1247" t="e">
        <f t="shared" si="41"/>
        <v>#DIV/0!</v>
      </c>
      <c r="AB99" s="1247" t="e">
        <f t="shared" si="41"/>
        <v>#DIV/0!</v>
      </c>
      <c r="AC99" s="1247" t="e">
        <f t="shared" si="41"/>
        <v>#DIV/0!</v>
      </c>
      <c r="AD99" s="1247" t="e">
        <f t="shared" si="41"/>
        <v>#DIV/0!</v>
      </c>
      <c r="AE99" s="1247" t="e">
        <f t="shared" si="41"/>
        <v>#DIV/0!</v>
      </c>
      <c r="AF99" s="1247" t="e">
        <f t="shared" si="41"/>
        <v>#DIV/0!</v>
      </c>
      <c r="AG99" s="1247" t="e">
        <f t="shared" si="41"/>
        <v>#DIV/0!</v>
      </c>
      <c r="AH99" s="1247" t="e">
        <f t="shared" si="41"/>
        <v>#DIV/0!</v>
      </c>
      <c r="AI99" s="1247" t="e">
        <f t="shared" si="41"/>
        <v>#DIV/0!</v>
      </c>
      <c r="AJ99" s="1247" t="e">
        <f t="shared" si="41"/>
        <v>#DIV/0!</v>
      </c>
      <c r="AK99" s="1247" t="e">
        <f t="shared" si="41"/>
        <v>#DIV/0!</v>
      </c>
      <c r="AL99" s="1247" t="e">
        <f t="shared" si="41"/>
        <v>#DIV/0!</v>
      </c>
      <c r="AM99" s="1247" t="e">
        <f t="shared" si="41"/>
        <v>#DIV/0!</v>
      </c>
      <c r="AN99" s="1247" t="e">
        <f t="shared" si="41"/>
        <v>#DIV/0!</v>
      </c>
      <c r="AO99" s="1247" t="e">
        <f t="shared" si="41"/>
        <v>#DIV/0!</v>
      </c>
      <c r="AP99" s="1247" t="e">
        <f t="shared" si="41"/>
        <v>#DIV/0!</v>
      </c>
      <c r="AQ99" s="1247" t="e">
        <f t="shared" si="41"/>
        <v>#DIV/0!</v>
      </c>
      <c r="AR99" s="1247" t="e">
        <f t="shared" si="41"/>
        <v>#DIV/0!</v>
      </c>
      <c r="AS99" s="1247" t="e">
        <f t="shared" si="41"/>
        <v>#DIV/0!</v>
      </c>
      <c r="AT99" s="1247" t="e">
        <f t="shared" si="41"/>
        <v>#DIV/0!</v>
      </c>
      <c r="AU99" s="1247" t="e">
        <f t="shared" si="41"/>
        <v>#DIV/0!</v>
      </c>
      <c r="AV99" s="1247" t="e">
        <f t="shared" si="41"/>
        <v>#DIV/0!</v>
      </c>
      <c r="AW99" s="1247" t="e">
        <f t="shared" si="41"/>
        <v>#DIV/0!</v>
      </c>
      <c r="AX99" s="1247" t="e">
        <f t="shared" si="41"/>
        <v>#DIV/0!</v>
      </c>
      <c r="AY99" s="1247" t="e">
        <f t="shared" si="41"/>
        <v>#DIV/0!</v>
      </c>
      <c r="AZ99" s="1247" t="e">
        <f t="shared" si="41"/>
        <v>#DIV/0!</v>
      </c>
      <c r="BA99" s="1247" t="e">
        <f t="shared" si="41"/>
        <v>#DIV/0!</v>
      </c>
      <c r="BB99" s="1247" t="e">
        <f t="shared" si="41"/>
        <v>#DIV/0!</v>
      </c>
      <c r="BC99" s="1247" t="e">
        <f t="shared" si="41"/>
        <v>#DIV/0!</v>
      </c>
      <c r="BD99" s="1247" t="e">
        <f t="shared" si="41"/>
        <v>#DIV/0!</v>
      </c>
      <c r="BE99" s="1248" t="e">
        <f t="shared" si="41"/>
        <v>#DIV/0!</v>
      </c>
    </row>
    <row r="100" spans="2:57" x14ac:dyDescent="0.25">
      <c r="B100" s="254"/>
      <c r="C100" s="255"/>
      <c r="D100" s="255"/>
      <c r="E100" s="258"/>
      <c r="F100" s="255"/>
      <c r="G100" s="255"/>
      <c r="H100" s="255"/>
      <c r="I100" s="265"/>
      <c r="J100" s="255"/>
      <c r="K100" s="255"/>
      <c r="L100" s="255"/>
      <c r="M100" s="255"/>
      <c r="N100" s="255"/>
      <c r="O100" s="255"/>
      <c r="P100" s="255"/>
      <c r="Q100" s="255"/>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6"/>
    </row>
    <row r="101" spans="2:57" x14ac:dyDescent="0.25">
      <c r="B101" s="254" t="s">
        <v>105</v>
      </c>
      <c r="C101" s="255"/>
      <c r="D101" s="255"/>
      <c r="E101" s="258"/>
      <c r="F101" s="255"/>
      <c r="G101" s="1129">
        <f>'II. Inputs, Baseline Energy Mix'!$O$37</f>
        <v>0</v>
      </c>
      <c r="H101" s="255"/>
      <c r="I101" s="265"/>
      <c r="J101" s="255"/>
      <c r="K101" s="255"/>
      <c r="L101" s="255"/>
      <c r="M101" s="255"/>
      <c r="N101" s="255"/>
      <c r="O101" s="255"/>
      <c r="P101" s="255"/>
      <c r="Q101" s="255"/>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6"/>
    </row>
    <row r="102" spans="2:57" x14ac:dyDescent="0.25">
      <c r="B102" s="254" t="s">
        <v>106</v>
      </c>
      <c r="C102" s="255"/>
      <c r="D102" s="255"/>
      <c r="E102" s="258"/>
      <c r="F102" s="255"/>
      <c r="G102" s="1247" t="e">
        <f>IF(G101="NA", "NA", NPV(G101,H99:BE99)+G99)</f>
        <v>#DIV/0!</v>
      </c>
      <c r="H102" s="255"/>
      <c r="I102" s="265"/>
      <c r="J102" s="255"/>
      <c r="K102" s="255"/>
      <c r="L102" s="255"/>
      <c r="M102" s="255"/>
      <c r="N102" s="255"/>
      <c r="O102" s="255"/>
      <c r="P102" s="255"/>
      <c r="Q102" s="255"/>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6"/>
    </row>
    <row r="103" spans="2:57" x14ac:dyDescent="0.25">
      <c r="B103" s="254" t="s">
        <v>107</v>
      </c>
      <c r="C103" s="255"/>
      <c r="D103" s="255"/>
      <c r="E103" s="258"/>
      <c r="F103" s="255"/>
      <c r="G103" s="1247">
        <f>IF(G101="NA", "NA", -NPV(G101,H66:BE66))</f>
        <v>0</v>
      </c>
      <c r="H103" s="255"/>
      <c r="I103" s="265"/>
      <c r="J103" s="255"/>
      <c r="K103" s="255"/>
      <c r="L103" s="255"/>
      <c r="M103" s="255"/>
      <c r="N103" s="255"/>
      <c r="O103" s="255"/>
      <c r="P103" s="255"/>
      <c r="Q103" s="255"/>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6"/>
    </row>
    <row r="104" spans="2:57" ht="13.8" thickBot="1" x14ac:dyDescent="0.3">
      <c r="B104" s="254" t="s">
        <v>108</v>
      </c>
      <c r="C104" s="255"/>
      <c r="D104" s="255"/>
      <c r="E104" s="258"/>
      <c r="F104" s="258" t="s">
        <v>633</v>
      </c>
      <c r="G104" s="1253" t="str">
        <f>IF(OR(G103=0,G101="NA"), "NA", G102/G103)</f>
        <v>NA</v>
      </c>
      <c r="H104" s="255"/>
      <c r="I104" s="265"/>
      <c r="J104" s="255"/>
      <c r="K104" s="255"/>
      <c r="L104" s="255"/>
      <c r="M104" s="255"/>
      <c r="N104" s="255"/>
      <c r="O104" s="255"/>
      <c r="P104" s="255"/>
      <c r="Q104" s="255"/>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6"/>
    </row>
    <row r="105" spans="2:57" ht="13.8" thickBot="1" x14ac:dyDescent="0.3">
      <c r="B105" s="268" t="s">
        <v>109</v>
      </c>
      <c r="C105" s="269"/>
      <c r="D105" s="269"/>
      <c r="E105" s="270"/>
      <c r="F105" s="270" t="s">
        <v>632</v>
      </c>
      <c r="G105" s="1254" t="str">
        <f>IF(G104="NA", "NA", $G$104/(1-'II. Inputs, Baseline Energy Mix'!$O$19))</f>
        <v>NA</v>
      </c>
      <c r="H105" s="255"/>
      <c r="I105" s="265"/>
      <c r="J105" s="255"/>
      <c r="K105" s="255"/>
      <c r="L105" s="255"/>
      <c r="M105" s="255"/>
      <c r="N105" s="255"/>
      <c r="O105" s="255"/>
      <c r="P105" s="255"/>
      <c r="Q105" s="255"/>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6"/>
    </row>
    <row r="106" spans="2:57" ht="13.8" thickBot="1" x14ac:dyDescent="0.3">
      <c r="B106" s="271"/>
      <c r="C106" s="272"/>
      <c r="D106" s="272"/>
      <c r="E106" s="272"/>
      <c r="F106" s="272"/>
      <c r="G106" s="272"/>
      <c r="H106" s="272"/>
      <c r="I106" s="273"/>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4"/>
    </row>
    <row r="107" spans="2:57" x14ac:dyDescent="0.25">
      <c r="I107" s="250"/>
    </row>
    <row r="108" spans="2:57" x14ac:dyDescent="0.25">
      <c r="B108" s="214" t="s">
        <v>58</v>
      </c>
      <c r="C108" s="215"/>
      <c r="D108" s="215"/>
      <c r="E108" s="216"/>
      <c r="F108" s="215"/>
      <c r="G108" s="216">
        <v>0</v>
      </c>
      <c r="H108" s="216">
        <v>1</v>
      </c>
      <c r="I108" s="216">
        <v>2</v>
      </c>
      <c r="J108" s="216">
        <v>3</v>
      </c>
      <c r="K108" s="216">
        <v>4</v>
      </c>
      <c r="L108" s="216">
        <v>5</v>
      </c>
      <c r="M108" s="216">
        <v>6</v>
      </c>
      <c r="N108" s="216">
        <v>7</v>
      </c>
      <c r="O108" s="216">
        <v>8</v>
      </c>
      <c r="P108" s="216">
        <v>9</v>
      </c>
      <c r="Q108" s="216">
        <v>10</v>
      </c>
      <c r="R108" s="216">
        <v>11</v>
      </c>
      <c r="S108" s="216">
        <v>12</v>
      </c>
      <c r="T108" s="216">
        <v>13</v>
      </c>
      <c r="U108" s="216">
        <v>14</v>
      </c>
      <c r="V108" s="216">
        <v>15</v>
      </c>
      <c r="W108" s="216">
        <v>16</v>
      </c>
      <c r="X108" s="216">
        <v>17</v>
      </c>
      <c r="Y108" s="216">
        <v>18</v>
      </c>
      <c r="Z108" s="216">
        <v>19</v>
      </c>
      <c r="AA108" s="216">
        <v>20</v>
      </c>
      <c r="AB108" s="216">
        <v>21</v>
      </c>
      <c r="AC108" s="216">
        <v>22</v>
      </c>
      <c r="AD108" s="216">
        <v>23</v>
      </c>
      <c r="AE108" s="216">
        <v>24</v>
      </c>
      <c r="AF108" s="216">
        <v>25</v>
      </c>
      <c r="AG108" s="216">
        <v>26</v>
      </c>
      <c r="AH108" s="216">
        <v>27</v>
      </c>
      <c r="AI108" s="216">
        <v>28</v>
      </c>
      <c r="AJ108" s="216">
        <v>29</v>
      </c>
      <c r="AK108" s="216">
        <v>30</v>
      </c>
      <c r="AL108" s="216">
        <v>31</v>
      </c>
      <c r="AM108" s="216">
        <v>32</v>
      </c>
      <c r="AN108" s="216">
        <v>33</v>
      </c>
      <c r="AO108" s="216">
        <v>34</v>
      </c>
      <c r="AP108" s="216">
        <v>35</v>
      </c>
      <c r="AQ108" s="216">
        <v>36</v>
      </c>
      <c r="AR108" s="216">
        <v>37</v>
      </c>
      <c r="AS108" s="216">
        <v>38</v>
      </c>
      <c r="AT108" s="216">
        <v>39</v>
      </c>
      <c r="AU108" s="216">
        <v>40</v>
      </c>
      <c r="AV108" s="216">
        <v>41</v>
      </c>
      <c r="AW108" s="216">
        <v>42</v>
      </c>
      <c r="AX108" s="216">
        <v>43</v>
      </c>
      <c r="AY108" s="216">
        <v>44</v>
      </c>
      <c r="AZ108" s="216">
        <v>45</v>
      </c>
      <c r="BA108" s="216">
        <v>46</v>
      </c>
      <c r="BB108" s="216">
        <v>47</v>
      </c>
      <c r="BC108" s="216">
        <v>48</v>
      </c>
      <c r="BD108" s="216">
        <v>49</v>
      </c>
      <c r="BE108" s="216">
        <v>50</v>
      </c>
    </row>
    <row r="109" spans="2:57" ht="13.8" thickBot="1" x14ac:dyDescent="0.3">
      <c r="B109" s="1070"/>
      <c r="C109" s="43"/>
      <c r="D109" s="43"/>
      <c r="E109" s="208"/>
      <c r="F109" s="43"/>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c r="AK109" s="208"/>
      <c r="AL109" s="208"/>
      <c r="AM109" s="208"/>
      <c r="AN109" s="208"/>
      <c r="AO109" s="208"/>
      <c r="AP109" s="208"/>
      <c r="AQ109" s="208"/>
      <c r="AR109" s="208"/>
      <c r="AS109" s="208"/>
      <c r="AT109" s="208"/>
      <c r="AU109" s="208"/>
      <c r="AV109" s="208"/>
      <c r="AW109" s="208"/>
      <c r="AX109" s="208"/>
      <c r="AY109" s="208"/>
      <c r="AZ109" s="208"/>
      <c r="BA109" s="208"/>
      <c r="BB109" s="208"/>
      <c r="BC109" s="208"/>
      <c r="BD109" s="208"/>
      <c r="BE109" s="208"/>
    </row>
    <row r="110" spans="2:57" s="36" customFormat="1" x14ac:dyDescent="0.25">
      <c r="B110" s="275" t="s">
        <v>135</v>
      </c>
      <c r="C110" s="276"/>
      <c r="D110" s="276"/>
      <c r="E110" s="276"/>
      <c r="F110" s="276"/>
      <c r="G110" s="276"/>
      <c r="H110" s="276"/>
      <c r="I110" s="276"/>
      <c r="J110" s="276"/>
      <c r="K110" s="276"/>
      <c r="L110" s="276"/>
      <c r="M110" s="276"/>
      <c r="N110" s="276"/>
      <c r="O110" s="276"/>
      <c r="P110" s="276"/>
      <c r="Q110" s="276"/>
      <c r="R110" s="276"/>
      <c r="S110" s="276"/>
      <c r="T110" s="276"/>
      <c r="U110" s="276"/>
      <c r="V110" s="276"/>
      <c r="W110" s="276"/>
      <c r="X110" s="276"/>
      <c r="Y110" s="276"/>
      <c r="Z110" s="276"/>
      <c r="AA110" s="276"/>
      <c r="AB110" s="276"/>
      <c r="AC110" s="276"/>
      <c r="AD110" s="276"/>
      <c r="AE110" s="276"/>
      <c r="AF110" s="276"/>
      <c r="AG110" s="276"/>
      <c r="AH110" s="276"/>
      <c r="AI110" s="276"/>
      <c r="AJ110" s="276"/>
      <c r="AK110" s="276"/>
      <c r="AL110" s="276"/>
      <c r="AM110" s="276"/>
      <c r="AN110" s="276"/>
      <c r="AO110" s="276"/>
      <c r="AP110" s="276"/>
      <c r="AQ110" s="276"/>
      <c r="AR110" s="276"/>
      <c r="AS110" s="276"/>
      <c r="AT110" s="276"/>
      <c r="AU110" s="276"/>
      <c r="AV110" s="276"/>
      <c r="AW110" s="276"/>
      <c r="AX110" s="276"/>
      <c r="AY110" s="276"/>
      <c r="AZ110" s="276"/>
      <c r="BA110" s="276"/>
      <c r="BB110" s="276"/>
      <c r="BC110" s="276"/>
      <c r="BD110" s="276"/>
      <c r="BE110" s="277"/>
    </row>
    <row r="111" spans="2:57" x14ac:dyDescent="0.25">
      <c r="B111" s="278"/>
      <c r="C111" s="279"/>
      <c r="D111" s="279"/>
      <c r="E111" s="279"/>
      <c r="F111" s="279"/>
      <c r="G111" s="279"/>
      <c r="H111" s="279"/>
      <c r="I111" s="279"/>
      <c r="J111" s="279"/>
      <c r="K111" s="279"/>
      <c r="L111" s="279"/>
      <c r="M111" s="279"/>
      <c r="N111" s="279"/>
      <c r="O111" s="279"/>
      <c r="P111" s="279"/>
      <c r="Q111" s="279"/>
      <c r="R111" s="279"/>
      <c r="S111" s="279"/>
      <c r="T111" s="279"/>
      <c r="U111" s="279"/>
      <c r="V111" s="279"/>
      <c r="W111" s="279"/>
      <c r="X111" s="279"/>
      <c r="Y111" s="279"/>
      <c r="Z111" s="279"/>
      <c r="AA111" s="279"/>
      <c r="AB111" s="279"/>
      <c r="AC111" s="279"/>
      <c r="AD111" s="279"/>
      <c r="AE111" s="279"/>
      <c r="AF111" s="279"/>
      <c r="AG111" s="279"/>
      <c r="AH111" s="279"/>
      <c r="AI111" s="279"/>
      <c r="AJ111" s="279"/>
      <c r="AK111" s="279"/>
      <c r="AL111" s="279"/>
      <c r="AM111" s="279"/>
      <c r="AN111" s="279"/>
      <c r="AO111" s="279"/>
      <c r="AP111" s="279"/>
      <c r="AQ111" s="279"/>
      <c r="AR111" s="279"/>
      <c r="AS111" s="279"/>
      <c r="AT111" s="279"/>
      <c r="AU111" s="279"/>
      <c r="AV111" s="279"/>
      <c r="AW111" s="279"/>
      <c r="AX111" s="279"/>
      <c r="AY111" s="279"/>
      <c r="AZ111" s="279"/>
      <c r="BA111" s="279"/>
      <c r="BB111" s="279"/>
      <c r="BC111" s="279"/>
      <c r="BD111" s="279"/>
      <c r="BE111" s="280"/>
    </row>
    <row r="112" spans="2:57" x14ac:dyDescent="0.25">
      <c r="B112" s="278" t="s">
        <v>136</v>
      </c>
      <c r="C112" s="279"/>
      <c r="D112" s="279"/>
      <c r="E112" s="279"/>
      <c r="F112" s="279"/>
      <c r="G112" s="279"/>
      <c r="H112" s="281">
        <f>IF(H$13&gt;'II. Inputs, Baseline Energy Mix'!$P$18,0,1)</f>
        <v>0</v>
      </c>
      <c r="I112" s="279">
        <f>IF(I$13&gt;'II. Inputs, Baseline Energy Mix'!$P$18,0,1)</f>
        <v>0</v>
      </c>
      <c r="J112" s="279">
        <f>IF(J$13&gt;'II. Inputs, Baseline Energy Mix'!$P$18,0,1)</f>
        <v>0</v>
      </c>
      <c r="K112" s="279">
        <f>IF(K$13&gt;'II. Inputs, Baseline Energy Mix'!$P$18,0,1)</f>
        <v>0</v>
      </c>
      <c r="L112" s="279">
        <f>IF(L$13&gt;'II. Inputs, Baseline Energy Mix'!$P$18,0,1)</f>
        <v>0</v>
      </c>
      <c r="M112" s="279">
        <f>IF(M$13&gt;'II. Inputs, Baseline Energy Mix'!$P$18,0,1)</f>
        <v>0</v>
      </c>
      <c r="N112" s="279">
        <f>IF(N$13&gt;'II. Inputs, Baseline Energy Mix'!$P$18,0,1)</f>
        <v>0</v>
      </c>
      <c r="O112" s="279">
        <f>IF(O$13&gt;'II. Inputs, Baseline Energy Mix'!$P$18,0,1)</f>
        <v>0</v>
      </c>
      <c r="P112" s="279">
        <f>IF(P$13&gt;'II. Inputs, Baseline Energy Mix'!$P$18,0,1)</f>
        <v>0</v>
      </c>
      <c r="Q112" s="279">
        <f>IF(Q$13&gt;'II. Inputs, Baseline Energy Mix'!$P$18,0,1)</f>
        <v>0</v>
      </c>
      <c r="R112" s="279">
        <f>IF(R$13&gt;'II. Inputs, Baseline Energy Mix'!$P$18,0,1)</f>
        <v>0</v>
      </c>
      <c r="S112" s="279">
        <f>IF(S$13&gt;'II. Inputs, Baseline Energy Mix'!$P$18,0,1)</f>
        <v>0</v>
      </c>
      <c r="T112" s="279">
        <f>IF(T$13&gt;'II. Inputs, Baseline Energy Mix'!$P$18,0,1)</f>
        <v>0</v>
      </c>
      <c r="U112" s="279">
        <f>IF(U$13&gt;'II. Inputs, Baseline Energy Mix'!$P$18,0,1)</f>
        <v>0</v>
      </c>
      <c r="V112" s="279">
        <f>IF(V$13&gt;'II. Inputs, Baseline Energy Mix'!$P$18,0,1)</f>
        <v>0</v>
      </c>
      <c r="W112" s="279">
        <f>IF(W$13&gt;'II. Inputs, Baseline Energy Mix'!$P$18,0,1)</f>
        <v>0</v>
      </c>
      <c r="X112" s="279">
        <f>IF(X$13&gt;'II. Inputs, Baseline Energy Mix'!$P$18,0,1)</f>
        <v>0</v>
      </c>
      <c r="Y112" s="279">
        <f>IF(Y$13&gt;'II. Inputs, Baseline Energy Mix'!$P$18,0,1)</f>
        <v>0</v>
      </c>
      <c r="Z112" s="279">
        <f>IF(Z$13&gt;'II. Inputs, Baseline Energy Mix'!$P$18,0,1)</f>
        <v>0</v>
      </c>
      <c r="AA112" s="279">
        <f>IF(AA$13&gt;'II. Inputs, Baseline Energy Mix'!$P$18,0,1)</f>
        <v>0</v>
      </c>
      <c r="AB112" s="279">
        <f>IF(AB$13&gt;'II. Inputs, Baseline Energy Mix'!$P$18,0,1)</f>
        <v>0</v>
      </c>
      <c r="AC112" s="279">
        <f>IF(AC$13&gt;'II. Inputs, Baseline Energy Mix'!$P$18,0,1)</f>
        <v>0</v>
      </c>
      <c r="AD112" s="279">
        <f>IF(AD$13&gt;'II. Inputs, Baseline Energy Mix'!$P$18,0,1)</f>
        <v>0</v>
      </c>
      <c r="AE112" s="279">
        <f>IF(AE$13&gt;'II. Inputs, Baseline Energy Mix'!$P$18,0,1)</f>
        <v>0</v>
      </c>
      <c r="AF112" s="279">
        <f>IF(AF$13&gt;'II. Inputs, Baseline Energy Mix'!$P$18,0,1)</f>
        <v>0</v>
      </c>
      <c r="AG112" s="279">
        <f>IF(AG$13&gt;'II. Inputs, Baseline Energy Mix'!$P$18,0,1)</f>
        <v>0</v>
      </c>
      <c r="AH112" s="279">
        <f>IF(AH$13&gt;'II. Inputs, Baseline Energy Mix'!$P$18,0,1)</f>
        <v>0</v>
      </c>
      <c r="AI112" s="279">
        <f>IF(AI$13&gt;'II. Inputs, Baseline Energy Mix'!$P$18,0,1)</f>
        <v>0</v>
      </c>
      <c r="AJ112" s="279">
        <f>IF(AJ$13&gt;'II. Inputs, Baseline Energy Mix'!$P$18,0,1)</f>
        <v>0</v>
      </c>
      <c r="AK112" s="279">
        <f>IF(AK$13&gt;'II. Inputs, Baseline Energy Mix'!$P$18,0,1)</f>
        <v>0</v>
      </c>
      <c r="AL112" s="279">
        <f>IF(AL$13&gt;'II. Inputs, Baseline Energy Mix'!$P$18,0,1)</f>
        <v>0</v>
      </c>
      <c r="AM112" s="279">
        <f>IF(AM$13&gt;'II. Inputs, Baseline Energy Mix'!$P$18,0,1)</f>
        <v>0</v>
      </c>
      <c r="AN112" s="279">
        <f>IF(AN$13&gt;'II. Inputs, Baseline Energy Mix'!$P$18,0,1)</f>
        <v>0</v>
      </c>
      <c r="AO112" s="279">
        <f>IF(AO$13&gt;'II. Inputs, Baseline Energy Mix'!$P$18,0,1)</f>
        <v>0</v>
      </c>
      <c r="AP112" s="279">
        <f>IF(AP$13&gt;'II. Inputs, Baseline Energy Mix'!$P$18,0,1)</f>
        <v>0</v>
      </c>
      <c r="AQ112" s="279">
        <f>IF(AQ$13&gt;'II. Inputs, Baseline Energy Mix'!$P$18,0,1)</f>
        <v>0</v>
      </c>
      <c r="AR112" s="279">
        <f>IF(AR$13&gt;'II. Inputs, Baseline Energy Mix'!$P$18,0,1)</f>
        <v>0</v>
      </c>
      <c r="AS112" s="279">
        <f>IF(AS$13&gt;'II. Inputs, Baseline Energy Mix'!$P$18,0,1)</f>
        <v>0</v>
      </c>
      <c r="AT112" s="279">
        <f>IF(AT$13&gt;'II. Inputs, Baseline Energy Mix'!$P$18,0,1)</f>
        <v>0</v>
      </c>
      <c r="AU112" s="279">
        <f>IF(AU$13&gt;'II. Inputs, Baseline Energy Mix'!$P$18,0,1)</f>
        <v>0</v>
      </c>
      <c r="AV112" s="279">
        <f>IF(AV$13&gt;'II. Inputs, Baseline Energy Mix'!$P$18,0,1)</f>
        <v>0</v>
      </c>
      <c r="AW112" s="279">
        <f>IF(AW$13&gt;'II. Inputs, Baseline Energy Mix'!$P$18,0,1)</f>
        <v>0</v>
      </c>
      <c r="AX112" s="279">
        <f>IF(AX$13&gt;'II. Inputs, Baseline Energy Mix'!$P$18,0,1)</f>
        <v>0</v>
      </c>
      <c r="AY112" s="279">
        <f>IF(AY$13&gt;'II. Inputs, Baseline Energy Mix'!$P$18,0,1)</f>
        <v>0</v>
      </c>
      <c r="AZ112" s="279">
        <f>IF(AZ$13&gt;'II. Inputs, Baseline Energy Mix'!$P$18,0,1)</f>
        <v>0</v>
      </c>
      <c r="BA112" s="279">
        <f>IF(BA$13&gt;'II. Inputs, Baseline Energy Mix'!$P$18,0,1)</f>
        <v>0</v>
      </c>
      <c r="BB112" s="279">
        <f>IF(BB$13&gt;'II. Inputs, Baseline Energy Mix'!$P$18,0,1)</f>
        <v>0</v>
      </c>
      <c r="BC112" s="279">
        <f>IF(BC$13&gt;'II. Inputs, Baseline Energy Mix'!$P$18,0,1)</f>
        <v>0</v>
      </c>
      <c r="BD112" s="279">
        <f>IF(BD$13&gt;'II. Inputs, Baseline Energy Mix'!$P$18,0,1)</f>
        <v>0</v>
      </c>
      <c r="BE112" s="280">
        <f>IF(BE$13&gt;'II. Inputs, Baseline Energy Mix'!$P$18,0,1)</f>
        <v>0</v>
      </c>
    </row>
    <row r="113" spans="2:57" x14ac:dyDescent="0.25">
      <c r="B113" s="278"/>
      <c r="C113" s="279"/>
      <c r="D113" s="279"/>
      <c r="E113" s="279"/>
      <c r="F113" s="279"/>
      <c r="G113" s="279"/>
      <c r="H113" s="281"/>
      <c r="I113" s="279"/>
      <c r="J113" s="279"/>
      <c r="K113" s="279"/>
      <c r="L113" s="279"/>
      <c r="M113" s="279"/>
      <c r="N113" s="279"/>
      <c r="O113" s="279"/>
      <c r="P113" s="279"/>
      <c r="Q113" s="279"/>
      <c r="R113" s="279"/>
      <c r="S113" s="279"/>
      <c r="T113" s="279"/>
      <c r="U113" s="279"/>
      <c r="V113" s="279"/>
      <c r="W113" s="279"/>
      <c r="X113" s="279"/>
      <c r="Y113" s="279"/>
      <c r="Z113" s="279"/>
      <c r="AA113" s="279"/>
      <c r="AB113" s="279"/>
      <c r="AC113" s="279"/>
      <c r="AD113" s="279"/>
      <c r="AE113" s="279"/>
      <c r="AF113" s="279"/>
      <c r="AG113" s="279"/>
      <c r="AH113" s="279"/>
      <c r="AI113" s="279"/>
      <c r="AJ113" s="279"/>
      <c r="AK113" s="279"/>
      <c r="AL113" s="279"/>
      <c r="AM113" s="279"/>
      <c r="AN113" s="279"/>
      <c r="AO113" s="279"/>
      <c r="AP113" s="279"/>
      <c r="AQ113" s="279"/>
      <c r="AR113" s="279"/>
      <c r="AS113" s="279"/>
      <c r="AT113" s="279"/>
      <c r="AU113" s="279"/>
      <c r="AV113" s="279"/>
      <c r="AW113" s="279"/>
      <c r="AX113" s="279"/>
      <c r="AY113" s="279"/>
      <c r="AZ113" s="279"/>
      <c r="BA113" s="279"/>
      <c r="BB113" s="279"/>
      <c r="BC113" s="279"/>
      <c r="BD113" s="279"/>
      <c r="BE113" s="280"/>
    </row>
    <row r="114" spans="2:57" x14ac:dyDescent="0.25">
      <c r="B114" s="278" t="s">
        <v>97</v>
      </c>
      <c r="C114" s="279"/>
      <c r="D114" s="279"/>
      <c r="E114" s="279"/>
      <c r="F114" s="282" t="s">
        <v>98</v>
      </c>
      <c r="G114" s="279"/>
      <c r="H114" s="283">
        <f>IF('II. Inputs, Baseline Energy Mix'!$P$15=0,0,'II. Inputs, Baseline Energy Mix'!$P$92*'II. Inputs, Baseline Energy Mix'!$P$16*H112)</f>
        <v>0</v>
      </c>
      <c r="I114" s="283">
        <f>IF('II. Inputs, Baseline Energy Mix'!$P$15=0,0,'II. Inputs, Baseline Energy Mix'!$P$92*'II. Inputs, Baseline Energy Mix'!$P$16*I112)</f>
        <v>0</v>
      </c>
      <c r="J114" s="283">
        <f>IF('II. Inputs, Baseline Energy Mix'!$P$15=0,0,'II. Inputs, Baseline Energy Mix'!$P$92*'II. Inputs, Baseline Energy Mix'!$P$16*J112)</f>
        <v>0</v>
      </c>
      <c r="K114" s="283">
        <f>IF('II. Inputs, Baseline Energy Mix'!$P$15=0,0,'II. Inputs, Baseline Energy Mix'!$P$92*'II. Inputs, Baseline Energy Mix'!$P$16*K112)</f>
        <v>0</v>
      </c>
      <c r="L114" s="283">
        <f>IF('II. Inputs, Baseline Energy Mix'!$P$15=0,0,'II. Inputs, Baseline Energy Mix'!$P$92*'II. Inputs, Baseline Energy Mix'!$P$16*L112)</f>
        <v>0</v>
      </c>
      <c r="M114" s="283">
        <f>IF('II. Inputs, Baseline Energy Mix'!$P$15=0,0,'II. Inputs, Baseline Energy Mix'!$P$92*'II. Inputs, Baseline Energy Mix'!$P$16*M112)</f>
        <v>0</v>
      </c>
      <c r="N114" s="283">
        <f>IF('II. Inputs, Baseline Energy Mix'!$P$15=0,0,'II. Inputs, Baseline Energy Mix'!$P$92*'II. Inputs, Baseline Energy Mix'!$P$16*N112)</f>
        <v>0</v>
      </c>
      <c r="O114" s="283">
        <f>IF('II. Inputs, Baseline Energy Mix'!$P$15=0,0,'II. Inputs, Baseline Energy Mix'!$P$92*'II. Inputs, Baseline Energy Mix'!$P$16*O112)</f>
        <v>0</v>
      </c>
      <c r="P114" s="283">
        <f>IF('II. Inputs, Baseline Energy Mix'!$P$15=0,0,'II. Inputs, Baseline Energy Mix'!$P$92*'II. Inputs, Baseline Energy Mix'!$P$16*P112)</f>
        <v>0</v>
      </c>
      <c r="Q114" s="283">
        <f>IF('II. Inputs, Baseline Energy Mix'!$P$15=0,0,'II. Inputs, Baseline Energy Mix'!$P$92*'II. Inputs, Baseline Energy Mix'!$P$16*Q112)</f>
        <v>0</v>
      </c>
      <c r="R114" s="283">
        <f>IF('II. Inputs, Baseline Energy Mix'!$P$15=0,0,'II. Inputs, Baseline Energy Mix'!$P$92*'II. Inputs, Baseline Energy Mix'!$P$16*R112)</f>
        <v>0</v>
      </c>
      <c r="S114" s="283">
        <f>IF('II. Inputs, Baseline Energy Mix'!$P$15=0,0,'II. Inputs, Baseline Energy Mix'!$P$92*'II. Inputs, Baseline Energy Mix'!$P$16*S112)</f>
        <v>0</v>
      </c>
      <c r="T114" s="283">
        <f>IF('II. Inputs, Baseline Energy Mix'!$P$15=0,0,'II. Inputs, Baseline Energy Mix'!$P$92*'II. Inputs, Baseline Energy Mix'!$P$16*T112)</f>
        <v>0</v>
      </c>
      <c r="U114" s="283">
        <f>IF('II. Inputs, Baseline Energy Mix'!$P$15=0,0,'II. Inputs, Baseline Energy Mix'!$P$92*'II. Inputs, Baseline Energy Mix'!$P$16*U112)</f>
        <v>0</v>
      </c>
      <c r="V114" s="283">
        <f>IF('II. Inputs, Baseline Energy Mix'!$P$15=0,0,'II. Inputs, Baseline Energy Mix'!$P$92*'II. Inputs, Baseline Energy Mix'!$P$16*V112)</f>
        <v>0</v>
      </c>
      <c r="W114" s="283">
        <f>IF('II. Inputs, Baseline Energy Mix'!$P$15=0,0,'II. Inputs, Baseline Energy Mix'!$P$92*'II. Inputs, Baseline Energy Mix'!$P$16*W112)</f>
        <v>0</v>
      </c>
      <c r="X114" s="283">
        <f>IF('II. Inputs, Baseline Energy Mix'!$P$15=0,0,'II. Inputs, Baseline Energy Mix'!$P$92*'II. Inputs, Baseline Energy Mix'!$P$16*X112)</f>
        <v>0</v>
      </c>
      <c r="Y114" s="283">
        <f>IF('II. Inputs, Baseline Energy Mix'!$P$15=0,0,'II. Inputs, Baseline Energy Mix'!$P$92*'II. Inputs, Baseline Energy Mix'!$P$16*Y112)</f>
        <v>0</v>
      </c>
      <c r="Z114" s="283">
        <f>IF('II. Inputs, Baseline Energy Mix'!$P$15=0,0,'II. Inputs, Baseline Energy Mix'!$P$92*'II. Inputs, Baseline Energy Mix'!$P$16*Z112)</f>
        <v>0</v>
      </c>
      <c r="AA114" s="283">
        <f>IF('II. Inputs, Baseline Energy Mix'!$P$15=0,0,'II. Inputs, Baseline Energy Mix'!$P$92*'II. Inputs, Baseline Energy Mix'!$P$16*AA112)</f>
        <v>0</v>
      </c>
      <c r="AB114" s="283">
        <f>IF('II. Inputs, Baseline Energy Mix'!$P$15=0,0,'II. Inputs, Baseline Energy Mix'!$P$92*'II. Inputs, Baseline Energy Mix'!$P$16*AB112)</f>
        <v>0</v>
      </c>
      <c r="AC114" s="283">
        <f>IF('II. Inputs, Baseline Energy Mix'!$P$15=0,0,'II. Inputs, Baseline Energy Mix'!$P$92*'II. Inputs, Baseline Energy Mix'!$P$16*AC112)</f>
        <v>0</v>
      </c>
      <c r="AD114" s="283">
        <f>IF('II. Inputs, Baseline Energy Mix'!$P$15=0,0,'II. Inputs, Baseline Energy Mix'!$P$92*'II. Inputs, Baseline Energy Mix'!$P$16*AD112)</f>
        <v>0</v>
      </c>
      <c r="AE114" s="283">
        <f>IF('II. Inputs, Baseline Energy Mix'!$P$15=0,0,'II. Inputs, Baseline Energy Mix'!$P$92*'II. Inputs, Baseline Energy Mix'!$P$16*AE112)</f>
        <v>0</v>
      </c>
      <c r="AF114" s="283">
        <f>IF('II. Inputs, Baseline Energy Mix'!$P$15=0,0,'II. Inputs, Baseline Energy Mix'!$P$92*'II. Inputs, Baseline Energy Mix'!$P$16*AF112)</f>
        <v>0</v>
      </c>
      <c r="AG114" s="283">
        <f>IF('II. Inputs, Baseline Energy Mix'!$P$15=0,0,'II. Inputs, Baseline Energy Mix'!$P$92*'II. Inputs, Baseline Energy Mix'!$P$16*AG112)</f>
        <v>0</v>
      </c>
      <c r="AH114" s="283">
        <f>IF('II. Inputs, Baseline Energy Mix'!$P$15=0,0,'II. Inputs, Baseline Energy Mix'!$P$92*'II. Inputs, Baseline Energy Mix'!$P$16*AH112)</f>
        <v>0</v>
      </c>
      <c r="AI114" s="283">
        <f>IF('II. Inputs, Baseline Energy Mix'!$P$15=0,0,'II. Inputs, Baseline Energy Mix'!$P$92*'II. Inputs, Baseline Energy Mix'!$P$16*AI112)</f>
        <v>0</v>
      </c>
      <c r="AJ114" s="283">
        <f>IF('II. Inputs, Baseline Energy Mix'!$P$15=0,0,'II. Inputs, Baseline Energy Mix'!$P$92*'II. Inputs, Baseline Energy Mix'!$P$16*AJ112)</f>
        <v>0</v>
      </c>
      <c r="AK114" s="283">
        <f>IF('II. Inputs, Baseline Energy Mix'!$P$15=0,0,'II. Inputs, Baseline Energy Mix'!$P$92*'II. Inputs, Baseline Energy Mix'!$P$16*AK112)</f>
        <v>0</v>
      </c>
      <c r="AL114" s="283">
        <f>IF('II. Inputs, Baseline Energy Mix'!$P$15=0,0,'II. Inputs, Baseline Energy Mix'!$P$92*'II. Inputs, Baseline Energy Mix'!$P$16*AL112)</f>
        <v>0</v>
      </c>
      <c r="AM114" s="283">
        <f>IF('II. Inputs, Baseline Energy Mix'!$P$15=0,0,'II. Inputs, Baseline Energy Mix'!$P$92*'II. Inputs, Baseline Energy Mix'!$P$16*AM112)</f>
        <v>0</v>
      </c>
      <c r="AN114" s="283">
        <f>IF('II. Inputs, Baseline Energy Mix'!$P$15=0,0,'II. Inputs, Baseline Energy Mix'!$P$92*'II. Inputs, Baseline Energy Mix'!$P$16*AN112)</f>
        <v>0</v>
      </c>
      <c r="AO114" s="283">
        <f>IF('II. Inputs, Baseline Energy Mix'!$P$15=0,0,'II. Inputs, Baseline Energy Mix'!$P$92*'II. Inputs, Baseline Energy Mix'!$P$16*AO112)</f>
        <v>0</v>
      </c>
      <c r="AP114" s="283">
        <f>IF('II. Inputs, Baseline Energy Mix'!$P$15=0,0,'II. Inputs, Baseline Energy Mix'!$P$92*'II. Inputs, Baseline Energy Mix'!$P$16*AP112)</f>
        <v>0</v>
      </c>
      <c r="AQ114" s="283">
        <f>IF('II. Inputs, Baseline Energy Mix'!$P$15=0,0,'II. Inputs, Baseline Energy Mix'!$P$92*'II. Inputs, Baseline Energy Mix'!$P$16*AQ112)</f>
        <v>0</v>
      </c>
      <c r="AR114" s="283">
        <f>IF('II. Inputs, Baseline Energy Mix'!$P$15=0,0,'II. Inputs, Baseline Energy Mix'!$P$92*'II. Inputs, Baseline Energy Mix'!$P$16*AR112)</f>
        <v>0</v>
      </c>
      <c r="AS114" s="283">
        <f>IF('II. Inputs, Baseline Energy Mix'!$P$15=0,0,'II. Inputs, Baseline Energy Mix'!$P$92*'II. Inputs, Baseline Energy Mix'!$P$16*AS112)</f>
        <v>0</v>
      </c>
      <c r="AT114" s="283">
        <f>IF('II. Inputs, Baseline Energy Mix'!$P$15=0,0,'II. Inputs, Baseline Energy Mix'!$P$92*'II. Inputs, Baseline Energy Mix'!$P$16*AT112)</f>
        <v>0</v>
      </c>
      <c r="AU114" s="283">
        <f>IF('II. Inputs, Baseline Energy Mix'!$P$15=0,0,'II. Inputs, Baseline Energy Mix'!$P$92*'II. Inputs, Baseline Energy Mix'!$P$16*AU112)</f>
        <v>0</v>
      </c>
      <c r="AV114" s="283">
        <f>IF('II. Inputs, Baseline Energy Mix'!$P$15=0,0,'II. Inputs, Baseline Energy Mix'!$P$92*'II. Inputs, Baseline Energy Mix'!$P$16*AV112)</f>
        <v>0</v>
      </c>
      <c r="AW114" s="283">
        <f>IF('II. Inputs, Baseline Energy Mix'!$P$15=0,0,'II. Inputs, Baseline Energy Mix'!$P$92*'II. Inputs, Baseline Energy Mix'!$P$16*AW112)</f>
        <v>0</v>
      </c>
      <c r="AX114" s="283">
        <f>IF('II. Inputs, Baseline Energy Mix'!$P$15=0,0,'II. Inputs, Baseline Energy Mix'!$P$92*'II. Inputs, Baseline Energy Mix'!$P$16*AX112)</f>
        <v>0</v>
      </c>
      <c r="AY114" s="283">
        <f>IF('II. Inputs, Baseline Energy Mix'!$P$15=0,0,'II. Inputs, Baseline Energy Mix'!$P$92*'II. Inputs, Baseline Energy Mix'!$P$16*AY112)</f>
        <v>0</v>
      </c>
      <c r="AZ114" s="283">
        <f>IF('II. Inputs, Baseline Energy Mix'!$P$15=0,0,'II. Inputs, Baseline Energy Mix'!$P$92*'II. Inputs, Baseline Energy Mix'!$P$16*AZ112)</f>
        <v>0</v>
      </c>
      <c r="BA114" s="283">
        <f>IF('II. Inputs, Baseline Energy Mix'!$P$15=0,0,'II. Inputs, Baseline Energy Mix'!$P$92*'II. Inputs, Baseline Energy Mix'!$P$16*BA112)</f>
        <v>0</v>
      </c>
      <c r="BB114" s="283">
        <f>IF('II. Inputs, Baseline Energy Mix'!$P$15=0,0,'II. Inputs, Baseline Energy Mix'!$P$92*'II. Inputs, Baseline Energy Mix'!$P$16*BB112)</f>
        <v>0</v>
      </c>
      <c r="BC114" s="283">
        <f>IF('II. Inputs, Baseline Energy Mix'!$P$15=0,0,'II. Inputs, Baseline Energy Mix'!$P$92*'II. Inputs, Baseline Energy Mix'!$P$16*BC112)</f>
        <v>0</v>
      </c>
      <c r="BD114" s="283">
        <f>IF('II. Inputs, Baseline Energy Mix'!$P$15=0,0,'II. Inputs, Baseline Energy Mix'!$P$92*'II. Inputs, Baseline Energy Mix'!$P$16*BD112)</f>
        <v>0</v>
      </c>
      <c r="BE114" s="284">
        <f>IF('II. Inputs, Baseline Energy Mix'!$P$15=0,0,'II. Inputs, Baseline Energy Mix'!$P$92*'II. Inputs, Baseline Energy Mix'!$P$16*BE112)</f>
        <v>0</v>
      </c>
    </row>
    <row r="115" spans="2:57" x14ac:dyDescent="0.25">
      <c r="B115" s="278"/>
      <c r="C115" s="279"/>
      <c r="D115" s="279"/>
      <c r="E115" s="282"/>
      <c r="F115" s="279"/>
      <c r="G115" s="279"/>
      <c r="H115" s="279"/>
      <c r="I115" s="279"/>
      <c r="J115" s="279"/>
      <c r="K115" s="279"/>
      <c r="L115" s="279"/>
      <c r="M115" s="279"/>
      <c r="N115" s="279"/>
      <c r="O115" s="279"/>
      <c r="P115" s="279"/>
      <c r="Q115" s="279"/>
      <c r="R115" s="279"/>
      <c r="S115" s="279"/>
      <c r="T115" s="279"/>
      <c r="U115" s="279"/>
      <c r="V115" s="279"/>
      <c r="W115" s="279"/>
      <c r="X115" s="279"/>
      <c r="Y115" s="279"/>
      <c r="Z115" s="279"/>
      <c r="AA115" s="279"/>
      <c r="AB115" s="279"/>
      <c r="AC115" s="279"/>
      <c r="AD115" s="279"/>
      <c r="AE115" s="279"/>
      <c r="AF115" s="279"/>
      <c r="AG115" s="279"/>
      <c r="AH115" s="279"/>
      <c r="AI115" s="279"/>
      <c r="AJ115" s="279"/>
      <c r="AK115" s="279"/>
      <c r="AL115" s="279"/>
      <c r="AM115" s="279"/>
      <c r="AN115" s="279"/>
      <c r="AO115" s="279"/>
      <c r="AP115" s="279"/>
      <c r="AQ115" s="279"/>
      <c r="AR115" s="279"/>
      <c r="AS115" s="279"/>
      <c r="AT115" s="279"/>
      <c r="AU115" s="279"/>
      <c r="AV115" s="279"/>
      <c r="AW115" s="279"/>
      <c r="AX115" s="279"/>
      <c r="AY115" s="279"/>
      <c r="AZ115" s="279"/>
      <c r="BA115" s="279"/>
      <c r="BB115" s="279"/>
      <c r="BC115" s="279"/>
      <c r="BD115" s="279"/>
      <c r="BE115" s="280"/>
    </row>
    <row r="116" spans="2:57" x14ac:dyDescent="0.25">
      <c r="B116" s="285" t="s">
        <v>99</v>
      </c>
      <c r="C116" s="286"/>
      <c r="D116" s="286"/>
      <c r="E116" s="287"/>
      <c r="F116" s="287"/>
      <c r="G116" s="287"/>
      <c r="H116" s="287"/>
      <c r="I116" s="287"/>
      <c r="J116" s="287"/>
      <c r="K116" s="287"/>
      <c r="L116" s="287"/>
      <c r="M116" s="287"/>
      <c r="N116" s="287"/>
      <c r="O116" s="287"/>
      <c r="P116" s="287"/>
      <c r="Q116" s="287"/>
      <c r="R116" s="287"/>
      <c r="S116" s="287"/>
      <c r="T116" s="287"/>
      <c r="U116" s="287"/>
      <c r="V116" s="287"/>
      <c r="W116" s="287"/>
      <c r="X116" s="287"/>
      <c r="Y116" s="287"/>
      <c r="Z116" s="287"/>
      <c r="AA116" s="287"/>
      <c r="AB116" s="287"/>
      <c r="AC116" s="287"/>
      <c r="AD116" s="287"/>
      <c r="AE116" s="287"/>
      <c r="AF116" s="287"/>
      <c r="AG116" s="287"/>
      <c r="AH116" s="287"/>
      <c r="AI116" s="287"/>
      <c r="AJ116" s="287"/>
      <c r="AK116" s="287"/>
      <c r="AL116" s="287"/>
      <c r="AM116" s="287"/>
      <c r="AN116" s="287"/>
      <c r="AO116" s="287"/>
      <c r="AP116" s="287"/>
      <c r="AQ116" s="287"/>
      <c r="AR116" s="287"/>
      <c r="AS116" s="287"/>
      <c r="AT116" s="287"/>
      <c r="AU116" s="287"/>
      <c r="AV116" s="287"/>
      <c r="AW116" s="287"/>
      <c r="AX116" s="287"/>
      <c r="AY116" s="287"/>
      <c r="AZ116" s="287"/>
      <c r="BA116" s="287"/>
      <c r="BB116" s="287"/>
      <c r="BC116" s="287"/>
      <c r="BD116" s="287"/>
      <c r="BE116" s="288"/>
    </row>
    <row r="117" spans="2:57" x14ac:dyDescent="0.25">
      <c r="B117" s="278"/>
      <c r="C117" s="279"/>
      <c r="D117" s="279"/>
      <c r="E117" s="282"/>
      <c r="F117" s="279"/>
      <c r="G117" s="279"/>
      <c r="H117" s="279"/>
      <c r="I117" s="279"/>
      <c r="J117" s="279"/>
      <c r="K117" s="279"/>
      <c r="L117" s="279"/>
      <c r="M117" s="279"/>
      <c r="N117" s="279"/>
      <c r="O117" s="279"/>
      <c r="P117" s="279"/>
      <c r="Q117" s="279"/>
      <c r="R117" s="279"/>
      <c r="S117" s="279"/>
      <c r="T117" s="279"/>
      <c r="U117" s="279"/>
      <c r="V117" s="279"/>
      <c r="W117" s="279"/>
      <c r="X117" s="279"/>
      <c r="Y117" s="279"/>
      <c r="Z117" s="279"/>
      <c r="AA117" s="279"/>
      <c r="AB117" s="279"/>
      <c r="AC117" s="279"/>
      <c r="AD117" s="279"/>
      <c r="AE117" s="279"/>
      <c r="AF117" s="279"/>
      <c r="AG117" s="279"/>
      <c r="AH117" s="279"/>
      <c r="AI117" s="279"/>
      <c r="AJ117" s="279"/>
      <c r="AK117" s="279"/>
      <c r="AL117" s="279"/>
      <c r="AM117" s="279"/>
      <c r="AN117" s="279"/>
      <c r="AO117" s="279"/>
      <c r="AP117" s="279"/>
      <c r="AQ117" s="279"/>
      <c r="AR117" s="279"/>
      <c r="AS117" s="279"/>
      <c r="AT117" s="279"/>
      <c r="AU117" s="279"/>
      <c r="AV117" s="279"/>
      <c r="AW117" s="279"/>
      <c r="AX117" s="279"/>
      <c r="AY117" s="279"/>
      <c r="AZ117" s="279"/>
      <c r="BA117" s="279"/>
      <c r="BB117" s="279"/>
      <c r="BC117" s="279"/>
      <c r="BD117" s="279"/>
      <c r="BE117" s="280"/>
    </row>
    <row r="118" spans="2:57" x14ac:dyDescent="0.25">
      <c r="B118" s="278" t="s">
        <v>137</v>
      </c>
      <c r="C118" s="279"/>
      <c r="D118" s="279"/>
      <c r="E118" s="282"/>
      <c r="F118" s="282" t="s">
        <v>631</v>
      </c>
      <c r="G118" s="279"/>
      <c r="H118" s="1255">
        <f>IF('II. Inputs, Baseline Energy Mix'!$P$15=0,0,H112*'II. Inputs, Baseline Energy Mix'!$P$105*(1+'II. Inputs, Baseline Energy Mix'!$P$106)^('IV. LCOE, Baseline Energy Mix'!H$13-1))</f>
        <v>0</v>
      </c>
      <c r="I118" s="1255">
        <f>IF('II. Inputs, Baseline Energy Mix'!$P$15=0,0,I112*'II. Inputs, Baseline Energy Mix'!$P$105*(1+'II. Inputs, Baseline Energy Mix'!$P$106)^('IV. LCOE, Baseline Energy Mix'!I$13-1))</f>
        <v>0</v>
      </c>
      <c r="J118" s="1255">
        <f>IF('II. Inputs, Baseline Energy Mix'!$P$15=0,0,J112*'II. Inputs, Baseline Energy Mix'!$P$105*(1+'II. Inputs, Baseline Energy Mix'!$P$106)^('IV. LCOE, Baseline Energy Mix'!J$13-1))</f>
        <v>0</v>
      </c>
      <c r="K118" s="1255">
        <f>IF('II. Inputs, Baseline Energy Mix'!$P$15=0,0,K112*'II. Inputs, Baseline Energy Mix'!$P$105*(1+'II. Inputs, Baseline Energy Mix'!$P$106)^('IV. LCOE, Baseline Energy Mix'!K$13-1))</f>
        <v>0</v>
      </c>
      <c r="L118" s="1255">
        <f>IF('II. Inputs, Baseline Energy Mix'!$P$15=0,0,L112*'II. Inputs, Baseline Energy Mix'!$P$105*(1+'II. Inputs, Baseline Energy Mix'!$P$106)^('IV. LCOE, Baseline Energy Mix'!L$13-1))</f>
        <v>0</v>
      </c>
      <c r="M118" s="1255">
        <f>IF('II. Inputs, Baseline Energy Mix'!$P$15=0,0,M112*'II. Inputs, Baseline Energy Mix'!$P$105*(1+'II. Inputs, Baseline Energy Mix'!$P$106)^('IV. LCOE, Baseline Energy Mix'!M$13-1))</f>
        <v>0</v>
      </c>
      <c r="N118" s="1255">
        <f>IF('II. Inputs, Baseline Energy Mix'!$P$15=0,0,N112*'II. Inputs, Baseline Energy Mix'!$P$105*(1+'II. Inputs, Baseline Energy Mix'!$P$106)^('IV. LCOE, Baseline Energy Mix'!N$13-1))</f>
        <v>0</v>
      </c>
      <c r="O118" s="1255">
        <f>IF('II. Inputs, Baseline Energy Mix'!$P$15=0,0,O112*'II. Inputs, Baseline Energy Mix'!$P$105*(1+'II. Inputs, Baseline Energy Mix'!$P$106)^('IV. LCOE, Baseline Energy Mix'!O$13-1))</f>
        <v>0</v>
      </c>
      <c r="P118" s="1255">
        <f>IF('II. Inputs, Baseline Energy Mix'!$P$15=0,0,P112*'II. Inputs, Baseline Energy Mix'!$P$105*(1+'II. Inputs, Baseline Energy Mix'!$P$106)^('IV. LCOE, Baseline Energy Mix'!P$13-1))</f>
        <v>0</v>
      </c>
      <c r="Q118" s="1255">
        <f>IF('II. Inputs, Baseline Energy Mix'!$P$15=0,0,Q112*'II. Inputs, Baseline Energy Mix'!$P$105*(1+'II. Inputs, Baseline Energy Mix'!$P$106)^('IV. LCOE, Baseline Energy Mix'!Q$13-1))</f>
        <v>0</v>
      </c>
      <c r="R118" s="1255">
        <f>IF('II. Inputs, Baseline Energy Mix'!$P$15=0,0,R112*'II. Inputs, Baseline Energy Mix'!$P$105*(1+'II. Inputs, Baseline Energy Mix'!$P$106)^('IV. LCOE, Baseline Energy Mix'!R$13-1))</f>
        <v>0</v>
      </c>
      <c r="S118" s="1255">
        <f>IF('II. Inputs, Baseline Energy Mix'!$P$15=0,0,S112*'II. Inputs, Baseline Energy Mix'!$P$105*(1+'II. Inputs, Baseline Energy Mix'!$P$106)^('IV. LCOE, Baseline Energy Mix'!S$13-1))</f>
        <v>0</v>
      </c>
      <c r="T118" s="1255">
        <f>IF('II. Inputs, Baseline Energy Mix'!$P$15=0,0,T112*'II. Inputs, Baseline Energy Mix'!$P$105*(1+'II. Inputs, Baseline Energy Mix'!$P$106)^('IV. LCOE, Baseline Energy Mix'!T$13-1))</f>
        <v>0</v>
      </c>
      <c r="U118" s="1255">
        <f>IF('II. Inputs, Baseline Energy Mix'!$P$15=0,0,U112*'II. Inputs, Baseline Energy Mix'!$P$105*(1+'II. Inputs, Baseline Energy Mix'!$P$106)^('IV. LCOE, Baseline Energy Mix'!U$13-1))</f>
        <v>0</v>
      </c>
      <c r="V118" s="1255">
        <f>IF('II. Inputs, Baseline Energy Mix'!$P$15=0,0,V112*'II. Inputs, Baseline Energy Mix'!$P$105*(1+'II. Inputs, Baseline Energy Mix'!$P$106)^('IV. LCOE, Baseline Energy Mix'!V$13-1))</f>
        <v>0</v>
      </c>
      <c r="W118" s="1255">
        <f>IF('II. Inputs, Baseline Energy Mix'!$P$15=0,0,W112*'II. Inputs, Baseline Energy Mix'!$P$105*(1+'II. Inputs, Baseline Energy Mix'!$P$106)^('IV. LCOE, Baseline Energy Mix'!W$13-1))</f>
        <v>0</v>
      </c>
      <c r="X118" s="1255">
        <f>IF('II. Inputs, Baseline Energy Mix'!$P$15=0,0,X112*'II. Inputs, Baseline Energy Mix'!$P$105*(1+'II. Inputs, Baseline Energy Mix'!$P$106)^('IV. LCOE, Baseline Energy Mix'!X$13-1))</f>
        <v>0</v>
      </c>
      <c r="Y118" s="1255">
        <f>IF('II. Inputs, Baseline Energy Mix'!$P$15=0,0,Y112*'II. Inputs, Baseline Energy Mix'!$P$105*(1+'II. Inputs, Baseline Energy Mix'!$P$106)^('IV. LCOE, Baseline Energy Mix'!Y$13-1))</f>
        <v>0</v>
      </c>
      <c r="Z118" s="1255">
        <f>IF('II. Inputs, Baseline Energy Mix'!$P$15=0,0,Z112*'II. Inputs, Baseline Energy Mix'!$P$105*(1+'II. Inputs, Baseline Energy Mix'!$P$106)^('IV. LCOE, Baseline Energy Mix'!Z$13-1))</f>
        <v>0</v>
      </c>
      <c r="AA118" s="1255">
        <f>IF('II. Inputs, Baseline Energy Mix'!$P$15=0,0,AA112*'II. Inputs, Baseline Energy Mix'!$P$105*(1+'II. Inputs, Baseline Energy Mix'!$P$106)^('IV. LCOE, Baseline Energy Mix'!AA$13-1))</f>
        <v>0</v>
      </c>
      <c r="AB118" s="1255">
        <f>IF('II. Inputs, Baseline Energy Mix'!$P$15=0,0,AB112*'II. Inputs, Baseline Energy Mix'!$P$105*(1+'II. Inputs, Baseline Energy Mix'!$P$106)^('IV. LCOE, Baseline Energy Mix'!AB$13-1))</f>
        <v>0</v>
      </c>
      <c r="AC118" s="1255">
        <f>IF('II. Inputs, Baseline Energy Mix'!$P$15=0,0,AC112*'II. Inputs, Baseline Energy Mix'!$P$105*(1+'II. Inputs, Baseline Energy Mix'!$P$106)^('IV. LCOE, Baseline Energy Mix'!AC$13-1))</f>
        <v>0</v>
      </c>
      <c r="AD118" s="1255">
        <f>IF('II. Inputs, Baseline Energy Mix'!$P$15=0,0,AD112*'II. Inputs, Baseline Energy Mix'!$P$105*(1+'II. Inputs, Baseline Energy Mix'!$P$106)^('IV. LCOE, Baseline Energy Mix'!AD$13-1))</f>
        <v>0</v>
      </c>
      <c r="AE118" s="1255">
        <f>IF('II. Inputs, Baseline Energy Mix'!$P$15=0,0,AE112*'II. Inputs, Baseline Energy Mix'!$P$105*(1+'II. Inputs, Baseline Energy Mix'!$P$106)^('IV. LCOE, Baseline Energy Mix'!AE$13-1))</f>
        <v>0</v>
      </c>
      <c r="AF118" s="1255">
        <f>IF('II. Inputs, Baseline Energy Mix'!$P$15=0,0,AF112*'II. Inputs, Baseline Energy Mix'!$P$105*(1+'II. Inputs, Baseline Energy Mix'!$P$106)^('IV. LCOE, Baseline Energy Mix'!AF$13-1))</f>
        <v>0</v>
      </c>
      <c r="AG118" s="1255">
        <f>IF('II. Inputs, Baseline Energy Mix'!$P$15=0,0,AG112*'II. Inputs, Baseline Energy Mix'!$P$105*(1+'II. Inputs, Baseline Energy Mix'!$P$106)^('IV. LCOE, Baseline Energy Mix'!AG$13-1))</f>
        <v>0</v>
      </c>
      <c r="AH118" s="1255">
        <f>IF('II. Inputs, Baseline Energy Mix'!$P$15=0,0,AH112*'II. Inputs, Baseline Energy Mix'!$P$105*(1+'II. Inputs, Baseline Energy Mix'!$P$106)^('IV. LCOE, Baseline Energy Mix'!AH$13-1))</f>
        <v>0</v>
      </c>
      <c r="AI118" s="1255">
        <f>IF('II. Inputs, Baseline Energy Mix'!$P$15=0,0,AI112*'II. Inputs, Baseline Energy Mix'!$P$105*(1+'II. Inputs, Baseline Energy Mix'!$P$106)^('IV. LCOE, Baseline Energy Mix'!AI$13-1))</f>
        <v>0</v>
      </c>
      <c r="AJ118" s="1255">
        <f>IF('II. Inputs, Baseline Energy Mix'!$P$15=0,0,AJ112*'II. Inputs, Baseline Energy Mix'!$P$105*(1+'II. Inputs, Baseline Energy Mix'!$P$106)^('IV. LCOE, Baseline Energy Mix'!AJ$13-1))</f>
        <v>0</v>
      </c>
      <c r="AK118" s="1255">
        <f>IF('II. Inputs, Baseline Energy Mix'!$P$15=0,0,AK112*'II. Inputs, Baseline Energy Mix'!$P$105*(1+'II. Inputs, Baseline Energy Mix'!$P$106)^('IV. LCOE, Baseline Energy Mix'!AK$13-1))</f>
        <v>0</v>
      </c>
      <c r="AL118" s="1255">
        <f>IF('II. Inputs, Baseline Energy Mix'!$P$15=0,0,AL112*'II. Inputs, Baseline Energy Mix'!$P$105*(1+'II. Inputs, Baseline Energy Mix'!$P$106)^('IV. LCOE, Baseline Energy Mix'!AL$13-1))</f>
        <v>0</v>
      </c>
      <c r="AM118" s="1255">
        <f>IF('II. Inputs, Baseline Energy Mix'!$P$15=0,0,AM112*'II. Inputs, Baseline Energy Mix'!$P$105*(1+'II. Inputs, Baseline Energy Mix'!$P$106)^('IV. LCOE, Baseline Energy Mix'!AM$13-1))</f>
        <v>0</v>
      </c>
      <c r="AN118" s="1255">
        <f>IF('II. Inputs, Baseline Energy Mix'!$P$15=0,0,AN112*'II. Inputs, Baseline Energy Mix'!$P$105*(1+'II. Inputs, Baseline Energy Mix'!$P$106)^('IV. LCOE, Baseline Energy Mix'!AN$13-1))</f>
        <v>0</v>
      </c>
      <c r="AO118" s="1255">
        <f>IF('II. Inputs, Baseline Energy Mix'!$P$15=0,0,AO112*'II. Inputs, Baseline Energy Mix'!$P$105*(1+'II. Inputs, Baseline Energy Mix'!$P$106)^('IV. LCOE, Baseline Energy Mix'!AO$13-1))</f>
        <v>0</v>
      </c>
      <c r="AP118" s="1255">
        <f>IF('II. Inputs, Baseline Energy Mix'!$P$15=0,0,AP112*'II. Inputs, Baseline Energy Mix'!$P$105*(1+'II. Inputs, Baseline Energy Mix'!$P$106)^('IV. LCOE, Baseline Energy Mix'!AP$13-1))</f>
        <v>0</v>
      </c>
      <c r="AQ118" s="1255">
        <f>IF('II. Inputs, Baseline Energy Mix'!$P$15=0,0,AQ112*'II. Inputs, Baseline Energy Mix'!$P$105*(1+'II. Inputs, Baseline Energy Mix'!$P$106)^('IV. LCOE, Baseline Energy Mix'!AQ$13-1))</f>
        <v>0</v>
      </c>
      <c r="AR118" s="1255">
        <f>IF('II. Inputs, Baseline Energy Mix'!$P$15=0,0,AR112*'II. Inputs, Baseline Energy Mix'!$P$105*(1+'II. Inputs, Baseline Energy Mix'!$P$106)^('IV. LCOE, Baseline Energy Mix'!AR$13-1))</f>
        <v>0</v>
      </c>
      <c r="AS118" s="1255">
        <f>IF('II. Inputs, Baseline Energy Mix'!$P$15=0,0,AS112*'II. Inputs, Baseline Energy Mix'!$P$105*(1+'II. Inputs, Baseline Energy Mix'!$P$106)^('IV. LCOE, Baseline Energy Mix'!AS$13-1))</f>
        <v>0</v>
      </c>
      <c r="AT118" s="1255">
        <f>IF('II. Inputs, Baseline Energy Mix'!$P$15=0,0,AT112*'II. Inputs, Baseline Energy Mix'!$P$105*(1+'II. Inputs, Baseline Energy Mix'!$P$106)^('IV. LCOE, Baseline Energy Mix'!AT$13-1))</f>
        <v>0</v>
      </c>
      <c r="AU118" s="1255">
        <f>IF('II. Inputs, Baseline Energy Mix'!$P$15=0,0,AU112*'II. Inputs, Baseline Energy Mix'!$P$105*(1+'II. Inputs, Baseline Energy Mix'!$P$106)^('IV. LCOE, Baseline Energy Mix'!AU$13-1))</f>
        <v>0</v>
      </c>
      <c r="AV118" s="1255">
        <f>IF('II. Inputs, Baseline Energy Mix'!$P$15=0,0,AV112*'II. Inputs, Baseline Energy Mix'!$P$105*(1+'II. Inputs, Baseline Energy Mix'!$P$106)^('IV. LCOE, Baseline Energy Mix'!AV$13-1))</f>
        <v>0</v>
      </c>
      <c r="AW118" s="1255">
        <f>IF('II. Inputs, Baseline Energy Mix'!$P$15=0,0,AW112*'II. Inputs, Baseline Energy Mix'!$P$105*(1+'II. Inputs, Baseline Energy Mix'!$P$106)^('IV. LCOE, Baseline Energy Mix'!AW$13-1))</f>
        <v>0</v>
      </c>
      <c r="AX118" s="1255">
        <f>IF('II. Inputs, Baseline Energy Mix'!$P$15=0,0,AX112*'II. Inputs, Baseline Energy Mix'!$P$105*(1+'II. Inputs, Baseline Energy Mix'!$P$106)^('IV. LCOE, Baseline Energy Mix'!AX$13-1))</f>
        <v>0</v>
      </c>
      <c r="AY118" s="1255">
        <f>IF('II. Inputs, Baseline Energy Mix'!$P$15=0,0,AY112*'II. Inputs, Baseline Energy Mix'!$P$105*(1+'II. Inputs, Baseline Energy Mix'!$P$106)^('IV. LCOE, Baseline Energy Mix'!AY$13-1))</f>
        <v>0</v>
      </c>
      <c r="AZ118" s="1255">
        <f>IF('II. Inputs, Baseline Energy Mix'!$P$15=0,0,AZ112*'II. Inputs, Baseline Energy Mix'!$P$105*(1+'II. Inputs, Baseline Energy Mix'!$P$106)^('IV. LCOE, Baseline Energy Mix'!AZ$13-1))</f>
        <v>0</v>
      </c>
      <c r="BA118" s="1255">
        <f>IF('II. Inputs, Baseline Energy Mix'!$P$15=0,0,BA112*'II. Inputs, Baseline Energy Mix'!$P$105*(1+'II. Inputs, Baseline Energy Mix'!$P$106)^('IV. LCOE, Baseline Energy Mix'!BA$13-1))</f>
        <v>0</v>
      </c>
      <c r="BB118" s="1255">
        <f>IF('II. Inputs, Baseline Energy Mix'!$P$15=0,0,BB112*'II. Inputs, Baseline Energy Mix'!$P$105*(1+'II. Inputs, Baseline Energy Mix'!$P$106)^('IV. LCOE, Baseline Energy Mix'!BB$13-1))</f>
        <v>0</v>
      </c>
      <c r="BC118" s="1255">
        <f>IF('II. Inputs, Baseline Energy Mix'!$P$15=0,0,BC112*'II. Inputs, Baseline Energy Mix'!$P$105*(1+'II. Inputs, Baseline Energy Mix'!$P$106)^('IV. LCOE, Baseline Energy Mix'!BC$13-1))</f>
        <v>0</v>
      </c>
      <c r="BD118" s="1255">
        <f>IF('II. Inputs, Baseline Energy Mix'!$P$15=0,0,BD112*'II. Inputs, Baseline Energy Mix'!$P$105*(1+'II. Inputs, Baseline Energy Mix'!$P$106)^('IV. LCOE, Baseline Energy Mix'!BD$13-1))</f>
        <v>0</v>
      </c>
      <c r="BE118" s="1256">
        <f>IF('II. Inputs, Baseline Energy Mix'!$P$15=0,0,BE112*'II. Inputs, Baseline Energy Mix'!$P$105*(1+'II. Inputs, Baseline Energy Mix'!$P$106)^('IV. LCOE, Baseline Energy Mix'!BE$13-1))</f>
        <v>0</v>
      </c>
    </row>
    <row r="119" spans="2:57" x14ac:dyDescent="0.25">
      <c r="B119" s="278"/>
      <c r="C119" s="279"/>
      <c r="D119" s="279"/>
      <c r="E119" s="282"/>
      <c r="F119" s="282"/>
      <c r="G119" s="279"/>
      <c r="H119" s="1255"/>
      <c r="I119" s="1255"/>
      <c r="J119" s="1255"/>
      <c r="K119" s="1255"/>
      <c r="L119" s="1255"/>
      <c r="M119" s="1255"/>
      <c r="N119" s="1255"/>
      <c r="O119" s="1255"/>
      <c r="P119" s="1255"/>
      <c r="Q119" s="1255"/>
      <c r="R119" s="1255"/>
      <c r="S119" s="1255"/>
      <c r="T119" s="1255"/>
      <c r="U119" s="1255"/>
      <c r="V119" s="1255"/>
      <c r="W119" s="1255"/>
      <c r="X119" s="1255"/>
      <c r="Y119" s="1255"/>
      <c r="Z119" s="1255"/>
      <c r="AA119" s="1255"/>
      <c r="AB119" s="1255"/>
      <c r="AC119" s="1255"/>
      <c r="AD119" s="1255"/>
      <c r="AE119" s="1255"/>
      <c r="AF119" s="1255"/>
      <c r="AG119" s="1255"/>
      <c r="AH119" s="1255"/>
      <c r="AI119" s="1255"/>
      <c r="AJ119" s="1255"/>
      <c r="AK119" s="1255"/>
      <c r="AL119" s="1255"/>
      <c r="AM119" s="1255"/>
      <c r="AN119" s="1255"/>
      <c r="AO119" s="1255"/>
      <c r="AP119" s="1255"/>
      <c r="AQ119" s="1255"/>
      <c r="AR119" s="1255"/>
      <c r="AS119" s="1255"/>
      <c r="AT119" s="1255"/>
      <c r="AU119" s="1255"/>
      <c r="AV119" s="1255"/>
      <c r="AW119" s="1255"/>
      <c r="AX119" s="1255"/>
      <c r="AY119" s="1255"/>
      <c r="AZ119" s="1255"/>
      <c r="BA119" s="1255"/>
      <c r="BB119" s="1255"/>
      <c r="BC119" s="1255"/>
      <c r="BD119" s="1255"/>
      <c r="BE119" s="1256"/>
    </row>
    <row r="120" spans="2:57" x14ac:dyDescent="0.25">
      <c r="B120" s="278" t="s">
        <v>38</v>
      </c>
      <c r="C120" s="279"/>
      <c r="D120" s="279"/>
      <c r="E120" s="282"/>
      <c r="F120" s="282" t="s">
        <v>632</v>
      </c>
      <c r="G120" s="279"/>
      <c r="H120" s="1255">
        <f>IF('II. Inputs, Baseline Energy Mix'!$P$96="Model Default",'IV. LCOE, Baseline Energy Mix'!H121,IF('II. Inputs, Baseline Energy Mix'!$P$96="User-defined, annually adjusted",'IV. LCOE, Baseline Energy Mix'!H122,IF('II. Inputs, Baseline Energy Mix'!$P$96="Manual Entry",'IV. LCOE, Baseline Energy Mix'!H124,H123)))</f>
        <v>0</v>
      </c>
      <c r="I120" s="1255">
        <f>IF('II. Inputs, Baseline Energy Mix'!$P$96="Model Default",'IV. LCOE, Baseline Energy Mix'!I121,IF('II. Inputs, Baseline Energy Mix'!$P$96="User-defined, annually adjusted",'IV. LCOE, Baseline Energy Mix'!I122,IF('II. Inputs, Baseline Energy Mix'!$P$96="Manual Entry",'IV. LCOE, Baseline Energy Mix'!I124,I123)))</f>
        <v>0</v>
      </c>
      <c r="J120" s="1255">
        <f>IF('II. Inputs, Baseline Energy Mix'!$P$96="Model Default",'IV. LCOE, Baseline Energy Mix'!J121,IF('II. Inputs, Baseline Energy Mix'!$P$96="User-defined, annually adjusted",'IV. LCOE, Baseline Energy Mix'!J122,IF('II. Inputs, Baseline Energy Mix'!$P$96="Manual Entry",'IV. LCOE, Baseline Energy Mix'!J124,J123)))</f>
        <v>0</v>
      </c>
      <c r="K120" s="1255">
        <f>IF('II. Inputs, Baseline Energy Mix'!$P$96="Model Default",'IV. LCOE, Baseline Energy Mix'!K121,IF('II. Inputs, Baseline Energy Mix'!$P$96="User-defined, annually adjusted",'IV. LCOE, Baseline Energy Mix'!K122,IF('II. Inputs, Baseline Energy Mix'!$P$96="Manual Entry",'IV. LCOE, Baseline Energy Mix'!K124,K123)))</f>
        <v>0</v>
      </c>
      <c r="L120" s="1255">
        <f>IF('II. Inputs, Baseline Energy Mix'!$P$96="Model Default",'IV. LCOE, Baseline Energy Mix'!L121,IF('II. Inputs, Baseline Energy Mix'!$P$96="User-defined, annually adjusted",'IV. LCOE, Baseline Energy Mix'!L122,IF('II. Inputs, Baseline Energy Mix'!$P$96="Manual Entry",'IV. LCOE, Baseline Energy Mix'!L124,L123)))</f>
        <v>0</v>
      </c>
      <c r="M120" s="1255">
        <f>IF('II. Inputs, Baseline Energy Mix'!$P$96="Model Default",'IV. LCOE, Baseline Energy Mix'!M121,IF('II. Inputs, Baseline Energy Mix'!$P$96="User-defined, annually adjusted",'IV. LCOE, Baseline Energy Mix'!M122,IF('II. Inputs, Baseline Energy Mix'!$P$96="Manual Entry",'IV. LCOE, Baseline Energy Mix'!M124,M123)))</f>
        <v>0</v>
      </c>
      <c r="N120" s="1255">
        <f>IF('II. Inputs, Baseline Energy Mix'!$P$96="Model Default",'IV. LCOE, Baseline Energy Mix'!N121,IF('II. Inputs, Baseline Energy Mix'!$P$96="User-defined, annually adjusted",'IV. LCOE, Baseline Energy Mix'!N122,IF('II. Inputs, Baseline Energy Mix'!$P$96="Manual Entry",'IV. LCOE, Baseline Energy Mix'!N124,N123)))</f>
        <v>0</v>
      </c>
      <c r="O120" s="1255">
        <f>IF('II. Inputs, Baseline Energy Mix'!$P$96="Model Default",'IV. LCOE, Baseline Energy Mix'!O121,IF('II. Inputs, Baseline Energy Mix'!$P$96="User-defined, annually adjusted",'IV. LCOE, Baseline Energy Mix'!O122,IF('II. Inputs, Baseline Energy Mix'!$P$96="Manual Entry",'IV. LCOE, Baseline Energy Mix'!O124,O123)))</f>
        <v>0</v>
      </c>
      <c r="P120" s="1255">
        <f>IF('II. Inputs, Baseline Energy Mix'!$P$96="Model Default",'IV. LCOE, Baseline Energy Mix'!P121,IF('II. Inputs, Baseline Energy Mix'!$P$96="User-defined, annually adjusted",'IV. LCOE, Baseline Energy Mix'!P122,IF('II. Inputs, Baseline Energy Mix'!$P$96="Manual Entry",'IV. LCOE, Baseline Energy Mix'!P124,P123)))</f>
        <v>0</v>
      </c>
      <c r="Q120" s="1255">
        <f>IF('II. Inputs, Baseline Energy Mix'!$P$96="Model Default",'IV. LCOE, Baseline Energy Mix'!Q121,IF('II. Inputs, Baseline Energy Mix'!$P$96="User-defined, annually adjusted",'IV. LCOE, Baseline Energy Mix'!Q122,IF('II. Inputs, Baseline Energy Mix'!$P$96="Manual Entry",'IV. LCOE, Baseline Energy Mix'!Q124,Q123)))</f>
        <v>0</v>
      </c>
      <c r="R120" s="1255">
        <f>IF('II. Inputs, Baseline Energy Mix'!$P$96="Model Default",'IV. LCOE, Baseline Energy Mix'!R121,IF('II. Inputs, Baseline Energy Mix'!$P$96="User-defined, annually adjusted",'IV. LCOE, Baseline Energy Mix'!R122,IF('II. Inputs, Baseline Energy Mix'!$P$96="Manual Entry",'IV. LCOE, Baseline Energy Mix'!R124,R123)))</f>
        <v>0</v>
      </c>
      <c r="S120" s="1255">
        <f>IF('II. Inputs, Baseline Energy Mix'!$P$96="Model Default",'IV. LCOE, Baseline Energy Mix'!S121,IF('II. Inputs, Baseline Energy Mix'!$P$96="User-defined, annually adjusted",'IV. LCOE, Baseline Energy Mix'!S122,IF('II. Inputs, Baseline Energy Mix'!$P$96="Manual Entry",'IV. LCOE, Baseline Energy Mix'!S124,S123)))</f>
        <v>0</v>
      </c>
      <c r="T120" s="1255">
        <f>IF('II. Inputs, Baseline Energy Mix'!$P$96="Model Default",'IV. LCOE, Baseline Energy Mix'!T121,IF('II. Inputs, Baseline Energy Mix'!$P$96="User-defined, annually adjusted",'IV. LCOE, Baseline Energy Mix'!T122,IF('II. Inputs, Baseline Energy Mix'!$P$96="Manual Entry",'IV. LCOE, Baseline Energy Mix'!T124,T123)))</f>
        <v>0</v>
      </c>
      <c r="U120" s="1255">
        <f>IF('II. Inputs, Baseline Energy Mix'!$P$96="Model Default",'IV. LCOE, Baseline Energy Mix'!U121,IF('II. Inputs, Baseline Energy Mix'!$P$96="User-defined, annually adjusted",'IV. LCOE, Baseline Energy Mix'!U122,IF('II. Inputs, Baseline Energy Mix'!$P$96="Manual Entry",'IV. LCOE, Baseline Energy Mix'!U124,U123)))</f>
        <v>0</v>
      </c>
      <c r="V120" s="1255">
        <f>IF('II. Inputs, Baseline Energy Mix'!$P$96="Model Default",'IV. LCOE, Baseline Energy Mix'!V121,IF('II. Inputs, Baseline Energy Mix'!$P$96="User-defined, annually adjusted",'IV. LCOE, Baseline Energy Mix'!V122,IF('II. Inputs, Baseline Energy Mix'!$P$96="Manual Entry",'IV. LCOE, Baseline Energy Mix'!V124,V123)))</f>
        <v>0</v>
      </c>
      <c r="W120" s="1255">
        <f>IF('II. Inputs, Baseline Energy Mix'!$P$96="Model Default",'IV. LCOE, Baseline Energy Mix'!W121,IF('II. Inputs, Baseline Energy Mix'!$P$96="User-defined, annually adjusted",'IV. LCOE, Baseline Energy Mix'!W122,IF('II. Inputs, Baseline Energy Mix'!$P$96="Manual Entry",'IV. LCOE, Baseline Energy Mix'!W124,W123)))</f>
        <v>0</v>
      </c>
      <c r="X120" s="1255">
        <f>IF('II. Inputs, Baseline Energy Mix'!$P$96="Model Default",'IV. LCOE, Baseline Energy Mix'!X121,IF('II. Inputs, Baseline Energy Mix'!$P$96="User-defined, annually adjusted",'IV. LCOE, Baseline Energy Mix'!X122,IF('II. Inputs, Baseline Energy Mix'!$P$96="Manual Entry",'IV. LCOE, Baseline Energy Mix'!X124,X123)))</f>
        <v>0</v>
      </c>
      <c r="Y120" s="1255">
        <f>IF('II. Inputs, Baseline Energy Mix'!$P$96="Model Default",'IV. LCOE, Baseline Energy Mix'!Y121,IF('II. Inputs, Baseline Energy Mix'!$P$96="User-defined, annually adjusted",'IV. LCOE, Baseline Energy Mix'!Y122,IF('II. Inputs, Baseline Energy Mix'!$P$96="Manual Entry",'IV. LCOE, Baseline Energy Mix'!Y124,Y123)))</f>
        <v>0</v>
      </c>
      <c r="Z120" s="1255">
        <f>IF('II. Inputs, Baseline Energy Mix'!$P$96="Model Default",'IV. LCOE, Baseline Energy Mix'!Z121,IF('II. Inputs, Baseline Energy Mix'!$P$96="User-defined, annually adjusted",'IV. LCOE, Baseline Energy Mix'!Z122,IF('II. Inputs, Baseline Energy Mix'!$P$96="Manual Entry",'IV. LCOE, Baseline Energy Mix'!Z124,Z123)))</f>
        <v>0</v>
      </c>
      <c r="AA120" s="1255">
        <f>IF('II. Inputs, Baseline Energy Mix'!$P$96="Model Default",'IV. LCOE, Baseline Energy Mix'!AA121,IF('II. Inputs, Baseline Energy Mix'!$P$96="User-defined, annually adjusted",'IV. LCOE, Baseline Energy Mix'!AA122,IF('II. Inputs, Baseline Energy Mix'!$P$96="Manual Entry",'IV. LCOE, Baseline Energy Mix'!AA124,AA123)))</f>
        <v>0</v>
      </c>
      <c r="AB120" s="1255">
        <f>IF('II. Inputs, Baseline Energy Mix'!$P$96="Model Default",'IV. LCOE, Baseline Energy Mix'!AB121,IF('II. Inputs, Baseline Energy Mix'!$P$96="User-defined, annually adjusted",'IV. LCOE, Baseline Energy Mix'!AB122,IF('II. Inputs, Baseline Energy Mix'!$P$96="Manual Entry",'IV. LCOE, Baseline Energy Mix'!AB124,AB123)))</f>
        <v>0</v>
      </c>
      <c r="AC120" s="1255">
        <f>IF('II. Inputs, Baseline Energy Mix'!$P$96="Model Default",'IV. LCOE, Baseline Energy Mix'!AC121,IF('II. Inputs, Baseline Energy Mix'!$P$96="User-defined, annually adjusted",'IV. LCOE, Baseline Energy Mix'!AC122,IF('II. Inputs, Baseline Energy Mix'!$P$96="Manual Entry",'IV. LCOE, Baseline Energy Mix'!AC124,AC123)))</f>
        <v>0</v>
      </c>
      <c r="AD120" s="1255">
        <f>IF('II. Inputs, Baseline Energy Mix'!$P$96="Model Default",'IV. LCOE, Baseline Energy Mix'!AD121,IF('II. Inputs, Baseline Energy Mix'!$P$96="User-defined, annually adjusted",'IV. LCOE, Baseline Energy Mix'!AD122,IF('II. Inputs, Baseline Energy Mix'!$P$96="Manual Entry",'IV. LCOE, Baseline Energy Mix'!AD124,AD123)))</f>
        <v>0</v>
      </c>
      <c r="AE120" s="1255">
        <f>IF('II. Inputs, Baseline Energy Mix'!$P$96="Model Default",'IV. LCOE, Baseline Energy Mix'!AE121,IF('II. Inputs, Baseline Energy Mix'!$P$96="User-defined, annually adjusted",'IV. LCOE, Baseline Energy Mix'!AE122,IF('II. Inputs, Baseline Energy Mix'!$P$96="Manual Entry",'IV. LCOE, Baseline Energy Mix'!AE124,AE123)))</f>
        <v>0</v>
      </c>
      <c r="AF120" s="1255">
        <f>IF('II. Inputs, Baseline Energy Mix'!$P$96="Model Default",'IV. LCOE, Baseline Energy Mix'!AF121,IF('II. Inputs, Baseline Energy Mix'!$P$96="User-defined, annually adjusted",'IV. LCOE, Baseline Energy Mix'!AF122,IF('II. Inputs, Baseline Energy Mix'!$P$96="Manual Entry",'IV. LCOE, Baseline Energy Mix'!AF124,AF123)))</f>
        <v>0</v>
      </c>
      <c r="AG120" s="1255">
        <f>IF('II. Inputs, Baseline Energy Mix'!$P$96="Model Default",'IV. LCOE, Baseline Energy Mix'!AG121,IF('II. Inputs, Baseline Energy Mix'!$P$96="User-defined, annually adjusted",'IV. LCOE, Baseline Energy Mix'!AG122,IF('II. Inputs, Baseline Energy Mix'!$P$96="Manual Entry",'IV. LCOE, Baseline Energy Mix'!AG124,AG123)))</f>
        <v>0</v>
      </c>
      <c r="AH120" s="1255">
        <f>IF('II. Inputs, Baseline Energy Mix'!$P$96="Model Default",'IV. LCOE, Baseline Energy Mix'!AH121,IF('II. Inputs, Baseline Energy Mix'!$P$96="User-defined, annually adjusted",'IV. LCOE, Baseline Energy Mix'!AH122,IF('II. Inputs, Baseline Energy Mix'!$P$96="Manual Entry",'IV. LCOE, Baseline Energy Mix'!AH124,AH123)))</f>
        <v>0</v>
      </c>
      <c r="AI120" s="1255">
        <f>IF('II. Inputs, Baseline Energy Mix'!$P$96="Model Default",'IV. LCOE, Baseline Energy Mix'!AI121,IF('II. Inputs, Baseline Energy Mix'!$P$96="User-defined, annually adjusted",'IV. LCOE, Baseline Energy Mix'!AI122,IF('II. Inputs, Baseline Energy Mix'!$P$96="Manual Entry",'IV. LCOE, Baseline Energy Mix'!AI124,AI123)))</f>
        <v>0</v>
      </c>
      <c r="AJ120" s="1255">
        <f>IF('II. Inputs, Baseline Energy Mix'!$P$96="Model Default",'IV. LCOE, Baseline Energy Mix'!AJ121,IF('II. Inputs, Baseline Energy Mix'!$P$96="User-defined, annually adjusted",'IV. LCOE, Baseline Energy Mix'!AJ122,IF('II. Inputs, Baseline Energy Mix'!$P$96="Manual Entry",'IV. LCOE, Baseline Energy Mix'!AJ124,AJ123)))</f>
        <v>0</v>
      </c>
      <c r="AK120" s="1255">
        <f>IF('II. Inputs, Baseline Energy Mix'!$P$96="Model Default",'IV. LCOE, Baseline Energy Mix'!AK121,IF('II. Inputs, Baseline Energy Mix'!$P$96="User-defined, annually adjusted",'IV. LCOE, Baseline Energy Mix'!AK122,IF('II. Inputs, Baseline Energy Mix'!$P$96="Manual Entry",'IV. LCOE, Baseline Energy Mix'!AK124,AK123)))</f>
        <v>0</v>
      </c>
      <c r="AL120" s="1255">
        <f>IF('II. Inputs, Baseline Energy Mix'!$P$96="Model Default",'IV. LCOE, Baseline Energy Mix'!AL121,IF('II. Inputs, Baseline Energy Mix'!$P$96="User-defined, annually adjusted",'IV. LCOE, Baseline Energy Mix'!AL122,IF('II. Inputs, Baseline Energy Mix'!$P$96="Manual Entry",'IV. LCOE, Baseline Energy Mix'!AL124,AL123)))</f>
        <v>0</v>
      </c>
      <c r="AM120" s="1255">
        <f>IF('II. Inputs, Baseline Energy Mix'!$P$96="Model Default",'IV. LCOE, Baseline Energy Mix'!AM121,IF('II. Inputs, Baseline Energy Mix'!$P$96="User-defined, annually adjusted",'IV. LCOE, Baseline Energy Mix'!AM122,IF('II. Inputs, Baseline Energy Mix'!$P$96="Manual Entry",'IV. LCOE, Baseline Energy Mix'!AM124,AM123)))</f>
        <v>0</v>
      </c>
      <c r="AN120" s="1255">
        <f>IF('II. Inputs, Baseline Energy Mix'!$P$96="Model Default",'IV. LCOE, Baseline Energy Mix'!AN121,IF('II. Inputs, Baseline Energy Mix'!$P$96="User-defined, annually adjusted",'IV. LCOE, Baseline Energy Mix'!AN122,IF('II. Inputs, Baseline Energy Mix'!$P$96="Manual Entry",'IV. LCOE, Baseline Energy Mix'!AN124,AN123)))</f>
        <v>0</v>
      </c>
      <c r="AO120" s="1255">
        <f>IF('II. Inputs, Baseline Energy Mix'!$P$96="Model Default",'IV. LCOE, Baseline Energy Mix'!AO121,IF('II. Inputs, Baseline Energy Mix'!$P$96="User-defined, annually adjusted",'IV. LCOE, Baseline Energy Mix'!AO122,IF('II. Inputs, Baseline Energy Mix'!$P$96="Manual Entry",'IV. LCOE, Baseline Energy Mix'!AO124,AO123)))</f>
        <v>0</v>
      </c>
      <c r="AP120" s="1255">
        <f>IF('II. Inputs, Baseline Energy Mix'!$P$96="Model Default",'IV. LCOE, Baseline Energy Mix'!AP121,IF('II. Inputs, Baseline Energy Mix'!$P$96="User-defined, annually adjusted",'IV. LCOE, Baseline Energy Mix'!AP122,IF('II. Inputs, Baseline Energy Mix'!$P$96="Manual Entry",'IV. LCOE, Baseline Energy Mix'!AP124,AP123)))</f>
        <v>0</v>
      </c>
      <c r="AQ120" s="1255">
        <f>IF('II. Inputs, Baseline Energy Mix'!$P$96="Model Default",'IV. LCOE, Baseline Energy Mix'!AQ121,IF('II. Inputs, Baseline Energy Mix'!$P$96="User-defined, annually adjusted",'IV. LCOE, Baseline Energy Mix'!AQ122,IF('II. Inputs, Baseline Energy Mix'!$P$96="Manual Entry",'IV. LCOE, Baseline Energy Mix'!AQ124,AQ123)))</f>
        <v>0</v>
      </c>
      <c r="AR120" s="1261">
        <f>IF('II. Inputs, Baseline Energy Mix'!$P$96="Model Default",'IV. LCOE, Baseline Energy Mix'!AR121,IF('II. Inputs, Baseline Energy Mix'!$P$96="User-defined, annually adjusted",'IV. LCOE, Baseline Energy Mix'!AR122,IF('II. Inputs, Baseline Energy Mix'!$P$96="Manual Entry",'IV. LCOE, Baseline Energy Mix'!AR124,AR123)))</f>
        <v>0</v>
      </c>
      <c r="AS120" s="1261">
        <f>IF('II. Inputs, Baseline Energy Mix'!$P$96="Model Default",'IV. LCOE, Baseline Energy Mix'!AS121,IF('II. Inputs, Baseline Energy Mix'!$P$96="User-defined, annually adjusted",'IV. LCOE, Baseline Energy Mix'!AS122,IF('II. Inputs, Baseline Energy Mix'!$P$96="Manual Entry",'IV. LCOE, Baseline Energy Mix'!AS124,AS123)))</f>
        <v>0</v>
      </c>
      <c r="AT120" s="1261">
        <f>IF('II. Inputs, Baseline Energy Mix'!$P$96="Model Default",'IV. LCOE, Baseline Energy Mix'!AT121,IF('II. Inputs, Baseline Energy Mix'!$P$96="User-defined, annually adjusted",'IV. LCOE, Baseline Energy Mix'!AT122,IF('II. Inputs, Baseline Energy Mix'!$P$96="Manual Entry",'IV. LCOE, Baseline Energy Mix'!AT124,AT123)))</f>
        <v>0</v>
      </c>
      <c r="AU120" s="1261">
        <f>IF('II. Inputs, Baseline Energy Mix'!$P$96="Model Default",'IV. LCOE, Baseline Energy Mix'!AU121,IF('II. Inputs, Baseline Energy Mix'!$P$96="User-defined, annually adjusted",'IV. LCOE, Baseline Energy Mix'!AU122,IF('II. Inputs, Baseline Energy Mix'!$P$96="Manual Entry",'IV. LCOE, Baseline Energy Mix'!AU124,AU123)))</f>
        <v>0</v>
      </c>
      <c r="AV120" s="1261">
        <f>IF('II. Inputs, Baseline Energy Mix'!$P$96="Model Default",'IV. LCOE, Baseline Energy Mix'!AV121,IF('II. Inputs, Baseline Energy Mix'!$P$96="User-defined, annually adjusted",'IV. LCOE, Baseline Energy Mix'!AV122,IF('II. Inputs, Baseline Energy Mix'!$P$96="Manual Entry",'IV. LCOE, Baseline Energy Mix'!AV124,AV123)))</f>
        <v>0</v>
      </c>
      <c r="AW120" s="1261">
        <f>IF('II. Inputs, Baseline Energy Mix'!$P$96="Model Default",'IV. LCOE, Baseline Energy Mix'!AW121,IF('II. Inputs, Baseline Energy Mix'!$P$96="User-defined, annually adjusted",'IV. LCOE, Baseline Energy Mix'!AW122,IF('II. Inputs, Baseline Energy Mix'!$P$96="Manual Entry",'IV. LCOE, Baseline Energy Mix'!AW124,AW123)))</f>
        <v>0</v>
      </c>
      <c r="AX120" s="1261">
        <f>IF('II. Inputs, Baseline Energy Mix'!$P$96="Model Default",'IV. LCOE, Baseline Energy Mix'!AX121,IF('II. Inputs, Baseline Energy Mix'!$P$96="User-defined, annually adjusted",'IV. LCOE, Baseline Energy Mix'!AX122,IF('II. Inputs, Baseline Energy Mix'!$P$96="Manual Entry",'IV. LCOE, Baseline Energy Mix'!AX124,AX123)))</f>
        <v>0</v>
      </c>
      <c r="AY120" s="1261">
        <f>IF('II. Inputs, Baseline Energy Mix'!$P$96="Model Default",'IV. LCOE, Baseline Energy Mix'!AY121,IF('II. Inputs, Baseline Energy Mix'!$P$96="User-defined, annually adjusted",'IV. LCOE, Baseline Energy Mix'!AY122,IF('II. Inputs, Baseline Energy Mix'!$P$96="Manual Entry",'IV. LCOE, Baseline Energy Mix'!AY124,AY123)))</f>
        <v>0</v>
      </c>
      <c r="AZ120" s="1261">
        <f>IF('II. Inputs, Baseline Energy Mix'!$P$96="Model Default",'IV. LCOE, Baseline Energy Mix'!AZ121,IF('II. Inputs, Baseline Energy Mix'!$P$96="User-defined, annually adjusted",'IV. LCOE, Baseline Energy Mix'!AZ122,IF('II. Inputs, Baseline Energy Mix'!$P$96="Manual Entry",'IV. LCOE, Baseline Energy Mix'!AZ124,AZ123)))</f>
        <v>0</v>
      </c>
      <c r="BA120" s="1261">
        <f>IF('II. Inputs, Baseline Energy Mix'!$P$96="Model Default",'IV. LCOE, Baseline Energy Mix'!BA121,IF('II. Inputs, Baseline Energy Mix'!$P$96="User-defined, annually adjusted",'IV. LCOE, Baseline Energy Mix'!BA122,IF('II. Inputs, Baseline Energy Mix'!$P$96="Manual Entry",'IV. LCOE, Baseline Energy Mix'!BA124,BA123)))</f>
        <v>0</v>
      </c>
      <c r="BB120" s="1261">
        <f>IF('II. Inputs, Baseline Energy Mix'!$P$96="Model Default",'IV. LCOE, Baseline Energy Mix'!BB121,IF('II. Inputs, Baseline Energy Mix'!$P$96="User-defined, annually adjusted",'IV. LCOE, Baseline Energy Mix'!BB122,IF('II. Inputs, Baseline Energy Mix'!$P$96="Manual Entry",'IV. LCOE, Baseline Energy Mix'!BB124,BB123)))</f>
        <v>0</v>
      </c>
      <c r="BC120" s="1261">
        <f>IF('II. Inputs, Baseline Energy Mix'!$P$96="Model Default",'IV. LCOE, Baseline Energy Mix'!BC121,IF('II. Inputs, Baseline Energy Mix'!$P$96="User-defined, annually adjusted",'IV. LCOE, Baseline Energy Mix'!BC122,IF('II. Inputs, Baseline Energy Mix'!$P$96="Manual Entry",'IV. LCOE, Baseline Energy Mix'!BC124,BC123)))</f>
        <v>0</v>
      </c>
      <c r="BD120" s="1261">
        <f>IF('II. Inputs, Baseline Energy Mix'!$P$96="Model Default",'IV. LCOE, Baseline Energy Mix'!BD121,IF('II. Inputs, Baseline Energy Mix'!$P$96="User-defined, annually adjusted",'IV. LCOE, Baseline Energy Mix'!BD122,IF('II. Inputs, Baseline Energy Mix'!$P$96="Manual Entry",'IV. LCOE, Baseline Energy Mix'!BD124,BD123)))</f>
        <v>0</v>
      </c>
      <c r="BE120" s="1262">
        <f>IF('II. Inputs, Baseline Energy Mix'!$P$96="Model Default",'IV. LCOE, Baseline Energy Mix'!BE121,IF('II. Inputs, Baseline Energy Mix'!$P$96="User-defined, annually adjusted",'IV. LCOE, Baseline Energy Mix'!BE122,IF('II. Inputs, Baseline Energy Mix'!$P$96="Manual Entry",'IV. LCOE, Baseline Energy Mix'!BE124,BE123)))</f>
        <v>0</v>
      </c>
    </row>
    <row r="121" spans="2:57" outlineLevel="1" x14ac:dyDescent="0.25">
      <c r="B121" s="278"/>
      <c r="C121" s="279" t="s">
        <v>160</v>
      </c>
      <c r="D121" s="279"/>
      <c r="E121" s="282"/>
      <c r="F121" s="282"/>
      <c r="G121" s="279"/>
      <c r="H121" s="1255">
        <f>H112*VLOOKUP('IV. LCOE, Baseline Energy Mix'!H$13,'IX. Additional Data'!$C$17:$V$66,5, FALSE)</f>
        <v>0</v>
      </c>
      <c r="I121" s="1255">
        <f>I112*VLOOKUP('IV. LCOE, Baseline Energy Mix'!I$13,'IX. Additional Data'!$C$17:$V$66,5, FALSE)</f>
        <v>0</v>
      </c>
      <c r="J121" s="1255">
        <f>J112*VLOOKUP('IV. LCOE, Baseline Energy Mix'!J$13,'IX. Additional Data'!$C$17:$V$66,5, FALSE)</f>
        <v>0</v>
      </c>
      <c r="K121" s="1255">
        <f>K112*VLOOKUP('IV. LCOE, Baseline Energy Mix'!K$13,'IX. Additional Data'!$C$17:$V$66,5, FALSE)</f>
        <v>0</v>
      </c>
      <c r="L121" s="1255">
        <f>L112*VLOOKUP('IV. LCOE, Baseline Energy Mix'!L$13,'IX. Additional Data'!$C$17:$V$66,5, FALSE)</f>
        <v>0</v>
      </c>
      <c r="M121" s="1255">
        <f>M112*VLOOKUP('IV. LCOE, Baseline Energy Mix'!M$13,'IX. Additional Data'!$C$17:$V$66,5, FALSE)</f>
        <v>0</v>
      </c>
      <c r="N121" s="1255">
        <f>N112*VLOOKUP('IV. LCOE, Baseline Energy Mix'!N$13,'IX. Additional Data'!$C$17:$V$66,5, FALSE)</f>
        <v>0</v>
      </c>
      <c r="O121" s="1255">
        <f>O112*VLOOKUP('IV. LCOE, Baseline Energy Mix'!O$13,'IX. Additional Data'!$C$17:$V$66,5, FALSE)</f>
        <v>0</v>
      </c>
      <c r="P121" s="1255">
        <f>P112*VLOOKUP('IV. LCOE, Baseline Energy Mix'!P$13,'IX. Additional Data'!$C$17:$V$66,5, FALSE)</f>
        <v>0</v>
      </c>
      <c r="Q121" s="1255">
        <f>Q112*VLOOKUP('IV. LCOE, Baseline Energy Mix'!Q$13,'IX. Additional Data'!$C$17:$V$66,5, FALSE)</f>
        <v>0</v>
      </c>
      <c r="R121" s="1255">
        <f>R112*VLOOKUP('IV. LCOE, Baseline Energy Mix'!R$13,'IX. Additional Data'!$C$17:$V$66,5, FALSE)</f>
        <v>0</v>
      </c>
      <c r="S121" s="1255">
        <f>S112*VLOOKUP('IV. LCOE, Baseline Energy Mix'!S$13,'IX. Additional Data'!$C$17:$V$66,5, FALSE)</f>
        <v>0</v>
      </c>
      <c r="T121" s="1255">
        <f>T112*VLOOKUP('IV. LCOE, Baseline Energy Mix'!T$13,'IX. Additional Data'!$C$17:$V$66,5, FALSE)</f>
        <v>0</v>
      </c>
      <c r="U121" s="1255">
        <f>U112*VLOOKUP('IV. LCOE, Baseline Energy Mix'!U$13,'IX. Additional Data'!$C$17:$V$66,5, FALSE)</f>
        <v>0</v>
      </c>
      <c r="V121" s="1255">
        <f>V112*VLOOKUP('IV. LCOE, Baseline Energy Mix'!V$13,'IX. Additional Data'!$C$17:$V$66,5, FALSE)</f>
        <v>0</v>
      </c>
      <c r="W121" s="1255">
        <f>W112*VLOOKUP('IV. LCOE, Baseline Energy Mix'!W$13,'IX. Additional Data'!$C$17:$V$66,5, FALSE)</f>
        <v>0</v>
      </c>
      <c r="X121" s="1255">
        <f>X112*VLOOKUP('IV. LCOE, Baseline Energy Mix'!X$13,'IX. Additional Data'!$C$17:$V$66,5, FALSE)</f>
        <v>0</v>
      </c>
      <c r="Y121" s="1255">
        <f>Y112*VLOOKUP('IV. LCOE, Baseline Energy Mix'!Y$13,'IX. Additional Data'!$C$17:$V$66,5, FALSE)</f>
        <v>0</v>
      </c>
      <c r="Z121" s="1255">
        <f>Z112*VLOOKUP('IV. LCOE, Baseline Energy Mix'!Z$13,'IX. Additional Data'!$C$17:$V$66,5, FALSE)</f>
        <v>0</v>
      </c>
      <c r="AA121" s="1255">
        <f>AA112*VLOOKUP('IV. LCOE, Baseline Energy Mix'!AA$13,'IX. Additional Data'!$C$17:$V$66,5, FALSE)</f>
        <v>0</v>
      </c>
      <c r="AB121" s="1255">
        <f>AB112*VLOOKUP('IV. LCOE, Baseline Energy Mix'!AB$13,'IX. Additional Data'!$C$17:$V$66,5, FALSE)</f>
        <v>0</v>
      </c>
      <c r="AC121" s="1255">
        <f>AC112*VLOOKUP('IV. LCOE, Baseline Energy Mix'!AC$13,'IX. Additional Data'!$C$17:$V$66,5, FALSE)</f>
        <v>0</v>
      </c>
      <c r="AD121" s="1255">
        <f>AD112*VLOOKUP('IV. LCOE, Baseline Energy Mix'!AD$13,'IX. Additional Data'!$C$17:$V$66,5, FALSE)</f>
        <v>0</v>
      </c>
      <c r="AE121" s="1255">
        <f>AE112*VLOOKUP('IV. LCOE, Baseline Energy Mix'!AE$13,'IX. Additional Data'!$C$17:$V$66,5, FALSE)</f>
        <v>0</v>
      </c>
      <c r="AF121" s="1255">
        <f>AF112*VLOOKUP('IV. LCOE, Baseline Energy Mix'!AF$13,'IX. Additional Data'!$C$17:$V$66,5, FALSE)</f>
        <v>0</v>
      </c>
      <c r="AG121" s="1255">
        <f>AG112*VLOOKUP('IV. LCOE, Baseline Energy Mix'!AG$13,'IX. Additional Data'!$C$17:$V$66,5, FALSE)</f>
        <v>0</v>
      </c>
      <c r="AH121" s="1255">
        <f>AH112*VLOOKUP('IV. LCOE, Baseline Energy Mix'!AH$13,'IX. Additional Data'!$C$17:$V$66,5, FALSE)</f>
        <v>0</v>
      </c>
      <c r="AI121" s="1255">
        <f>AI112*VLOOKUP('IV. LCOE, Baseline Energy Mix'!AI$13,'IX. Additional Data'!$C$17:$V$66,5, FALSE)</f>
        <v>0</v>
      </c>
      <c r="AJ121" s="1255">
        <f>AJ112*VLOOKUP('IV. LCOE, Baseline Energy Mix'!AJ$13,'IX. Additional Data'!$C$17:$V$66,5, FALSE)</f>
        <v>0</v>
      </c>
      <c r="AK121" s="1255">
        <f>AK112*VLOOKUP('IV. LCOE, Baseline Energy Mix'!AK$13,'IX. Additional Data'!$C$17:$V$66,5, FALSE)</f>
        <v>0</v>
      </c>
      <c r="AL121" s="1255">
        <f>AL112*VLOOKUP('IV. LCOE, Baseline Energy Mix'!AL$13,'IX. Additional Data'!$C$17:$V$66,5, FALSE)</f>
        <v>0</v>
      </c>
      <c r="AM121" s="1255">
        <f>AM112*VLOOKUP('IV. LCOE, Baseline Energy Mix'!AM$13,'IX. Additional Data'!$C$17:$V$66,5, FALSE)</f>
        <v>0</v>
      </c>
      <c r="AN121" s="1255">
        <f>AN112*VLOOKUP('IV. LCOE, Baseline Energy Mix'!AN$13,'IX. Additional Data'!$C$17:$V$66,5, FALSE)</f>
        <v>0</v>
      </c>
      <c r="AO121" s="1255">
        <f>AO112*VLOOKUP('IV. LCOE, Baseline Energy Mix'!AO$13,'IX. Additional Data'!$C$17:$V$66,5, FALSE)</f>
        <v>0</v>
      </c>
      <c r="AP121" s="1255">
        <f>AP112*VLOOKUP('IV. LCOE, Baseline Energy Mix'!AP$13,'IX. Additional Data'!$C$17:$V$66,5, FALSE)</f>
        <v>0</v>
      </c>
      <c r="AQ121" s="1255">
        <f>AQ112*VLOOKUP('IV. LCOE, Baseline Energy Mix'!AQ$13,'IX. Additional Data'!$C$17:$V$66,5, FALSE)</f>
        <v>0</v>
      </c>
      <c r="AR121" s="1261">
        <f>AR112*VLOOKUP('IV. LCOE, Baseline Energy Mix'!AR$13,'IX. Additional Data'!$C$17:$V$66,5, FALSE)</f>
        <v>0</v>
      </c>
      <c r="AS121" s="1261">
        <f>AS112*VLOOKUP('IV. LCOE, Baseline Energy Mix'!AS$13,'IX. Additional Data'!$C$17:$V$66,5, FALSE)</f>
        <v>0</v>
      </c>
      <c r="AT121" s="1261">
        <f>AT112*VLOOKUP('IV. LCOE, Baseline Energy Mix'!AT$13,'IX. Additional Data'!$C$17:$V$66,5, FALSE)</f>
        <v>0</v>
      </c>
      <c r="AU121" s="1261">
        <f>AU112*VLOOKUP('IV. LCOE, Baseline Energy Mix'!AU$13,'IX. Additional Data'!$C$17:$V$66,5, FALSE)</f>
        <v>0</v>
      </c>
      <c r="AV121" s="1261">
        <f>AV112*VLOOKUP('IV. LCOE, Baseline Energy Mix'!AV$13,'IX. Additional Data'!$C$17:$V$66,5, FALSE)</f>
        <v>0</v>
      </c>
      <c r="AW121" s="1261">
        <f>AW112*VLOOKUP('IV. LCOE, Baseline Energy Mix'!AW$13,'IX. Additional Data'!$C$17:$V$66,5, FALSE)</f>
        <v>0</v>
      </c>
      <c r="AX121" s="1261">
        <f>AX112*VLOOKUP('IV. LCOE, Baseline Energy Mix'!AX$13,'IX. Additional Data'!$C$17:$V$66,5, FALSE)</f>
        <v>0</v>
      </c>
      <c r="AY121" s="1261">
        <f>AY112*VLOOKUP('IV. LCOE, Baseline Energy Mix'!AY$13,'IX. Additional Data'!$C$17:$V$66,5, FALSE)</f>
        <v>0</v>
      </c>
      <c r="AZ121" s="1261">
        <f>AZ112*VLOOKUP('IV. LCOE, Baseline Energy Mix'!AZ$13,'IX. Additional Data'!$C$17:$V$66,5, FALSE)</f>
        <v>0</v>
      </c>
      <c r="BA121" s="1261">
        <f>BA112*VLOOKUP('IV. LCOE, Baseline Energy Mix'!BA$13,'IX. Additional Data'!$C$17:$V$66,5, FALSE)</f>
        <v>0</v>
      </c>
      <c r="BB121" s="1261">
        <f>BB112*VLOOKUP('IV. LCOE, Baseline Energy Mix'!BB$13,'IX. Additional Data'!$C$17:$V$66,5, FALSE)</f>
        <v>0</v>
      </c>
      <c r="BC121" s="1261">
        <f>BC112*VLOOKUP('IV. LCOE, Baseline Energy Mix'!BC$13,'IX. Additional Data'!$C$17:$V$66,5, FALSE)</f>
        <v>0</v>
      </c>
      <c r="BD121" s="1261">
        <f>BD112*VLOOKUP('IV. LCOE, Baseline Energy Mix'!BD$13,'IX. Additional Data'!$C$17:$V$66,5, FALSE)</f>
        <v>0</v>
      </c>
      <c r="BE121" s="1262">
        <f>BE112*VLOOKUP('IV. LCOE, Baseline Energy Mix'!BE$13,'IX. Additional Data'!$C$17:$V$66,5, FALSE)</f>
        <v>0</v>
      </c>
    </row>
    <row r="122" spans="2:57" outlineLevel="1" x14ac:dyDescent="0.25">
      <c r="B122" s="278"/>
      <c r="C122" s="279" t="s">
        <v>161</v>
      </c>
      <c r="D122" s="279"/>
      <c r="E122" s="282"/>
      <c r="F122" s="282"/>
      <c r="G122" s="279"/>
      <c r="H122" s="1255">
        <f xml:space="preserve"> H112*'II. Inputs, Baseline Energy Mix'!$P$98*(1+'II. Inputs, Baseline Energy Mix'!$P$99)^('IV. LCOE, Baseline Energy Mix'!H$13-1)</f>
        <v>0</v>
      </c>
      <c r="I122" s="1255">
        <f xml:space="preserve"> I112*'II. Inputs, Baseline Energy Mix'!$P$98*(1+'II. Inputs, Baseline Energy Mix'!$P$99)^('IV. LCOE, Baseline Energy Mix'!I$13-1)</f>
        <v>0</v>
      </c>
      <c r="J122" s="1255">
        <f xml:space="preserve"> J112*'II. Inputs, Baseline Energy Mix'!$P$98*(1+'II. Inputs, Baseline Energy Mix'!$P$99)^('IV. LCOE, Baseline Energy Mix'!J$13-1)</f>
        <v>0</v>
      </c>
      <c r="K122" s="1255">
        <f xml:space="preserve"> K112*'II. Inputs, Baseline Energy Mix'!$P$98*(1+'II. Inputs, Baseline Energy Mix'!$P$99)^('IV. LCOE, Baseline Energy Mix'!K$13-1)</f>
        <v>0</v>
      </c>
      <c r="L122" s="1255">
        <f xml:space="preserve"> L112*'II. Inputs, Baseline Energy Mix'!$P$98*(1+'II. Inputs, Baseline Energy Mix'!$P$99)^('IV. LCOE, Baseline Energy Mix'!L$13-1)</f>
        <v>0</v>
      </c>
      <c r="M122" s="1255">
        <f xml:space="preserve"> M112*'II. Inputs, Baseline Energy Mix'!$P$98*(1+'II. Inputs, Baseline Energy Mix'!$P$99)^('IV. LCOE, Baseline Energy Mix'!M$13-1)</f>
        <v>0</v>
      </c>
      <c r="N122" s="1255">
        <f xml:space="preserve"> N112*'II. Inputs, Baseline Energy Mix'!$P$98*(1+'II. Inputs, Baseline Energy Mix'!$P$99)^('IV. LCOE, Baseline Energy Mix'!N$13-1)</f>
        <v>0</v>
      </c>
      <c r="O122" s="1255">
        <f xml:space="preserve"> O112*'II. Inputs, Baseline Energy Mix'!$P$98*(1+'II. Inputs, Baseline Energy Mix'!$P$99)^('IV. LCOE, Baseline Energy Mix'!O$13-1)</f>
        <v>0</v>
      </c>
      <c r="P122" s="1255">
        <f xml:space="preserve"> P112*'II. Inputs, Baseline Energy Mix'!$P$98*(1+'II. Inputs, Baseline Energy Mix'!$P$99)^('IV. LCOE, Baseline Energy Mix'!P$13-1)</f>
        <v>0</v>
      </c>
      <c r="Q122" s="1255">
        <f xml:space="preserve"> Q112*'II. Inputs, Baseline Energy Mix'!$P$98*(1+'II. Inputs, Baseline Energy Mix'!$P$99)^('IV. LCOE, Baseline Energy Mix'!Q$13-1)</f>
        <v>0</v>
      </c>
      <c r="R122" s="1255">
        <f xml:space="preserve"> R112*'II. Inputs, Baseline Energy Mix'!$P$98*(1+'II. Inputs, Baseline Energy Mix'!$P$99)^('IV. LCOE, Baseline Energy Mix'!R$13-1)</f>
        <v>0</v>
      </c>
      <c r="S122" s="1255">
        <f xml:space="preserve"> S112*'II. Inputs, Baseline Energy Mix'!$P$98*(1+'II. Inputs, Baseline Energy Mix'!$P$99)^('IV. LCOE, Baseline Energy Mix'!S$13-1)</f>
        <v>0</v>
      </c>
      <c r="T122" s="1255">
        <f xml:space="preserve"> T112*'II. Inputs, Baseline Energy Mix'!$P$98*(1+'II. Inputs, Baseline Energy Mix'!$P$99)^('IV. LCOE, Baseline Energy Mix'!T$13-1)</f>
        <v>0</v>
      </c>
      <c r="U122" s="1255">
        <f xml:space="preserve"> U112*'II. Inputs, Baseline Energy Mix'!$P$98*(1+'II. Inputs, Baseline Energy Mix'!$P$99)^('IV. LCOE, Baseline Energy Mix'!U$13-1)</f>
        <v>0</v>
      </c>
      <c r="V122" s="1255">
        <f xml:space="preserve"> V112*'II. Inputs, Baseline Energy Mix'!$P$98*(1+'II. Inputs, Baseline Energy Mix'!$P$99)^('IV. LCOE, Baseline Energy Mix'!V$13-1)</f>
        <v>0</v>
      </c>
      <c r="W122" s="1255">
        <f xml:space="preserve"> W112*'II. Inputs, Baseline Energy Mix'!$P$98*(1+'II. Inputs, Baseline Energy Mix'!$P$99)^('IV. LCOE, Baseline Energy Mix'!W$13-1)</f>
        <v>0</v>
      </c>
      <c r="X122" s="1255">
        <f xml:space="preserve"> X112*'II. Inputs, Baseline Energy Mix'!$P$98*(1+'II. Inputs, Baseline Energy Mix'!$P$99)^('IV. LCOE, Baseline Energy Mix'!X$13-1)</f>
        <v>0</v>
      </c>
      <c r="Y122" s="1255">
        <f xml:space="preserve"> Y112*'II. Inputs, Baseline Energy Mix'!$P$98*(1+'II. Inputs, Baseline Energy Mix'!$P$99)^('IV. LCOE, Baseline Energy Mix'!Y$13-1)</f>
        <v>0</v>
      </c>
      <c r="Z122" s="1255">
        <f xml:space="preserve"> Z112*'II. Inputs, Baseline Energy Mix'!$P$98*(1+'II. Inputs, Baseline Energy Mix'!$P$99)^('IV. LCOE, Baseline Energy Mix'!Z$13-1)</f>
        <v>0</v>
      </c>
      <c r="AA122" s="1255">
        <f xml:space="preserve"> AA112*'II. Inputs, Baseline Energy Mix'!$P$98*(1+'II. Inputs, Baseline Energy Mix'!$P$99)^('IV. LCOE, Baseline Energy Mix'!AA$13-1)</f>
        <v>0</v>
      </c>
      <c r="AB122" s="1255">
        <f xml:space="preserve"> AB112*'II. Inputs, Baseline Energy Mix'!$P$98*(1+'II. Inputs, Baseline Energy Mix'!$P$99)^('IV. LCOE, Baseline Energy Mix'!AB$13-1)</f>
        <v>0</v>
      </c>
      <c r="AC122" s="1255">
        <f xml:space="preserve"> AC112*'II. Inputs, Baseline Energy Mix'!$P$98*(1+'II. Inputs, Baseline Energy Mix'!$P$99)^('IV. LCOE, Baseline Energy Mix'!AC$13-1)</f>
        <v>0</v>
      </c>
      <c r="AD122" s="1255">
        <f xml:space="preserve"> AD112*'II. Inputs, Baseline Energy Mix'!$P$98*(1+'II. Inputs, Baseline Energy Mix'!$P$99)^('IV. LCOE, Baseline Energy Mix'!AD$13-1)</f>
        <v>0</v>
      </c>
      <c r="AE122" s="1255">
        <f xml:space="preserve"> AE112*'II. Inputs, Baseline Energy Mix'!$P$98*(1+'II. Inputs, Baseline Energy Mix'!$P$99)^('IV. LCOE, Baseline Energy Mix'!AE$13-1)</f>
        <v>0</v>
      </c>
      <c r="AF122" s="1255">
        <f xml:space="preserve"> AF112*'II. Inputs, Baseline Energy Mix'!$P$98*(1+'II. Inputs, Baseline Energy Mix'!$P$99)^('IV. LCOE, Baseline Energy Mix'!AF$13-1)</f>
        <v>0</v>
      </c>
      <c r="AG122" s="1255">
        <f xml:space="preserve"> AG112*'II. Inputs, Baseline Energy Mix'!$P$98*(1+'II. Inputs, Baseline Energy Mix'!$P$99)^('IV. LCOE, Baseline Energy Mix'!AG$13-1)</f>
        <v>0</v>
      </c>
      <c r="AH122" s="1255">
        <f xml:space="preserve"> AH112*'II. Inputs, Baseline Energy Mix'!$P$98*(1+'II. Inputs, Baseline Energy Mix'!$P$99)^('IV. LCOE, Baseline Energy Mix'!AH$13-1)</f>
        <v>0</v>
      </c>
      <c r="AI122" s="1255">
        <f xml:space="preserve"> AI112*'II. Inputs, Baseline Energy Mix'!$P$98*(1+'II. Inputs, Baseline Energy Mix'!$P$99)^('IV. LCOE, Baseline Energy Mix'!AI$13-1)</f>
        <v>0</v>
      </c>
      <c r="AJ122" s="1255">
        <f xml:space="preserve"> AJ112*'II. Inputs, Baseline Energy Mix'!$P$98*(1+'II. Inputs, Baseline Energy Mix'!$P$99)^('IV. LCOE, Baseline Energy Mix'!AJ$13-1)</f>
        <v>0</v>
      </c>
      <c r="AK122" s="1255">
        <f xml:space="preserve"> AK112*'II. Inputs, Baseline Energy Mix'!$P$98*(1+'II. Inputs, Baseline Energy Mix'!$P$99)^('IV. LCOE, Baseline Energy Mix'!AK$13-1)</f>
        <v>0</v>
      </c>
      <c r="AL122" s="1255">
        <f xml:space="preserve"> AL112*'II. Inputs, Baseline Energy Mix'!$P$98*(1+'II. Inputs, Baseline Energy Mix'!$P$99)^('IV. LCOE, Baseline Energy Mix'!AL$13-1)</f>
        <v>0</v>
      </c>
      <c r="AM122" s="1255">
        <f xml:space="preserve"> AM112*'II. Inputs, Baseline Energy Mix'!$P$98*(1+'II. Inputs, Baseline Energy Mix'!$P$99)^('IV. LCOE, Baseline Energy Mix'!AM$13-1)</f>
        <v>0</v>
      </c>
      <c r="AN122" s="1255">
        <f xml:space="preserve"> AN112*'II. Inputs, Baseline Energy Mix'!$P$98*(1+'II. Inputs, Baseline Energy Mix'!$P$99)^('IV. LCOE, Baseline Energy Mix'!AN$13-1)</f>
        <v>0</v>
      </c>
      <c r="AO122" s="1255">
        <f xml:space="preserve"> AO112*'II. Inputs, Baseline Energy Mix'!$P$98*(1+'II. Inputs, Baseline Energy Mix'!$P$99)^('IV. LCOE, Baseline Energy Mix'!AO$13-1)</f>
        <v>0</v>
      </c>
      <c r="AP122" s="1255">
        <f xml:space="preserve"> AP112*'II. Inputs, Baseline Energy Mix'!$P$98*(1+'II. Inputs, Baseline Energy Mix'!$P$99)^('IV. LCOE, Baseline Energy Mix'!AP$13-1)</f>
        <v>0</v>
      </c>
      <c r="AQ122" s="1255">
        <f xml:space="preserve"> AQ112*'II. Inputs, Baseline Energy Mix'!$P$98*(1+'II. Inputs, Baseline Energy Mix'!$P$99)^('IV. LCOE, Baseline Energy Mix'!AQ$13-1)</f>
        <v>0</v>
      </c>
      <c r="AR122" s="1261">
        <f xml:space="preserve"> AR112*'II. Inputs, Baseline Energy Mix'!$P$98*(1+'II. Inputs, Baseline Energy Mix'!$P$99)^('IV. LCOE, Baseline Energy Mix'!AR$13-1)</f>
        <v>0</v>
      </c>
      <c r="AS122" s="1261">
        <f xml:space="preserve"> AS112*'II. Inputs, Baseline Energy Mix'!$P$98*(1+'II. Inputs, Baseline Energy Mix'!$P$99)^('IV. LCOE, Baseline Energy Mix'!AS$13-1)</f>
        <v>0</v>
      </c>
      <c r="AT122" s="1261">
        <f xml:space="preserve"> AT112*'II. Inputs, Baseline Energy Mix'!$P$98*(1+'II. Inputs, Baseline Energy Mix'!$P$99)^('IV. LCOE, Baseline Energy Mix'!AT$13-1)</f>
        <v>0</v>
      </c>
      <c r="AU122" s="1261">
        <f xml:space="preserve"> AU112*'II. Inputs, Baseline Energy Mix'!$P$98*(1+'II. Inputs, Baseline Energy Mix'!$P$99)^('IV. LCOE, Baseline Energy Mix'!AU$13-1)</f>
        <v>0</v>
      </c>
      <c r="AV122" s="1261">
        <f xml:space="preserve"> AV112*'II. Inputs, Baseline Energy Mix'!$P$98*(1+'II. Inputs, Baseline Energy Mix'!$P$99)^('IV. LCOE, Baseline Energy Mix'!AV$13-1)</f>
        <v>0</v>
      </c>
      <c r="AW122" s="1261">
        <f xml:space="preserve"> AW112*'II. Inputs, Baseline Energy Mix'!$P$98*(1+'II. Inputs, Baseline Energy Mix'!$P$99)^('IV. LCOE, Baseline Energy Mix'!AW$13-1)</f>
        <v>0</v>
      </c>
      <c r="AX122" s="1261">
        <f xml:space="preserve"> AX112*'II. Inputs, Baseline Energy Mix'!$P$98*(1+'II. Inputs, Baseline Energy Mix'!$P$99)^('IV. LCOE, Baseline Energy Mix'!AX$13-1)</f>
        <v>0</v>
      </c>
      <c r="AY122" s="1261">
        <f xml:space="preserve"> AY112*'II. Inputs, Baseline Energy Mix'!$P$98*(1+'II. Inputs, Baseline Energy Mix'!$P$99)^('IV. LCOE, Baseline Energy Mix'!AY$13-1)</f>
        <v>0</v>
      </c>
      <c r="AZ122" s="1261">
        <f xml:space="preserve"> AZ112*'II. Inputs, Baseline Energy Mix'!$P$98*(1+'II. Inputs, Baseline Energy Mix'!$P$99)^('IV. LCOE, Baseline Energy Mix'!AZ$13-1)</f>
        <v>0</v>
      </c>
      <c r="BA122" s="1261">
        <f xml:space="preserve"> BA112*'II. Inputs, Baseline Energy Mix'!$P$98*(1+'II. Inputs, Baseline Energy Mix'!$P$99)^('IV. LCOE, Baseline Energy Mix'!BA$13-1)</f>
        <v>0</v>
      </c>
      <c r="BB122" s="1261">
        <f xml:space="preserve"> BB112*'II. Inputs, Baseline Energy Mix'!$P$98*(1+'II. Inputs, Baseline Energy Mix'!$P$99)^('IV. LCOE, Baseline Energy Mix'!BB$13-1)</f>
        <v>0</v>
      </c>
      <c r="BC122" s="1261">
        <f xml:space="preserve"> BC112*'II. Inputs, Baseline Energy Mix'!$P$98*(1+'II. Inputs, Baseline Energy Mix'!$P$99)^('IV. LCOE, Baseline Energy Mix'!BC$13-1)</f>
        <v>0</v>
      </c>
      <c r="BD122" s="1261">
        <f xml:space="preserve"> BD112*'II. Inputs, Baseline Energy Mix'!$P$98*(1+'II. Inputs, Baseline Energy Mix'!$P$99)^('IV. LCOE, Baseline Energy Mix'!BD$13-1)</f>
        <v>0</v>
      </c>
      <c r="BE122" s="1262">
        <f xml:space="preserve"> BE112*'II. Inputs, Baseline Energy Mix'!$P$98*(1+'II. Inputs, Baseline Energy Mix'!$P$99)^('IV. LCOE, Baseline Energy Mix'!BE$13-1)</f>
        <v>0</v>
      </c>
    </row>
    <row r="123" spans="2:57" outlineLevel="1" x14ac:dyDescent="0.25">
      <c r="B123" s="278"/>
      <c r="C123" s="279" t="s">
        <v>162</v>
      </c>
      <c r="D123" s="279"/>
      <c r="E123" s="282"/>
      <c r="F123" s="282"/>
      <c r="G123" s="279"/>
      <c r="H123" s="1255">
        <f>H112*VLOOKUP('IV. LCOE, Baseline Energy Mix'!H$13,'IX. Additional Data'!$C$17:$V$66,11, FALSE)</f>
        <v>0</v>
      </c>
      <c r="I123" s="1255">
        <f>I112*VLOOKUP('IV. LCOE, Baseline Energy Mix'!I$13,'IX. Additional Data'!$C$17:$V$66,11, FALSE)</f>
        <v>0</v>
      </c>
      <c r="J123" s="1255">
        <f>J112*VLOOKUP('IV. LCOE, Baseline Energy Mix'!J$13,'IX. Additional Data'!$C$17:$V$66,11, FALSE)</f>
        <v>0</v>
      </c>
      <c r="K123" s="1255">
        <f>K112*VLOOKUP('IV. LCOE, Baseline Energy Mix'!K$13,'IX. Additional Data'!$C$17:$V$66,11, FALSE)</f>
        <v>0</v>
      </c>
      <c r="L123" s="1255">
        <f>L112*VLOOKUP('IV. LCOE, Baseline Energy Mix'!L$13,'IX. Additional Data'!$C$17:$V$66,11, FALSE)</f>
        <v>0</v>
      </c>
      <c r="M123" s="1255">
        <f>M112*VLOOKUP('IV. LCOE, Baseline Energy Mix'!M$13,'IX. Additional Data'!$C$17:$V$66,11, FALSE)</f>
        <v>0</v>
      </c>
      <c r="N123" s="1255">
        <f>N112*VLOOKUP('IV. LCOE, Baseline Energy Mix'!N$13,'IX. Additional Data'!$C$17:$V$66,11, FALSE)</f>
        <v>0</v>
      </c>
      <c r="O123" s="1255">
        <f>O112*VLOOKUP('IV. LCOE, Baseline Energy Mix'!O$13,'IX. Additional Data'!$C$17:$V$66,11, FALSE)</f>
        <v>0</v>
      </c>
      <c r="P123" s="1255">
        <f>P112*VLOOKUP('IV. LCOE, Baseline Energy Mix'!P$13,'IX. Additional Data'!$C$17:$V$66,11, FALSE)</f>
        <v>0</v>
      </c>
      <c r="Q123" s="1255">
        <f>Q112*VLOOKUP('IV. LCOE, Baseline Energy Mix'!Q$13,'IX. Additional Data'!$C$17:$V$66,11, FALSE)</f>
        <v>0</v>
      </c>
      <c r="R123" s="1255">
        <f>R112*VLOOKUP('IV. LCOE, Baseline Energy Mix'!R$13,'IX. Additional Data'!$C$17:$V$66,11, FALSE)</f>
        <v>0</v>
      </c>
      <c r="S123" s="1255">
        <f>S112*VLOOKUP('IV. LCOE, Baseline Energy Mix'!S$13,'IX. Additional Data'!$C$17:$V$66,11, FALSE)</f>
        <v>0</v>
      </c>
      <c r="T123" s="1255">
        <f>T112*VLOOKUP('IV. LCOE, Baseline Energy Mix'!T$13,'IX. Additional Data'!$C$17:$V$66,11, FALSE)</f>
        <v>0</v>
      </c>
      <c r="U123" s="1255">
        <f>U112*VLOOKUP('IV. LCOE, Baseline Energy Mix'!U$13,'IX. Additional Data'!$C$17:$V$66,11, FALSE)</f>
        <v>0</v>
      </c>
      <c r="V123" s="1255">
        <f>V112*VLOOKUP('IV. LCOE, Baseline Energy Mix'!V$13,'IX. Additional Data'!$C$17:$V$66,11, FALSE)</f>
        <v>0</v>
      </c>
      <c r="W123" s="1255">
        <f>W112*VLOOKUP('IV. LCOE, Baseline Energy Mix'!W$13,'IX. Additional Data'!$C$17:$V$66,11, FALSE)</f>
        <v>0</v>
      </c>
      <c r="X123" s="1255">
        <f>X112*VLOOKUP('IV. LCOE, Baseline Energy Mix'!X$13,'IX. Additional Data'!$C$17:$V$66,11, FALSE)</f>
        <v>0</v>
      </c>
      <c r="Y123" s="1255">
        <f>Y112*VLOOKUP('IV. LCOE, Baseline Energy Mix'!Y$13,'IX. Additional Data'!$C$17:$V$66,11, FALSE)</f>
        <v>0</v>
      </c>
      <c r="Z123" s="1255">
        <f>Z112*VLOOKUP('IV. LCOE, Baseline Energy Mix'!Z$13,'IX. Additional Data'!$C$17:$V$66,11, FALSE)</f>
        <v>0</v>
      </c>
      <c r="AA123" s="1255">
        <f>AA112*VLOOKUP('IV. LCOE, Baseline Energy Mix'!AA$13,'IX. Additional Data'!$C$17:$V$66,11, FALSE)</f>
        <v>0</v>
      </c>
      <c r="AB123" s="1255">
        <f>AB112*VLOOKUP('IV. LCOE, Baseline Energy Mix'!AB$13,'IX. Additional Data'!$C$17:$V$66,11, FALSE)</f>
        <v>0</v>
      </c>
      <c r="AC123" s="1255">
        <f>AC112*VLOOKUP('IV. LCOE, Baseline Energy Mix'!AC$13,'IX. Additional Data'!$C$17:$V$66,11, FALSE)</f>
        <v>0</v>
      </c>
      <c r="AD123" s="1255">
        <f>AD112*VLOOKUP('IV. LCOE, Baseline Energy Mix'!AD$13,'IX. Additional Data'!$C$17:$V$66,11, FALSE)</f>
        <v>0</v>
      </c>
      <c r="AE123" s="1255">
        <f>AE112*VLOOKUP('IV. LCOE, Baseline Energy Mix'!AE$13,'IX. Additional Data'!$C$17:$V$66,11, FALSE)</f>
        <v>0</v>
      </c>
      <c r="AF123" s="1255">
        <f>AF112*VLOOKUP('IV. LCOE, Baseline Energy Mix'!AF$13,'IX. Additional Data'!$C$17:$V$66,11, FALSE)</f>
        <v>0</v>
      </c>
      <c r="AG123" s="1255">
        <f>AG112*VLOOKUP('IV. LCOE, Baseline Energy Mix'!AG$13,'IX. Additional Data'!$C$17:$V$66,11, FALSE)</f>
        <v>0</v>
      </c>
      <c r="AH123" s="1255">
        <f>AH112*VLOOKUP('IV. LCOE, Baseline Energy Mix'!AH$13,'IX. Additional Data'!$C$17:$V$66,11, FALSE)</f>
        <v>0</v>
      </c>
      <c r="AI123" s="1255">
        <f>AI112*VLOOKUP('IV. LCOE, Baseline Energy Mix'!AI$13,'IX. Additional Data'!$C$17:$V$66,11, FALSE)</f>
        <v>0</v>
      </c>
      <c r="AJ123" s="1255">
        <f>AJ112*VLOOKUP('IV. LCOE, Baseline Energy Mix'!AJ$13,'IX. Additional Data'!$C$17:$V$66,11, FALSE)</f>
        <v>0</v>
      </c>
      <c r="AK123" s="1255">
        <f>AK112*VLOOKUP('IV. LCOE, Baseline Energy Mix'!AK$13,'IX. Additional Data'!$C$17:$V$66,11, FALSE)</f>
        <v>0</v>
      </c>
      <c r="AL123" s="1255">
        <f>AL112*VLOOKUP('IV. LCOE, Baseline Energy Mix'!AL$13,'IX. Additional Data'!$C$17:$V$66,11, FALSE)</f>
        <v>0</v>
      </c>
      <c r="AM123" s="1255">
        <f>AM112*VLOOKUP('IV. LCOE, Baseline Energy Mix'!AM$13,'IX. Additional Data'!$C$17:$V$66,11, FALSE)</f>
        <v>0</v>
      </c>
      <c r="AN123" s="1255">
        <f>AN112*VLOOKUP('IV. LCOE, Baseline Energy Mix'!AN$13,'IX. Additional Data'!$C$17:$V$66,11, FALSE)</f>
        <v>0</v>
      </c>
      <c r="AO123" s="1255">
        <f>AO112*VLOOKUP('IV. LCOE, Baseline Energy Mix'!AO$13,'IX. Additional Data'!$C$17:$V$66,11, FALSE)</f>
        <v>0</v>
      </c>
      <c r="AP123" s="1255">
        <f>AP112*VLOOKUP('IV. LCOE, Baseline Energy Mix'!AP$13,'IX. Additional Data'!$C$17:$V$66,11, FALSE)</f>
        <v>0</v>
      </c>
      <c r="AQ123" s="1255">
        <f>AQ112*VLOOKUP('IV. LCOE, Baseline Energy Mix'!AQ$13,'IX. Additional Data'!$C$17:$V$66,11, FALSE)</f>
        <v>0</v>
      </c>
      <c r="AR123" s="1261">
        <f>AR112*VLOOKUP('IV. LCOE, Baseline Energy Mix'!AR$13,'IX. Additional Data'!$C$17:$V$66,11, FALSE)</f>
        <v>0</v>
      </c>
      <c r="AS123" s="1261">
        <f>AS112*VLOOKUP('IV. LCOE, Baseline Energy Mix'!AS$13,'IX. Additional Data'!$C$17:$V$66,11, FALSE)</f>
        <v>0</v>
      </c>
      <c r="AT123" s="1261">
        <f>AT112*VLOOKUP('IV. LCOE, Baseline Energy Mix'!AT$13,'IX. Additional Data'!$C$17:$V$66,11, FALSE)</f>
        <v>0</v>
      </c>
      <c r="AU123" s="1261">
        <f>AU112*VLOOKUP('IV. LCOE, Baseline Energy Mix'!AU$13,'IX. Additional Data'!$C$17:$V$66,11, FALSE)</f>
        <v>0</v>
      </c>
      <c r="AV123" s="1261">
        <f>AV112*VLOOKUP('IV. LCOE, Baseline Energy Mix'!AV$13,'IX. Additional Data'!$C$17:$V$66,11, FALSE)</f>
        <v>0</v>
      </c>
      <c r="AW123" s="1261">
        <f>AW112*VLOOKUP('IV. LCOE, Baseline Energy Mix'!AW$13,'IX. Additional Data'!$C$17:$V$66,11, FALSE)</f>
        <v>0</v>
      </c>
      <c r="AX123" s="1261">
        <f>AX112*VLOOKUP('IV. LCOE, Baseline Energy Mix'!AX$13,'IX. Additional Data'!$C$17:$V$66,11, FALSE)</f>
        <v>0</v>
      </c>
      <c r="AY123" s="1261">
        <f>AY112*VLOOKUP('IV. LCOE, Baseline Energy Mix'!AY$13,'IX. Additional Data'!$C$17:$V$66,11, FALSE)</f>
        <v>0</v>
      </c>
      <c r="AZ123" s="1261">
        <f>AZ112*VLOOKUP('IV. LCOE, Baseline Energy Mix'!AZ$13,'IX. Additional Data'!$C$17:$V$66,11, FALSE)</f>
        <v>0</v>
      </c>
      <c r="BA123" s="1261">
        <f>BA112*VLOOKUP('IV. LCOE, Baseline Energy Mix'!BA$13,'IX. Additional Data'!$C$17:$V$66,11, FALSE)</f>
        <v>0</v>
      </c>
      <c r="BB123" s="1261">
        <f>BB112*VLOOKUP('IV. LCOE, Baseline Energy Mix'!BB$13,'IX. Additional Data'!$C$17:$V$66,11, FALSE)</f>
        <v>0</v>
      </c>
      <c r="BC123" s="1261">
        <f>BC112*VLOOKUP('IV. LCOE, Baseline Energy Mix'!BC$13,'IX. Additional Data'!$C$17:$V$66,11, FALSE)</f>
        <v>0</v>
      </c>
      <c r="BD123" s="1261">
        <f>BD112*VLOOKUP('IV. LCOE, Baseline Energy Mix'!BD$13,'IX. Additional Data'!$C$17:$V$66,11, FALSE)</f>
        <v>0</v>
      </c>
      <c r="BE123" s="1262">
        <f>BE112*VLOOKUP('IV. LCOE, Baseline Energy Mix'!BE$13,'IX. Additional Data'!$C$17:$V$66,11, FALSE)</f>
        <v>0</v>
      </c>
    </row>
    <row r="124" spans="2:57" outlineLevel="1" x14ac:dyDescent="0.25">
      <c r="B124" s="278"/>
      <c r="C124" s="279" t="s">
        <v>163</v>
      </c>
      <c r="D124" s="279"/>
      <c r="E124" s="282"/>
      <c r="F124" s="282"/>
      <c r="G124" s="279"/>
      <c r="H124" s="1255">
        <f xml:space="preserve"> H112*VLOOKUP('IV. LCOE, Baseline Energy Mix'!H$13,'IX. Additional Data'!$C$17:$V$66,17, FALSE)</f>
        <v>0</v>
      </c>
      <c r="I124" s="1255">
        <f xml:space="preserve"> I112*VLOOKUP('IV. LCOE, Baseline Energy Mix'!I$13,'IX. Additional Data'!$C$17:$V$66,17, FALSE)</f>
        <v>0</v>
      </c>
      <c r="J124" s="1255">
        <f xml:space="preserve"> J112*VLOOKUP('IV. LCOE, Baseline Energy Mix'!J$13,'IX. Additional Data'!$C$17:$V$66,17, FALSE)</f>
        <v>0</v>
      </c>
      <c r="K124" s="1255">
        <f xml:space="preserve"> K112*VLOOKUP('IV. LCOE, Baseline Energy Mix'!K$13,'IX. Additional Data'!$C$17:$V$66,17, FALSE)</f>
        <v>0</v>
      </c>
      <c r="L124" s="1255">
        <f xml:space="preserve"> L112*VLOOKUP('IV. LCOE, Baseline Energy Mix'!L$13,'IX. Additional Data'!$C$17:$V$66,17, FALSE)</f>
        <v>0</v>
      </c>
      <c r="M124" s="1255">
        <f xml:space="preserve"> M112*VLOOKUP('IV. LCOE, Baseline Energy Mix'!M$13,'IX. Additional Data'!$C$17:$V$66,17, FALSE)</f>
        <v>0</v>
      </c>
      <c r="N124" s="1255">
        <f xml:space="preserve"> N112*VLOOKUP('IV. LCOE, Baseline Energy Mix'!N$13,'IX. Additional Data'!$C$17:$V$66,17, FALSE)</f>
        <v>0</v>
      </c>
      <c r="O124" s="1255">
        <f xml:space="preserve"> O112*VLOOKUP('IV. LCOE, Baseline Energy Mix'!O$13,'IX. Additional Data'!$C$17:$V$66,17, FALSE)</f>
        <v>0</v>
      </c>
      <c r="P124" s="1255">
        <f xml:space="preserve"> P112*VLOOKUP('IV. LCOE, Baseline Energy Mix'!P$13,'IX. Additional Data'!$C$17:$V$66,17, FALSE)</f>
        <v>0</v>
      </c>
      <c r="Q124" s="1255">
        <f xml:space="preserve"> Q112*VLOOKUP('IV. LCOE, Baseline Energy Mix'!Q$13,'IX. Additional Data'!$C$17:$V$66,17, FALSE)</f>
        <v>0</v>
      </c>
      <c r="R124" s="1255">
        <f xml:space="preserve"> R112*VLOOKUP('IV. LCOE, Baseline Energy Mix'!R$13,'IX. Additional Data'!$C$17:$V$66,17, FALSE)</f>
        <v>0</v>
      </c>
      <c r="S124" s="1255">
        <f xml:space="preserve"> S112*VLOOKUP('IV. LCOE, Baseline Energy Mix'!S$13,'IX. Additional Data'!$C$17:$V$66,17, FALSE)</f>
        <v>0</v>
      </c>
      <c r="T124" s="1255">
        <f xml:space="preserve"> T112*VLOOKUP('IV. LCOE, Baseline Energy Mix'!T$13,'IX. Additional Data'!$C$17:$V$66,17, FALSE)</f>
        <v>0</v>
      </c>
      <c r="U124" s="1255">
        <f xml:space="preserve"> U112*VLOOKUP('IV. LCOE, Baseline Energy Mix'!U$13,'IX. Additional Data'!$C$17:$V$66,17, FALSE)</f>
        <v>0</v>
      </c>
      <c r="V124" s="1255">
        <f xml:space="preserve"> V112*VLOOKUP('IV. LCOE, Baseline Energy Mix'!V$13,'IX. Additional Data'!$C$17:$V$66,17, FALSE)</f>
        <v>0</v>
      </c>
      <c r="W124" s="1255">
        <f xml:space="preserve"> W112*VLOOKUP('IV. LCOE, Baseline Energy Mix'!W$13,'IX. Additional Data'!$C$17:$V$66,17, FALSE)</f>
        <v>0</v>
      </c>
      <c r="X124" s="1255">
        <f xml:space="preserve"> X112*VLOOKUP('IV. LCOE, Baseline Energy Mix'!X$13,'IX. Additional Data'!$C$17:$V$66,17, FALSE)</f>
        <v>0</v>
      </c>
      <c r="Y124" s="1255">
        <f xml:space="preserve"> Y112*VLOOKUP('IV. LCOE, Baseline Energy Mix'!Y$13,'IX. Additional Data'!$C$17:$V$66,17, FALSE)</f>
        <v>0</v>
      </c>
      <c r="Z124" s="1255">
        <f xml:space="preserve"> Z112*VLOOKUP('IV. LCOE, Baseline Energy Mix'!Z$13,'IX. Additional Data'!$C$17:$V$66,17, FALSE)</f>
        <v>0</v>
      </c>
      <c r="AA124" s="1255">
        <f xml:space="preserve"> AA112*VLOOKUP('IV. LCOE, Baseline Energy Mix'!AA$13,'IX. Additional Data'!$C$17:$V$66,17, FALSE)</f>
        <v>0</v>
      </c>
      <c r="AB124" s="1255">
        <f xml:space="preserve"> AB112*VLOOKUP('IV. LCOE, Baseline Energy Mix'!AB$13,'IX. Additional Data'!$C$17:$V$66,17, FALSE)</f>
        <v>0</v>
      </c>
      <c r="AC124" s="1255">
        <f xml:space="preserve"> AC112*VLOOKUP('IV. LCOE, Baseline Energy Mix'!AC$13,'IX. Additional Data'!$C$17:$V$66,17, FALSE)</f>
        <v>0</v>
      </c>
      <c r="AD124" s="1255">
        <f xml:space="preserve"> AD112*VLOOKUP('IV. LCOE, Baseline Energy Mix'!AD$13,'IX. Additional Data'!$C$17:$V$66,17, FALSE)</f>
        <v>0</v>
      </c>
      <c r="AE124" s="1255">
        <f xml:space="preserve"> AE112*VLOOKUP('IV. LCOE, Baseline Energy Mix'!AE$13,'IX. Additional Data'!$C$17:$V$66,17, FALSE)</f>
        <v>0</v>
      </c>
      <c r="AF124" s="1255">
        <f xml:space="preserve"> AF112*VLOOKUP('IV. LCOE, Baseline Energy Mix'!AF$13,'IX. Additional Data'!$C$17:$V$66,17, FALSE)</f>
        <v>0</v>
      </c>
      <c r="AG124" s="1255">
        <f xml:space="preserve"> AG112*VLOOKUP('IV. LCOE, Baseline Energy Mix'!AG$13,'IX. Additional Data'!$C$17:$V$66,17, FALSE)</f>
        <v>0</v>
      </c>
      <c r="AH124" s="1255">
        <f xml:space="preserve"> AH112*VLOOKUP('IV. LCOE, Baseline Energy Mix'!AH$13,'IX. Additional Data'!$C$17:$V$66,17, FALSE)</f>
        <v>0</v>
      </c>
      <c r="AI124" s="1255">
        <f xml:space="preserve"> AI112*VLOOKUP('IV. LCOE, Baseline Energy Mix'!AI$13,'IX. Additional Data'!$C$17:$V$66,17, FALSE)</f>
        <v>0</v>
      </c>
      <c r="AJ124" s="1255">
        <f xml:space="preserve"> AJ112*VLOOKUP('IV. LCOE, Baseline Energy Mix'!AJ$13,'IX. Additional Data'!$C$17:$V$66,17, FALSE)</f>
        <v>0</v>
      </c>
      <c r="AK124" s="1255">
        <f xml:space="preserve"> AK112*VLOOKUP('IV. LCOE, Baseline Energy Mix'!AK$13,'IX. Additional Data'!$C$17:$V$66,17, FALSE)</f>
        <v>0</v>
      </c>
      <c r="AL124" s="1255">
        <f xml:space="preserve"> AL112*VLOOKUP('IV. LCOE, Baseline Energy Mix'!AL$13,'IX. Additional Data'!$C$17:$V$66,17, FALSE)</f>
        <v>0</v>
      </c>
      <c r="AM124" s="1255">
        <f xml:space="preserve"> AM112*VLOOKUP('IV. LCOE, Baseline Energy Mix'!AM$13,'IX. Additional Data'!$C$17:$V$66,17, FALSE)</f>
        <v>0</v>
      </c>
      <c r="AN124" s="1255">
        <f xml:space="preserve"> AN112*VLOOKUP('IV. LCOE, Baseline Energy Mix'!AN$13,'IX. Additional Data'!$C$17:$V$66,17, FALSE)</f>
        <v>0</v>
      </c>
      <c r="AO124" s="1255">
        <f xml:space="preserve"> AO112*VLOOKUP('IV. LCOE, Baseline Energy Mix'!AO$13,'IX. Additional Data'!$C$17:$V$66,17, FALSE)</f>
        <v>0</v>
      </c>
      <c r="AP124" s="1255">
        <f xml:space="preserve"> AP112*VLOOKUP('IV. LCOE, Baseline Energy Mix'!AP$13,'IX. Additional Data'!$C$17:$V$66,17, FALSE)</f>
        <v>0</v>
      </c>
      <c r="AQ124" s="1255">
        <f xml:space="preserve"> AQ112*VLOOKUP('IV. LCOE, Baseline Energy Mix'!AQ$13,'IX. Additional Data'!$C$17:$V$66,17, FALSE)</f>
        <v>0</v>
      </c>
      <c r="AR124" s="1261">
        <f xml:space="preserve"> AR112*VLOOKUP('IV. LCOE, Baseline Energy Mix'!AR$13,'IX. Additional Data'!$C$17:$V$66,17, FALSE)</f>
        <v>0</v>
      </c>
      <c r="AS124" s="1261">
        <f xml:space="preserve"> AS112*VLOOKUP('IV. LCOE, Baseline Energy Mix'!AS$13,'IX. Additional Data'!$C$17:$V$66,17, FALSE)</f>
        <v>0</v>
      </c>
      <c r="AT124" s="1261">
        <f xml:space="preserve"> AT112*VLOOKUP('IV. LCOE, Baseline Energy Mix'!AT$13,'IX. Additional Data'!$C$17:$V$66,17, FALSE)</f>
        <v>0</v>
      </c>
      <c r="AU124" s="1261">
        <f xml:space="preserve"> AU112*VLOOKUP('IV. LCOE, Baseline Energy Mix'!AU$13,'IX. Additional Data'!$C$17:$V$66,17, FALSE)</f>
        <v>0</v>
      </c>
      <c r="AV124" s="1261">
        <f xml:space="preserve"> AV112*VLOOKUP('IV. LCOE, Baseline Energy Mix'!AV$13,'IX. Additional Data'!$C$17:$V$66,17, FALSE)</f>
        <v>0</v>
      </c>
      <c r="AW124" s="1261">
        <f xml:space="preserve"> AW112*VLOOKUP('IV. LCOE, Baseline Energy Mix'!AW$13,'IX. Additional Data'!$C$17:$V$66,17, FALSE)</f>
        <v>0</v>
      </c>
      <c r="AX124" s="1261">
        <f xml:space="preserve"> AX112*VLOOKUP('IV. LCOE, Baseline Energy Mix'!AX$13,'IX. Additional Data'!$C$17:$V$66,17, FALSE)</f>
        <v>0</v>
      </c>
      <c r="AY124" s="1261">
        <f xml:space="preserve"> AY112*VLOOKUP('IV. LCOE, Baseline Energy Mix'!AY$13,'IX. Additional Data'!$C$17:$V$66,17, FALSE)</f>
        <v>0</v>
      </c>
      <c r="AZ124" s="1261">
        <f xml:space="preserve"> AZ112*VLOOKUP('IV. LCOE, Baseline Energy Mix'!AZ$13,'IX. Additional Data'!$C$17:$V$66,17, FALSE)</f>
        <v>0</v>
      </c>
      <c r="BA124" s="1261">
        <f xml:space="preserve"> BA112*VLOOKUP('IV. LCOE, Baseline Energy Mix'!BA$13,'IX. Additional Data'!$C$17:$V$66,17, FALSE)</f>
        <v>0</v>
      </c>
      <c r="BB124" s="1261">
        <f xml:space="preserve"> BB112*VLOOKUP('IV. LCOE, Baseline Energy Mix'!BB$13,'IX. Additional Data'!$C$17:$V$66,17, FALSE)</f>
        <v>0</v>
      </c>
      <c r="BC124" s="1261">
        <f xml:space="preserve"> BC112*VLOOKUP('IV. LCOE, Baseline Energy Mix'!BC$13,'IX. Additional Data'!$C$17:$V$66,17, FALSE)</f>
        <v>0</v>
      </c>
      <c r="BD124" s="1261">
        <f xml:space="preserve"> BD112*VLOOKUP('IV. LCOE, Baseline Energy Mix'!BD$13,'IX. Additional Data'!$C$17:$V$66,17, FALSE)</f>
        <v>0</v>
      </c>
      <c r="BE124" s="1262">
        <f xml:space="preserve"> BE112*VLOOKUP('IV. LCOE, Baseline Energy Mix'!BE$13,'IX. Additional Data'!$C$17:$V$66,17, FALSE)</f>
        <v>0</v>
      </c>
    </row>
    <row r="125" spans="2:57" outlineLevel="1" x14ac:dyDescent="0.25">
      <c r="B125" s="278"/>
      <c r="C125" s="279"/>
      <c r="D125" s="279"/>
      <c r="E125" s="282"/>
      <c r="F125" s="282"/>
      <c r="G125" s="279"/>
      <c r="H125" s="1255"/>
      <c r="I125" s="1255"/>
      <c r="J125" s="1255"/>
      <c r="K125" s="1255"/>
      <c r="L125" s="1255"/>
      <c r="M125" s="1255"/>
      <c r="N125" s="1255"/>
      <c r="O125" s="1255"/>
      <c r="P125" s="1255"/>
      <c r="Q125" s="1255"/>
      <c r="R125" s="1255"/>
      <c r="S125" s="1255"/>
      <c r="T125" s="1255"/>
      <c r="U125" s="1255"/>
      <c r="V125" s="1255"/>
      <c r="W125" s="1255"/>
      <c r="X125" s="1255"/>
      <c r="Y125" s="1255"/>
      <c r="Z125" s="1255"/>
      <c r="AA125" s="1255"/>
      <c r="AB125" s="1255"/>
      <c r="AC125" s="1255"/>
      <c r="AD125" s="1255"/>
      <c r="AE125" s="1255"/>
      <c r="AF125" s="1255"/>
      <c r="AG125" s="1255"/>
      <c r="AH125" s="1255"/>
      <c r="AI125" s="1255"/>
      <c r="AJ125" s="1255"/>
      <c r="AK125" s="1255"/>
      <c r="AL125" s="1255"/>
      <c r="AM125" s="1255"/>
      <c r="AN125" s="1255"/>
      <c r="AO125" s="1255"/>
      <c r="AP125" s="1255"/>
      <c r="AQ125" s="1255"/>
      <c r="AR125" s="1255"/>
      <c r="AS125" s="1255"/>
      <c r="AT125" s="1255"/>
      <c r="AU125" s="1255"/>
      <c r="AV125" s="1255"/>
      <c r="AW125" s="1255"/>
      <c r="AX125" s="1255"/>
      <c r="AY125" s="1255"/>
      <c r="AZ125" s="1255"/>
      <c r="BA125" s="1255"/>
      <c r="BB125" s="1255"/>
      <c r="BC125" s="1255"/>
      <c r="BD125" s="1255"/>
      <c r="BE125" s="1256"/>
    </row>
    <row r="126" spans="2:57" x14ac:dyDescent="0.25">
      <c r="B126" s="278" t="s">
        <v>138</v>
      </c>
      <c r="C126" s="279"/>
      <c r="D126" s="279"/>
      <c r="E126" s="282"/>
      <c r="F126" s="282" t="s">
        <v>631</v>
      </c>
      <c r="G126" s="279"/>
      <c r="H126" s="1255" t="e">
        <f>H120*H114*H112/'II. Inputs, Baseline Energy Mix'!$P$91</f>
        <v>#DIV/0!</v>
      </c>
      <c r="I126" s="1255" t="e">
        <f>I120*I114*I112/'II. Inputs, Baseline Energy Mix'!$P$91</f>
        <v>#DIV/0!</v>
      </c>
      <c r="J126" s="1255" t="e">
        <f>J120*J114*J112/'II. Inputs, Baseline Energy Mix'!$P$91</f>
        <v>#DIV/0!</v>
      </c>
      <c r="K126" s="1255" t="e">
        <f>K120*K114*K112/'II. Inputs, Baseline Energy Mix'!$P$91</f>
        <v>#DIV/0!</v>
      </c>
      <c r="L126" s="1255" t="e">
        <f>L120*L114*L112/'II. Inputs, Baseline Energy Mix'!$P$91</f>
        <v>#DIV/0!</v>
      </c>
      <c r="M126" s="1255" t="e">
        <f>M120*M114*M112/'II. Inputs, Baseline Energy Mix'!$P$91</f>
        <v>#DIV/0!</v>
      </c>
      <c r="N126" s="1255" t="e">
        <f>N120*N114*N112/'II. Inputs, Baseline Energy Mix'!$P$91</f>
        <v>#DIV/0!</v>
      </c>
      <c r="O126" s="1255" t="e">
        <f>O120*O114*O112/'II. Inputs, Baseline Energy Mix'!$P$91</f>
        <v>#DIV/0!</v>
      </c>
      <c r="P126" s="1255" t="e">
        <f>P120*P114*P112/'II. Inputs, Baseline Energy Mix'!$P$91</f>
        <v>#DIV/0!</v>
      </c>
      <c r="Q126" s="1255" t="e">
        <f>Q120*Q114*Q112/'II. Inputs, Baseline Energy Mix'!$P$91</f>
        <v>#DIV/0!</v>
      </c>
      <c r="R126" s="1255" t="e">
        <f>R120*R114*R112/'II. Inputs, Baseline Energy Mix'!$P$91</f>
        <v>#DIV/0!</v>
      </c>
      <c r="S126" s="1255" t="e">
        <f>S120*S114*S112/'II. Inputs, Baseline Energy Mix'!$P$91</f>
        <v>#DIV/0!</v>
      </c>
      <c r="T126" s="1255" t="e">
        <f>T120*T114*T112/'II. Inputs, Baseline Energy Mix'!$P$91</f>
        <v>#DIV/0!</v>
      </c>
      <c r="U126" s="1255" t="e">
        <f>U120*U114*U112/'II. Inputs, Baseline Energy Mix'!$P$91</f>
        <v>#DIV/0!</v>
      </c>
      <c r="V126" s="1255" t="e">
        <f>V120*V114*V112/'II. Inputs, Baseline Energy Mix'!$P$91</f>
        <v>#DIV/0!</v>
      </c>
      <c r="W126" s="1255" t="e">
        <f>W120*W114*W112/'II. Inputs, Baseline Energy Mix'!$P$91</f>
        <v>#DIV/0!</v>
      </c>
      <c r="X126" s="1255" t="e">
        <f>X120*X114*X112/'II. Inputs, Baseline Energy Mix'!$P$91</f>
        <v>#DIV/0!</v>
      </c>
      <c r="Y126" s="1255" t="e">
        <f>Y120*Y114*Y112/'II. Inputs, Baseline Energy Mix'!$P$91</f>
        <v>#DIV/0!</v>
      </c>
      <c r="Z126" s="1255" t="e">
        <f>Z120*Z114*Z112/'II. Inputs, Baseline Energy Mix'!$P$91</f>
        <v>#DIV/0!</v>
      </c>
      <c r="AA126" s="1255" t="e">
        <f>AA120*AA114*AA112/'II. Inputs, Baseline Energy Mix'!$P$91</f>
        <v>#DIV/0!</v>
      </c>
      <c r="AB126" s="1255" t="e">
        <f>AB120*AB114*AB112/'II. Inputs, Baseline Energy Mix'!$P$91</f>
        <v>#DIV/0!</v>
      </c>
      <c r="AC126" s="1255" t="e">
        <f>AC120*AC114*AC112/'II. Inputs, Baseline Energy Mix'!$P$91</f>
        <v>#DIV/0!</v>
      </c>
      <c r="AD126" s="1255" t="e">
        <f>AD120*AD114*AD112/'II. Inputs, Baseline Energy Mix'!$P$91</f>
        <v>#DIV/0!</v>
      </c>
      <c r="AE126" s="1255" t="e">
        <f>AE120*AE114*AE112/'II. Inputs, Baseline Energy Mix'!$P$91</f>
        <v>#DIV/0!</v>
      </c>
      <c r="AF126" s="1255" t="e">
        <f>AF120*AF114*AF112/'II. Inputs, Baseline Energy Mix'!$P$91</f>
        <v>#DIV/0!</v>
      </c>
      <c r="AG126" s="1255" t="e">
        <f>AG120*AG114*AG112/'II. Inputs, Baseline Energy Mix'!$P$91</f>
        <v>#DIV/0!</v>
      </c>
      <c r="AH126" s="1255" t="e">
        <f>AH120*AH114*AH112/'II. Inputs, Baseline Energy Mix'!$P$91</f>
        <v>#DIV/0!</v>
      </c>
      <c r="AI126" s="1255" t="e">
        <f>AI120*AI114*AI112/'II. Inputs, Baseline Energy Mix'!$P$91</f>
        <v>#DIV/0!</v>
      </c>
      <c r="AJ126" s="1255" t="e">
        <f>AJ120*AJ114*AJ112/'II. Inputs, Baseline Energy Mix'!$P$91</f>
        <v>#DIV/0!</v>
      </c>
      <c r="AK126" s="1255" t="e">
        <f>AK120*AK114*AK112/'II. Inputs, Baseline Energy Mix'!$P$91</f>
        <v>#DIV/0!</v>
      </c>
      <c r="AL126" s="1255" t="e">
        <f>AL120*AL114*AL112/'II. Inputs, Baseline Energy Mix'!$P$91</f>
        <v>#DIV/0!</v>
      </c>
      <c r="AM126" s="1255" t="e">
        <f>AM120*AM114*AM112/'II. Inputs, Baseline Energy Mix'!$P$91</f>
        <v>#DIV/0!</v>
      </c>
      <c r="AN126" s="1255" t="e">
        <f>AN120*AN114*AN112/'II. Inputs, Baseline Energy Mix'!$P$91</f>
        <v>#DIV/0!</v>
      </c>
      <c r="AO126" s="1255" t="e">
        <f>AO120*AO114*AO112/'II. Inputs, Baseline Energy Mix'!$P$91</f>
        <v>#DIV/0!</v>
      </c>
      <c r="AP126" s="1255" t="e">
        <f>AP120*AP114*AP112/'II. Inputs, Baseline Energy Mix'!$P$91</f>
        <v>#DIV/0!</v>
      </c>
      <c r="AQ126" s="1255" t="e">
        <f>AQ120*AQ114*AQ112/'II. Inputs, Baseline Energy Mix'!$P$91</f>
        <v>#DIV/0!</v>
      </c>
      <c r="AR126" s="1255" t="e">
        <f>AR120*AR114*AR112/'II. Inputs, Baseline Energy Mix'!$P$91</f>
        <v>#DIV/0!</v>
      </c>
      <c r="AS126" s="1255" t="e">
        <f>AS120*AS114*AS112/'II. Inputs, Baseline Energy Mix'!$P$91</f>
        <v>#DIV/0!</v>
      </c>
      <c r="AT126" s="1255" t="e">
        <f>AT120*AT114*AT112/'II. Inputs, Baseline Energy Mix'!$P$91</f>
        <v>#DIV/0!</v>
      </c>
      <c r="AU126" s="1255" t="e">
        <f>AU120*AU114*AU112/'II. Inputs, Baseline Energy Mix'!$P$91</f>
        <v>#DIV/0!</v>
      </c>
      <c r="AV126" s="1255" t="e">
        <f>AV120*AV114*AV112/'II. Inputs, Baseline Energy Mix'!$P$91</f>
        <v>#DIV/0!</v>
      </c>
      <c r="AW126" s="1255" t="e">
        <f>AW120*AW114*AW112/'II. Inputs, Baseline Energy Mix'!$P$91</f>
        <v>#DIV/0!</v>
      </c>
      <c r="AX126" s="1255" t="e">
        <f>AX120*AX114*AX112/'II. Inputs, Baseline Energy Mix'!$P$91</f>
        <v>#DIV/0!</v>
      </c>
      <c r="AY126" s="1255" t="e">
        <f>AY120*AY114*AY112/'II. Inputs, Baseline Energy Mix'!$P$91</f>
        <v>#DIV/0!</v>
      </c>
      <c r="AZ126" s="1255" t="e">
        <f>AZ120*AZ114*AZ112/'II. Inputs, Baseline Energy Mix'!$P$91</f>
        <v>#DIV/0!</v>
      </c>
      <c r="BA126" s="1255" t="e">
        <f>BA120*BA114*BA112/'II. Inputs, Baseline Energy Mix'!$P$91</f>
        <v>#DIV/0!</v>
      </c>
      <c r="BB126" s="1255" t="e">
        <f>BB120*BB114*BB112/'II. Inputs, Baseline Energy Mix'!$P$91</f>
        <v>#DIV/0!</v>
      </c>
      <c r="BC126" s="1255" t="e">
        <f>BC120*BC114*BC112/'II. Inputs, Baseline Energy Mix'!$P$91</f>
        <v>#DIV/0!</v>
      </c>
      <c r="BD126" s="1255" t="e">
        <f>BD120*BD114*BD112/'II. Inputs, Baseline Energy Mix'!$P$91</f>
        <v>#DIV/0!</v>
      </c>
      <c r="BE126" s="1256" t="e">
        <f>BE120*BE114*BE112/'II. Inputs, Baseline Energy Mix'!$P$91</f>
        <v>#DIV/0!</v>
      </c>
    </row>
    <row r="127" spans="2:57" x14ac:dyDescent="0.25">
      <c r="B127" s="278"/>
      <c r="C127" s="279"/>
      <c r="D127" s="279"/>
      <c r="E127" s="282"/>
      <c r="F127" s="282"/>
      <c r="G127" s="279"/>
      <c r="H127" s="1255"/>
      <c r="I127" s="1257"/>
      <c r="J127" s="1257"/>
      <c r="K127" s="1257"/>
      <c r="L127" s="1257"/>
      <c r="M127" s="1257"/>
      <c r="N127" s="1257"/>
      <c r="O127" s="1257"/>
      <c r="P127" s="1257"/>
      <c r="Q127" s="1257"/>
      <c r="R127" s="1257"/>
      <c r="S127" s="1257"/>
      <c r="T127" s="1257"/>
      <c r="U127" s="1257"/>
      <c r="V127" s="1257"/>
      <c r="W127" s="1257"/>
      <c r="X127" s="1257"/>
      <c r="Y127" s="1257"/>
      <c r="Z127" s="1257"/>
      <c r="AA127" s="1257"/>
      <c r="AB127" s="1257"/>
      <c r="AC127" s="1257"/>
      <c r="AD127" s="1257"/>
      <c r="AE127" s="1257"/>
      <c r="AF127" s="1257"/>
      <c r="AG127" s="1257"/>
      <c r="AH127" s="1257"/>
      <c r="AI127" s="1257"/>
      <c r="AJ127" s="1257"/>
      <c r="AK127" s="1257"/>
      <c r="AL127" s="1257"/>
      <c r="AM127" s="1257"/>
      <c r="AN127" s="1257"/>
      <c r="AO127" s="1257"/>
      <c r="AP127" s="1257"/>
      <c r="AQ127" s="1257"/>
      <c r="AR127" s="1257"/>
      <c r="AS127" s="1257"/>
      <c r="AT127" s="1257"/>
      <c r="AU127" s="1257"/>
      <c r="AV127" s="1257"/>
      <c r="AW127" s="1257"/>
      <c r="AX127" s="1257"/>
      <c r="AY127" s="1257"/>
      <c r="AZ127" s="1257"/>
      <c r="BA127" s="1257"/>
      <c r="BB127" s="1257"/>
      <c r="BC127" s="1257"/>
      <c r="BD127" s="1257"/>
      <c r="BE127" s="1258"/>
    </row>
    <row r="128" spans="2:57" x14ac:dyDescent="0.25">
      <c r="B128" s="278" t="s">
        <v>101</v>
      </c>
      <c r="C128" s="279"/>
      <c r="D128" s="279"/>
      <c r="E128" s="282"/>
      <c r="F128" s="282" t="s">
        <v>631</v>
      </c>
      <c r="G128" s="279"/>
      <c r="H128" s="1257">
        <f>H804</f>
        <v>0</v>
      </c>
      <c r="I128" s="1257">
        <f t="shared" ref="I128:BE128" si="42">I804</f>
        <v>0</v>
      </c>
      <c r="J128" s="1257">
        <f t="shared" si="42"/>
        <v>0</v>
      </c>
      <c r="K128" s="1257">
        <f t="shared" si="42"/>
        <v>0</v>
      </c>
      <c r="L128" s="1257">
        <f t="shared" si="42"/>
        <v>0</v>
      </c>
      <c r="M128" s="1257">
        <f t="shared" si="42"/>
        <v>0</v>
      </c>
      <c r="N128" s="1257">
        <f t="shared" si="42"/>
        <v>0</v>
      </c>
      <c r="O128" s="1257">
        <f t="shared" si="42"/>
        <v>0</v>
      </c>
      <c r="P128" s="1257">
        <f t="shared" si="42"/>
        <v>0</v>
      </c>
      <c r="Q128" s="1257">
        <f t="shared" si="42"/>
        <v>0</v>
      </c>
      <c r="R128" s="1257">
        <f t="shared" si="42"/>
        <v>0</v>
      </c>
      <c r="S128" s="1257">
        <f t="shared" si="42"/>
        <v>0</v>
      </c>
      <c r="T128" s="1257">
        <f t="shared" si="42"/>
        <v>0</v>
      </c>
      <c r="U128" s="1257">
        <f t="shared" si="42"/>
        <v>0</v>
      </c>
      <c r="V128" s="1257">
        <f t="shared" si="42"/>
        <v>0</v>
      </c>
      <c r="W128" s="1257">
        <f t="shared" si="42"/>
        <v>0</v>
      </c>
      <c r="X128" s="1257">
        <f t="shared" si="42"/>
        <v>0</v>
      </c>
      <c r="Y128" s="1257">
        <f t="shared" si="42"/>
        <v>0</v>
      </c>
      <c r="Z128" s="1257">
        <f t="shared" si="42"/>
        <v>0</v>
      </c>
      <c r="AA128" s="1257">
        <f t="shared" si="42"/>
        <v>0</v>
      </c>
      <c r="AB128" s="1257">
        <f t="shared" si="42"/>
        <v>0</v>
      </c>
      <c r="AC128" s="1257">
        <f t="shared" si="42"/>
        <v>0</v>
      </c>
      <c r="AD128" s="1257">
        <f t="shared" si="42"/>
        <v>0</v>
      </c>
      <c r="AE128" s="1257">
        <f t="shared" si="42"/>
        <v>0</v>
      </c>
      <c r="AF128" s="1257">
        <f t="shared" si="42"/>
        <v>0</v>
      </c>
      <c r="AG128" s="1257">
        <f t="shared" si="42"/>
        <v>0</v>
      </c>
      <c r="AH128" s="1257">
        <f t="shared" si="42"/>
        <v>0</v>
      </c>
      <c r="AI128" s="1257">
        <f t="shared" si="42"/>
        <v>0</v>
      </c>
      <c r="AJ128" s="1257">
        <f t="shared" si="42"/>
        <v>0</v>
      </c>
      <c r="AK128" s="1257">
        <f t="shared" si="42"/>
        <v>0</v>
      </c>
      <c r="AL128" s="1257">
        <f t="shared" si="42"/>
        <v>0</v>
      </c>
      <c r="AM128" s="1257">
        <f t="shared" si="42"/>
        <v>0</v>
      </c>
      <c r="AN128" s="1257">
        <f t="shared" si="42"/>
        <v>0</v>
      </c>
      <c r="AO128" s="1257">
        <f t="shared" si="42"/>
        <v>0</v>
      </c>
      <c r="AP128" s="1257">
        <f t="shared" si="42"/>
        <v>0</v>
      </c>
      <c r="AQ128" s="1257">
        <f t="shared" si="42"/>
        <v>0</v>
      </c>
      <c r="AR128" s="1257">
        <f t="shared" si="42"/>
        <v>0</v>
      </c>
      <c r="AS128" s="1257">
        <f t="shared" si="42"/>
        <v>0</v>
      </c>
      <c r="AT128" s="1257">
        <f t="shared" si="42"/>
        <v>0</v>
      </c>
      <c r="AU128" s="1257">
        <f t="shared" si="42"/>
        <v>0</v>
      </c>
      <c r="AV128" s="1257">
        <f t="shared" si="42"/>
        <v>0</v>
      </c>
      <c r="AW128" s="1257">
        <f t="shared" si="42"/>
        <v>0</v>
      </c>
      <c r="AX128" s="1257">
        <f t="shared" si="42"/>
        <v>0</v>
      </c>
      <c r="AY128" s="1257">
        <f t="shared" si="42"/>
        <v>0</v>
      </c>
      <c r="AZ128" s="1257">
        <f t="shared" si="42"/>
        <v>0</v>
      </c>
      <c r="BA128" s="1257">
        <f t="shared" si="42"/>
        <v>0</v>
      </c>
      <c r="BB128" s="1257">
        <f t="shared" si="42"/>
        <v>0</v>
      </c>
      <c r="BC128" s="1257">
        <f t="shared" si="42"/>
        <v>0</v>
      </c>
      <c r="BD128" s="1257">
        <f t="shared" si="42"/>
        <v>0</v>
      </c>
      <c r="BE128" s="1258">
        <f t="shared" si="42"/>
        <v>0</v>
      </c>
    </row>
    <row r="129" spans="2:57" x14ac:dyDescent="0.25">
      <c r="B129" s="278"/>
      <c r="C129" s="279"/>
      <c r="D129" s="279"/>
      <c r="E129" s="282"/>
      <c r="F129" s="282"/>
      <c r="G129" s="279"/>
      <c r="H129" s="1257"/>
      <c r="I129" s="1257"/>
      <c r="J129" s="1257"/>
      <c r="K129" s="1257"/>
      <c r="L129" s="1257"/>
      <c r="M129" s="1257"/>
      <c r="N129" s="1257"/>
      <c r="O129" s="1257"/>
      <c r="P129" s="1257"/>
      <c r="Q129" s="1257"/>
      <c r="R129" s="1257"/>
      <c r="S129" s="1257"/>
      <c r="T129" s="1257"/>
      <c r="U129" s="1257"/>
      <c r="V129" s="1257"/>
      <c r="W129" s="1257"/>
      <c r="X129" s="1257"/>
      <c r="Y129" s="1257"/>
      <c r="Z129" s="1257"/>
      <c r="AA129" s="1257"/>
      <c r="AB129" s="1257"/>
      <c r="AC129" s="1257"/>
      <c r="AD129" s="1257"/>
      <c r="AE129" s="1257"/>
      <c r="AF129" s="1257"/>
      <c r="AG129" s="1257"/>
      <c r="AH129" s="1257"/>
      <c r="AI129" s="1257"/>
      <c r="AJ129" s="1257"/>
      <c r="AK129" s="1257"/>
      <c r="AL129" s="1257"/>
      <c r="AM129" s="1257"/>
      <c r="AN129" s="1257"/>
      <c r="AO129" s="1257"/>
      <c r="AP129" s="1257"/>
      <c r="AQ129" s="1257"/>
      <c r="AR129" s="1257"/>
      <c r="AS129" s="1257"/>
      <c r="AT129" s="1257"/>
      <c r="AU129" s="1257"/>
      <c r="AV129" s="1257"/>
      <c r="AW129" s="1257"/>
      <c r="AX129" s="1257"/>
      <c r="AY129" s="1257"/>
      <c r="AZ129" s="1257"/>
      <c r="BA129" s="1257"/>
      <c r="BB129" s="1257"/>
      <c r="BC129" s="1257"/>
      <c r="BD129" s="1257"/>
      <c r="BE129" s="1258"/>
    </row>
    <row r="130" spans="2:57" x14ac:dyDescent="0.25">
      <c r="B130" s="278" t="s">
        <v>257</v>
      </c>
      <c r="C130" s="279"/>
      <c r="D130" s="279"/>
      <c r="E130" s="282"/>
      <c r="F130" s="282" t="s">
        <v>631</v>
      </c>
      <c r="G130" s="279"/>
      <c r="H130" s="1257">
        <f>H463</f>
        <v>0</v>
      </c>
      <c r="I130" s="1257">
        <f>I463</f>
        <v>0</v>
      </c>
      <c r="J130" s="1257">
        <f t="shared" ref="J130:BE130" si="43">J463</f>
        <v>0</v>
      </c>
      <c r="K130" s="1257">
        <f t="shared" si="43"/>
        <v>0</v>
      </c>
      <c r="L130" s="1257">
        <f t="shared" si="43"/>
        <v>0</v>
      </c>
      <c r="M130" s="1257">
        <f t="shared" si="43"/>
        <v>0</v>
      </c>
      <c r="N130" s="1257">
        <f t="shared" si="43"/>
        <v>0</v>
      </c>
      <c r="O130" s="1257">
        <f t="shared" si="43"/>
        <v>0</v>
      </c>
      <c r="P130" s="1257">
        <f t="shared" si="43"/>
        <v>0</v>
      </c>
      <c r="Q130" s="1257">
        <f t="shared" si="43"/>
        <v>0</v>
      </c>
      <c r="R130" s="1257">
        <f t="shared" si="43"/>
        <v>0</v>
      </c>
      <c r="S130" s="1257">
        <f t="shared" si="43"/>
        <v>0</v>
      </c>
      <c r="T130" s="1257">
        <f t="shared" si="43"/>
        <v>0</v>
      </c>
      <c r="U130" s="1257">
        <f t="shared" si="43"/>
        <v>0</v>
      </c>
      <c r="V130" s="1257">
        <f t="shared" si="43"/>
        <v>0</v>
      </c>
      <c r="W130" s="1257">
        <f t="shared" si="43"/>
        <v>0</v>
      </c>
      <c r="X130" s="1257">
        <f t="shared" si="43"/>
        <v>0</v>
      </c>
      <c r="Y130" s="1257">
        <f t="shared" si="43"/>
        <v>0</v>
      </c>
      <c r="Z130" s="1257">
        <f t="shared" si="43"/>
        <v>0</v>
      </c>
      <c r="AA130" s="1257">
        <f t="shared" si="43"/>
        <v>0</v>
      </c>
      <c r="AB130" s="1257">
        <f t="shared" si="43"/>
        <v>0</v>
      </c>
      <c r="AC130" s="1257">
        <f t="shared" si="43"/>
        <v>0</v>
      </c>
      <c r="AD130" s="1257">
        <f t="shared" si="43"/>
        <v>0</v>
      </c>
      <c r="AE130" s="1257">
        <f t="shared" si="43"/>
        <v>0</v>
      </c>
      <c r="AF130" s="1257">
        <f t="shared" si="43"/>
        <v>0</v>
      </c>
      <c r="AG130" s="1257">
        <f t="shared" si="43"/>
        <v>0</v>
      </c>
      <c r="AH130" s="1257">
        <f t="shared" si="43"/>
        <v>0</v>
      </c>
      <c r="AI130" s="1257">
        <f t="shared" si="43"/>
        <v>0</v>
      </c>
      <c r="AJ130" s="1257">
        <f t="shared" si="43"/>
        <v>0</v>
      </c>
      <c r="AK130" s="1257">
        <f t="shared" si="43"/>
        <v>0</v>
      </c>
      <c r="AL130" s="1257">
        <f t="shared" si="43"/>
        <v>0</v>
      </c>
      <c r="AM130" s="1257">
        <f t="shared" si="43"/>
        <v>0</v>
      </c>
      <c r="AN130" s="1257">
        <f t="shared" si="43"/>
        <v>0</v>
      </c>
      <c r="AO130" s="1257">
        <f t="shared" si="43"/>
        <v>0</v>
      </c>
      <c r="AP130" s="1257">
        <f t="shared" si="43"/>
        <v>0</v>
      </c>
      <c r="AQ130" s="1257">
        <f t="shared" si="43"/>
        <v>0</v>
      </c>
      <c r="AR130" s="1257">
        <f t="shared" si="43"/>
        <v>0</v>
      </c>
      <c r="AS130" s="1257">
        <f t="shared" si="43"/>
        <v>0</v>
      </c>
      <c r="AT130" s="1257">
        <f t="shared" si="43"/>
        <v>0</v>
      </c>
      <c r="AU130" s="1257">
        <f t="shared" si="43"/>
        <v>0</v>
      </c>
      <c r="AV130" s="1257">
        <f t="shared" si="43"/>
        <v>0</v>
      </c>
      <c r="AW130" s="1257">
        <f t="shared" si="43"/>
        <v>0</v>
      </c>
      <c r="AX130" s="1257">
        <f t="shared" si="43"/>
        <v>0</v>
      </c>
      <c r="AY130" s="1257">
        <f t="shared" si="43"/>
        <v>0</v>
      </c>
      <c r="AZ130" s="1257">
        <f t="shared" si="43"/>
        <v>0</v>
      </c>
      <c r="BA130" s="1257">
        <f t="shared" si="43"/>
        <v>0</v>
      </c>
      <c r="BB130" s="1257">
        <f t="shared" si="43"/>
        <v>0</v>
      </c>
      <c r="BC130" s="1257">
        <f t="shared" si="43"/>
        <v>0</v>
      </c>
      <c r="BD130" s="1257">
        <f t="shared" si="43"/>
        <v>0</v>
      </c>
      <c r="BE130" s="1258">
        <f t="shared" si="43"/>
        <v>0</v>
      </c>
    </row>
    <row r="131" spans="2:57" x14ac:dyDescent="0.25">
      <c r="B131" s="278" t="s">
        <v>189</v>
      </c>
      <c r="C131" s="279"/>
      <c r="D131" s="279"/>
      <c r="E131" s="282"/>
      <c r="F131" s="282" t="s">
        <v>631</v>
      </c>
      <c r="G131" s="279"/>
      <c r="H131" s="1257">
        <f>H484</f>
        <v>0</v>
      </c>
      <c r="I131" s="1257">
        <f>I484</f>
        <v>0</v>
      </c>
      <c r="J131" s="1257">
        <f t="shared" ref="J131:BE131" si="44">J484</f>
        <v>0</v>
      </c>
      <c r="K131" s="1257">
        <f t="shared" si="44"/>
        <v>0</v>
      </c>
      <c r="L131" s="1257">
        <f t="shared" si="44"/>
        <v>0</v>
      </c>
      <c r="M131" s="1257">
        <f t="shared" si="44"/>
        <v>0</v>
      </c>
      <c r="N131" s="1257">
        <f t="shared" si="44"/>
        <v>0</v>
      </c>
      <c r="O131" s="1257">
        <f t="shared" si="44"/>
        <v>0</v>
      </c>
      <c r="P131" s="1257">
        <f t="shared" si="44"/>
        <v>0</v>
      </c>
      <c r="Q131" s="1257">
        <f t="shared" si="44"/>
        <v>0</v>
      </c>
      <c r="R131" s="1257">
        <f t="shared" si="44"/>
        <v>0</v>
      </c>
      <c r="S131" s="1257">
        <f t="shared" si="44"/>
        <v>0</v>
      </c>
      <c r="T131" s="1257">
        <f t="shared" si="44"/>
        <v>0</v>
      </c>
      <c r="U131" s="1257">
        <f t="shared" si="44"/>
        <v>0</v>
      </c>
      <c r="V131" s="1257">
        <f t="shared" si="44"/>
        <v>0</v>
      </c>
      <c r="W131" s="1257">
        <f t="shared" si="44"/>
        <v>0</v>
      </c>
      <c r="X131" s="1257">
        <f t="shared" si="44"/>
        <v>0</v>
      </c>
      <c r="Y131" s="1257">
        <f t="shared" si="44"/>
        <v>0</v>
      </c>
      <c r="Z131" s="1257">
        <f t="shared" si="44"/>
        <v>0</v>
      </c>
      <c r="AA131" s="1257">
        <f t="shared" si="44"/>
        <v>0</v>
      </c>
      <c r="AB131" s="1257">
        <f t="shared" si="44"/>
        <v>0</v>
      </c>
      <c r="AC131" s="1257">
        <f t="shared" si="44"/>
        <v>0</v>
      </c>
      <c r="AD131" s="1257">
        <f t="shared" si="44"/>
        <v>0</v>
      </c>
      <c r="AE131" s="1257">
        <f t="shared" si="44"/>
        <v>0</v>
      </c>
      <c r="AF131" s="1257">
        <f t="shared" si="44"/>
        <v>0</v>
      </c>
      <c r="AG131" s="1257">
        <f t="shared" si="44"/>
        <v>0</v>
      </c>
      <c r="AH131" s="1257">
        <f t="shared" si="44"/>
        <v>0</v>
      </c>
      <c r="AI131" s="1257">
        <f t="shared" si="44"/>
        <v>0</v>
      </c>
      <c r="AJ131" s="1257">
        <f t="shared" si="44"/>
        <v>0</v>
      </c>
      <c r="AK131" s="1257">
        <f t="shared" si="44"/>
        <v>0</v>
      </c>
      <c r="AL131" s="1257">
        <f t="shared" si="44"/>
        <v>0</v>
      </c>
      <c r="AM131" s="1257">
        <f t="shared" si="44"/>
        <v>0</v>
      </c>
      <c r="AN131" s="1257">
        <f t="shared" si="44"/>
        <v>0</v>
      </c>
      <c r="AO131" s="1257">
        <f t="shared" si="44"/>
        <v>0</v>
      </c>
      <c r="AP131" s="1257">
        <f t="shared" si="44"/>
        <v>0</v>
      </c>
      <c r="AQ131" s="1257">
        <f t="shared" si="44"/>
        <v>0</v>
      </c>
      <c r="AR131" s="1257">
        <f t="shared" si="44"/>
        <v>0</v>
      </c>
      <c r="AS131" s="1257">
        <f t="shared" si="44"/>
        <v>0</v>
      </c>
      <c r="AT131" s="1257">
        <f t="shared" si="44"/>
        <v>0</v>
      </c>
      <c r="AU131" s="1257">
        <f t="shared" si="44"/>
        <v>0</v>
      </c>
      <c r="AV131" s="1257">
        <f t="shared" si="44"/>
        <v>0</v>
      </c>
      <c r="AW131" s="1257">
        <f t="shared" si="44"/>
        <v>0</v>
      </c>
      <c r="AX131" s="1257">
        <f t="shared" si="44"/>
        <v>0</v>
      </c>
      <c r="AY131" s="1257">
        <f t="shared" si="44"/>
        <v>0</v>
      </c>
      <c r="AZ131" s="1257">
        <f t="shared" si="44"/>
        <v>0</v>
      </c>
      <c r="BA131" s="1257">
        <f t="shared" si="44"/>
        <v>0</v>
      </c>
      <c r="BB131" s="1257">
        <f t="shared" si="44"/>
        <v>0</v>
      </c>
      <c r="BC131" s="1257">
        <f t="shared" si="44"/>
        <v>0</v>
      </c>
      <c r="BD131" s="1257">
        <f t="shared" si="44"/>
        <v>0</v>
      </c>
      <c r="BE131" s="1258">
        <f t="shared" si="44"/>
        <v>0</v>
      </c>
    </row>
    <row r="132" spans="2:57" x14ac:dyDescent="0.25">
      <c r="B132" s="278" t="s">
        <v>190</v>
      </c>
      <c r="C132" s="279"/>
      <c r="D132" s="279"/>
      <c r="E132" s="282"/>
      <c r="F132" s="282" t="s">
        <v>631</v>
      </c>
      <c r="G132" s="279"/>
      <c r="H132" s="1257">
        <f>H505</f>
        <v>0</v>
      </c>
      <c r="I132" s="1257">
        <f>I505</f>
        <v>0</v>
      </c>
      <c r="J132" s="1257">
        <f t="shared" ref="J132:BE132" si="45">J505</f>
        <v>0</v>
      </c>
      <c r="K132" s="1257">
        <f t="shared" si="45"/>
        <v>0</v>
      </c>
      <c r="L132" s="1257">
        <f t="shared" si="45"/>
        <v>0</v>
      </c>
      <c r="M132" s="1257">
        <f t="shared" si="45"/>
        <v>0</v>
      </c>
      <c r="N132" s="1257">
        <f t="shared" si="45"/>
        <v>0</v>
      </c>
      <c r="O132" s="1257">
        <f t="shared" si="45"/>
        <v>0</v>
      </c>
      <c r="P132" s="1257">
        <f t="shared" si="45"/>
        <v>0</v>
      </c>
      <c r="Q132" s="1257">
        <f t="shared" si="45"/>
        <v>0</v>
      </c>
      <c r="R132" s="1257">
        <f t="shared" si="45"/>
        <v>0</v>
      </c>
      <c r="S132" s="1257">
        <f t="shared" si="45"/>
        <v>0</v>
      </c>
      <c r="T132" s="1257">
        <f t="shared" si="45"/>
        <v>0</v>
      </c>
      <c r="U132" s="1257">
        <f t="shared" si="45"/>
        <v>0</v>
      </c>
      <c r="V132" s="1257">
        <f t="shared" si="45"/>
        <v>0</v>
      </c>
      <c r="W132" s="1257">
        <f t="shared" si="45"/>
        <v>0</v>
      </c>
      <c r="X132" s="1257">
        <f t="shared" si="45"/>
        <v>0</v>
      </c>
      <c r="Y132" s="1257">
        <f t="shared" si="45"/>
        <v>0</v>
      </c>
      <c r="Z132" s="1257">
        <f t="shared" si="45"/>
        <v>0</v>
      </c>
      <c r="AA132" s="1257">
        <f t="shared" si="45"/>
        <v>0</v>
      </c>
      <c r="AB132" s="1257">
        <f t="shared" si="45"/>
        <v>0</v>
      </c>
      <c r="AC132" s="1257">
        <f t="shared" si="45"/>
        <v>0</v>
      </c>
      <c r="AD132" s="1257">
        <f t="shared" si="45"/>
        <v>0</v>
      </c>
      <c r="AE132" s="1257">
        <f t="shared" si="45"/>
        <v>0</v>
      </c>
      <c r="AF132" s="1257">
        <f t="shared" si="45"/>
        <v>0</v>
      </c>
      <c r="AG132" s="1257">
        <f t="shared" si="45"/>
        <v>0</v>
      </c>
      <c r="AH132" s="1257">
        <f t="shared" si="45"/>
        <v>0</v>
      </c>
      <c r="AI132" s="1257">
        <f t="shared" si="45"/>
        <v>0</v>
      </c>
      <c r="AJ132" s="1257">
        <f t="shared" si="45"/>
        <v>0</v>
      </c>
      <c r="AK132" s="1257">
        <f t="shared" si="45"/>
        <v>0</v>
      </c>
      <c r="AL132" s="1257">
        <f t="shared" si="45"/>
        <v>0</v>
      </c>
      <c r="AM132" s="1257">
        <f t="shared" si="45"/>
        <v>0</v>
      </c>
      <c r="AN132" s="1257">
        <f t="shared" si="45"/>
        <v>0</v>
      </c>
      <c r="AO132" s="1257">
        <f t="shared" si="45"/>
        <v>0</v>
      </c>
      <c r="AP132" s="1257">
        <f t="shared" si="45"/>
        <v>0</v>
      </c>
      <c r="AQ132" s="1257">
        <f t="shared" si="45"/>
        <v>0</v>
      </c>
      <c r="AR132" s="1257">
        <f t="shared" si="45"/>
        <v>0</v>
      </c>
      <c r="AS132" s="1257">
        <f t="shared" si="45"/>
        <v>0</v>
      </c>
      <c r="AT132" s="1257">
        <f t="shared" si="45"/>
        <v>0</v>
      </c>
      <c r="AU132" s="1257">
        <f t="shared" si="45"/>
        <v>0</v>
      </c>
      <c r="AV132" s="1257">
        <f t="shared" si="45"/>
        <v>0</v>
      </c>
      <c r="AW132" s="1257">
        <f t="shared" si="45"/>
        <v>0</v>
      </c>
      <c r="AX132" s="1257">
        <f t="shared" si="45"/>
        <v>0</v>
      </c>
      <c r="AY132" s="1257">
        <f t="shared" si="45"/>
        <v>0</v>
      </c>
      <c r="AZ132" s="1257">
        <f t="shared" si="45"/>
        <v>0</v>
      </c>
      <c r="BA132" s="1257">
        <f t="shared" si="45"/>
        <v>0</v>
      </c>
      <c r="BB132" s="1257">
        <f t="shared" si="45"/>
        <v>0</v>
      </c>
      <c r="BC132" s="1257">
        <f t="shared" si="45"/>
        <v>0</v>
      </c>
      <c r="BD132" s="1257">
        <f t="shared" si="45"/>
        <v>0</v>
      </c>
      <c r="BE132" s="1258">
        <f t="shared" si="45"/>
        <v>0</v>
      </c>
    </row>
    <row r="133" spans="2:57" x14ac:dyDescent="0.25">
      <c r="B133" s="278" t="s">
        <v>132</v>
      </c>
      <c r="C133" s="279"/>
      <c r="D133" s="279"/>
      <c r="E133" s="282"/>
      <c r="F133" s="282" t="s">
        <v>631</v>
      </c>
      <c r="G133" s="279"/>
      <c r="H133" s="1257">
        <f>(H474+H495+H516)</f>
        <v>0</v>
      </c>
      <c r="I133" s="1257">
        <f>(I474+I495+I516)</f>
        <v>0</v>
      </c>
      <c r="J133" s="1257">
        <f t="shared" ref="J133:BE133" si="46">(J474+J495+J516)</f>
        <v>0</v>
      </c>
      <c r="K133" s="1257">
        <f t="shared" si="46"/>
        <v>0</v>
      </c>
      <c r="L133" s="1257">
        <f t="shared" si="46"/>
        <v>0</v>
      </c>
      <c r="M133" s="1257">
        <f t="shared" si="46"/>
        <v>0</v>
      </c>
      <c r="N133" s="1257">
        <f t="shared" si="46"/>
        <v>0</v>
      </c>
      <c r="O133" s="1257">
        <f t="shared" si="46"/>
        <v>0</v>
      </c>
      <c r="P133" s="1257">
        <f t="shared" si="46"/>
        <v>0</v>
      </c>
      <c r="Q133" s="1257">
        <f t="shared" si="46"/>
        <v>0</v>
      </c>
      <c r="R133" s="1257">
        <f t="shared" si="46"/>
        <v>0</v>
      </c>
      <c r="S133" s="1257">
        <f t="shared" si="46"/>
        <v>0</v>
      </c>
      <c r="T133" s="1257">
        <f t="shared" si="46"/>
        <v>0</v>
      </c>
      <c r="U133" s="1257">
        <f t="shared" si="46"/>
        <v>0</v>
      </c>
      <c r="V133" s="1257">
        <f t="shared" si="46"/>
        <v>0</v>
      </c>
      <c r="W133" s="1257">
        <f t="shared" si="46"/>
        <v>0</v>
      </c>
      <c r="X133" s="1257">
        <f t="shared" si="46"/>
        <v>0</v>
      </c>
      <c r="Y133" s="1257">
        <f t="shared" si="46"/>
        <v>0</v>
      </c>
      <c r="Z133" s="1257">
        <f t="shared" si="46"/>
        <v>0</v>
      </c>
      <c r="AA133" s="1257">
        <f t="shared" si="46"/>
        <v>0</v>
      </c>
      <c r="AB133" s="1257">
        <f t="shared" si="46"/>
        <v>0</v>
      </c>
      <c r="AC133" s="1257">
        <f t="shared" si="46"/>
        <v>0</v>
      </c>
      <c r="AD133" s="1257">
        <f t="shared" si="46"/>
        <v>0</v>
      </c>
      <c r="AE133" s="1257">
        <f t="shared" si="46"/>
        <v>0</v>
      </c>
      <c r="AF133" s="1257">
        <f t="shared" si="46"/>
        <v>0</v>
      </c>
      <c r="AG133" s="1257">
        <f t="shared" si="46"/>
        <v>0</v>
      </c>
      <c r="AH133" s="1257">
        <f t="shared" si="46"/>
        <v>0</v>
      </c>
      <c r="AI133" s="1257">
        <f t="shared" si="46"/>
        <v>0</v>
      </c>
      <c r="AJ133" s="1257">
        <f t="shared" si="46"/>
        <v>0</v>
      </c>
      <c r="AK133" s="1257">
        <f t="shared" si="46"/>
        <v>0</v>
      </c>
      <c r="AL133" s="1257">
        <f t="shared" si="46"/>
        <v>0</v>
      </c>
      <c r="AM133" s="1257">
        <f t="shared" si="46"/>
        <v>0</v>
      </c>
      <c r="AN133" s="1257">
        <f t="shared" si="46"/>
        <v>0</v>
      </c>
      <c r="AO133" s="1257">
        <f t="shared" si="46"/>
        <v>0</v>
      </c>
      <c r="AP133" s="1257">
        <f t="shared" si="46"/>
        <v>0</v>
      </c>
      <c r="AQ133" s="1257">
        <f t="shared" si="46"/>
        <v>0</v>
      </c>
      <c r="AR133" s="1257">
        <f t="shared" si="46"/>
        <v>0</v>
      </c>
      <c r="AS133" s="1257">
        <f t="shared" si="46"/>
        <v>0</v>
      </c>
      <c r="AT133" s="1257">
        <f t="shared" si="46"/>
        <v>0</v>
      </c>
      <c r="AU133" s="1257">
        <f t="shared" si="46"/>
        <v>0</v>
      </c>
      <c r="AV133" s="1257">
        <f t="shared" si="46"/>
        <v>0</v>
      </c>
      <c r="AW133" s="1257">
        <f t="shared" si="46"/>
        <v>0</v>
      </c>
      <c r="AX133" s="1257">
        <f t="shared" si="46"/>
        <v>0</v>
      </c>
      <c r="AY133" s="1257">
        <f t="shared" si="46"/>
        <v>0</v>
      </c>
      <c r="AZ133" s="1257">
        <f t="shared" si="46"/>
        <v>0</v>
      </c>
      <c r="BA133" s="1257">
        <f t="shared" si="46"/>
        <v>0</v>
      </c>
      <c r="BB133" s="1257">
        <f t="shared" si="46"/>
        <v>0</v>
      </c>
      <c r="BC133" s="1257">
        <f t="shared" si="46"/>
        <v>0</v>
      </c>
      <c r="BD133" s="1257">
        <f t="shared" si="46"/>
        <v>0</v>
      </c>
      <c r="BE133" s="1258">
        <f t="shared" si="46"/>
        <v>0</v>
      </c>
    </row>
    <row r="134" spans="2:57" x14ac:dyDescent="0.25">
      <c r="B134" s="278" t="s">
        <v>191</v>
      </c>
      <c r="C134" s="279"/>
      <c r="D134" s="279"/>
      <c r="E134" s="282"/>
      <c r="F134" s="282" t="s">
        <v>631</v>
      </c>
      <c r="G134" s="279"/>
      <c r="H134" s="1257">
        <f>(H496+H497)</f>
        <v>0</v>
      </c>
      <c r="I134" s="1257">
        <f>I497</f>
        <v>0</v>
      </c>
      <c r="J134" s="1257">
        <f t="shared" ref="J134:BE134" si="47">J497</f>
        <v>0</v>
      </c>
      <c r="K134" s="1257">
        <f t="shared" si="47"/>
        <v>0</v>
      </c>
      <c r="L134" s="1257">
        <f t="shared" si="47"/>
        <v>0</v>
      </c>
      <c r="M134" s="1257">
        <f t="shared" si="47"/>
        <v>0</v>
      </c>
      <c r="N134" s="1257">
        <f t="shared" si="47"/>
        <v>0</v>
      </c>
      <c r="O134" s="1257">
        <f t="shared" si="47"/>
        <v>0</v>
      </c>
      <c r="P134" s="1257">
        <f t="shared" si="47"/>
        <v>0</v>
      </c>
      <c r="Q134" s="1257">
        <f t="shared" si="47"/>
        <v>0</v>
      </c>
      <c r="R134" s="1257">
        <f t="shared" si="47"/>
        <v>0</v>
      </c>
      <c r="S134" s="1257">
        <f t="shared" si="47"/>
        <v>0</v>
      </c>
      <c r="T134" s="1257">
        <f t="shared" si="47"/>
        <v>0</v>
      </c>
      <c r="U134" s="1257">
        <f t="shared" si="47"/>
        <v>0</v>
      </c>
      <c r="V134" s="1257">
        <f t="shared" si="47"/>
        <v>0</v>
      </c>
      <c r="W134" s="1257">
        <f t="shared" si="47"/>
        <v>0</v>
      </c>
      <c r="X134" s="1257">
        <f t="shared" si="47"/>
        <v>0</v>
      </c>
      <c r="Y134" s="1257">
        <f t="shared" si="47"/>
        <v>0</v>
      </c>
      <c r="Z134" s="1257">
        <f t="shared" si="47"/>
        <v>0</v>
      </c>
      <c r="AA134" s="1257">
        <f t="shared" si="47"/>
        <v>0</v>
      </c>
      <c r="AB134" s="1257">
        <f t="shared" si="47"/>
        <v>0</v>
      </c>
      <c r="AC134" s="1257">
        <f t="shared" si="47"/>
        <v>0</v>
      </c>
      <c r="AD134" s="1257">
        <f t="shared" si="47"/>
        <v>0</v>
      </c>
      <c r="AE134" s="1257">
        <f t="shared" si="47"/>
        <v>0</v>
      </c>
      <c r="AF134" s="1257">
        <f t="shared" si="47"/>
        <v>0</v>
      </c>
      <c r="AG134" s="1257">
        <f t="shared" si="47"/>
        <v>0</v>
      </c>
      <c r="AH134" s="1257">
        <f t="shared" si="47"/>
        <v>0</v>
      </c>
      <c r="AI134" s="1257">
        <f t="shared" si="47"/>
        <v>0</v>
      </c>
      <c r="AJ134" s="1257">
        <f t="shared" si="47"/>
        <v>0</v>
      </c>
      <c r="AK134" s="1257">
        <f t="shared" si="47"/>
        <v>0</v>
      </c>
      <c r="AL134" s="1257">
        <f t="shared" si="47"/>
        <v>0</v>
      </c>
      <c r="AM134" s="1257">
        <f t="shared" si="47"/>
        <v>0</v>
      </c>
      <c r="AN134" s="1257">
        <f t="shared" si="47"/>
        <v>0</v>
      </c>
      <c r="AO134" s="1257">
        <f t="shared" si="47"/>
        <v>0</v>
      </c>
      <c r="AP134" s="1257">
        <f t="shared" si="47"/>
        <v>0</v>
      </c>
      <c r="AQ134" s="1257">
        <f t="shared" si="47"/>
        <v>0</v>
      </c>
      <c r="AR134" s="1257">
        <f t="shared" si="47"/>
        <v>0</v>
      </c>
      <c r="AS134" s="1257">
        <f t="shared" si="47"/>
        <v>0</v>
      </c>
      <c r="AT134" s="1257">
        <f t="shared" si="47"/>
        <v>0</v>
      </c>
      <c r="AU134" s="1257">
        <f t="shared" si="47"/>
        <v>0</v>
      </c>
      <c r="AV134" s="1257">
        <f t="shared" si="47"/>
        <v>0</v>
      </c>
      <c r="AW134" s="1257">
        <f t="shared" si="47"/>
        <v>0</v>
      </c>
      <c r="AX134" s="1257">
        <f t="shared" si="47"/>
        <v>0</v>
      </c>
      <c r="AY134" s="1257">
        <f t="shared" si="47"/>
        <v>0</v>
      </c>
      <c r="AZ134" s="1257">
        <f t="shared" si="47"/>
        <v>0</v>
      </c>
      <c r="BA134" s="1257">
        <f t="shared" si="47"/>
        <v>0</v>
      </c>
      <c r="BB134" s="1257">
        <f t="shared" si="47"/>
        <v>0</v>
      </c>
      <c r="BC134" s="1257">
        <f t="shared" si="47"/>
        <v>0</v>
      </c>
      <c r="BD134" s="1257">
        <f t="shared" si="47"/>
        <v>0</v>
      </c>
      <c r="BE134" s="1258">
        <f t="shared" si="47"/>
        <v>0</v>
      </c>
    </row>
    <row r="135" spans="2:57" x14ac:dyDescent="0.25">
      <c r="B135" s="278" t="s">
        <v>134</v>
      </c>
      <c r="C135" s="279"/>
      <c r="D135" s="279"/>
      <c r="E135" s="282"/>
      <c r="F135" s="282" t="s">
        <v>631</v>
      </c>
      <c r="G135" s="279"/>
      <c r="H135" s="1257">
        <f>(H526+H527)</f>
        <v>0</v>
      </c>
      <c r="I135" s="1257">
        <f>I527</f>
        <v>0</v>
      </c>
      <c r="J135" s="1257">
        <f t="shared" ref="J135:BE135" si="48">J527</f>
        <v>0</v>
      </c>
      <c r="K135" s="1257">
        <f t="shared" si="48"/>
        <v>0</v>
      </c>
      <c r="L135" s="1257">
        <f t="shared" si="48"/>
        <v>0</v>
      </c>
      <c r="M135" s="1257">
        <f t="shared" si="48"/>
        <v>0</v>
      </c>
      <c r="N135" s="1257">
        <f t="shared" si="48"/>
        <v>0</v>
      </c>
      <c r="O135" s="1257">
        <f t="shared" si="48"/>
        <v>0</v>
      </c>
      <c r="P135" s="1257">
        <f t="shared" si="48"/>
        <v>0</v>
      </c>
      <c r="Q135" s="1257">
        <f t="shared" si="48"/>
        <v>0</v>
      </c>
      <c r="R135" s="1257">
        <f t="shared" si="48"/>
        <v>0</v>
      </c>
      <c r="S135" s="1257">
        <f t="shared" si="48"/>
        <v>0</v>
      </c>
      <c r="T135" s="1257">
        <f t="shared" si="48"/>
        <v>0</v>
      </c>
      <c r="U135" s="1257">
        <f t="shared" si="48"/>
        <v>0</v>
      </c>
      <c r="V135" s="1257">
        <f t="shared" si="48"/>
        <v>0</v>
      </c>
      <c r="W135" s="1257">
        <f t="shared" si="48"/>
        <v>0</v>
      </c>
      <c r="X135" s="1257">
        <f t="shared" si="48"/>
        <v>0</v>
      </c>
      <c r="Y135" s="1257">
        <f t="shared" si="48"/>
        <v>0</v>
      </c>
      <c r="Z135" s="1257">
        <f t="shared" si="48"/>
        <v>0</v>
      </c>
      <c r="AA135" s="1257">
        <f t="shared" si="48"/>
        <v>0</v>
      </c>
      <c r="AB135" s="1257">
        <f t="shared" si="48"/>
        <v>0</v>
      </c>
      <c r="AC135" s="1257">
        <f t="shared" si="48"/>
        <v>0</v>
      </c>
      <c r="AD135" s="1257">
        <f t="shared" si="48"/>
        <v>0</v>
      </c>
      <c r="AE135" s="1257">
        <f t="shared" si="48"/>
        <v>0</v>
      </c>
      <c r="AF135" s="1257">
        <f t="shared" si="48"/>
        <v>0</v>
      </c>
      <c r="AG135" s="1257">
        <f t="shared" si="48"/>
        <v>0</v>
      </c>
      <c r="AH135" s="1257">
        <f t="shared" si="48"/>
        <v>0</v>
      </c>
      <c r="AI135" s="1257">
        <f t="shared" si="48"/>
        <v>0</v>
      </c>
      <c r="AJ135" s="1257">
        <f t="shared" si="48"/>
        <v>0</v>
      </c>
      <c r="AK135" s="1257">
        <f t="shared" si="48"/>
        <v>0</v>
      </c>
      <c r="AL135" s="1257">
        <f t="shared" si="48"/>
        <v>0</v>
      </c>
      <c r="AM135" s="1257">
        <f t="shared" si="48"/>
        <v>0</v>
      </c>
      <c r="AN135" s="1257">
        <f t="shared" si="48"/>
        <v>0</v>
      </c>
      <c r="AO135" s="1257">
        <f t="shared" si="48"/>
        <v>0</v>
      </c>
      <c r="AP135" s="1257">
        <f t="shared" si="48"/>
        <v>0</v>
      </c>
      <c r="AQ135" s="1257">
        <f t="shared" si="48"/>
        <v>0</v>
      </c>
      <c r="AR135" s="1257">
        <f t="shared" si="48"/>
        <v>0</v>
      </c>
      <c r="AS135" s="1257">
        <f t="shared" si="48"/>
        <v>0</v>
      </c>
      <c r="AT135" s="1257">
        <f t="shared" si="48"/>
        <v>0</v>
      </c>
      <c r="AU135" s="1257">
        <f t="shared" si="48"/>
        <v>0</v>
      </c>
      <c r="AV135" s="1257">
        <f t="shared" si="48"/>
        <v>0</v>
      </c>
      <c r="AW135" s="1257">
        <f t="shared" si="48"/>
        <v>0</v>
      </c>
      <c r="AX135" s="1257">
        <f t="shared" si="48"/>
        <v>0</v>
      </c>
      <c r="AY135" s="1257">
        <f t="shared" si="48"/>
        <v>0</v>
      </c>
      <c r="AZ135" s="1257">
        <f t="shared" si="48"/>
        <v>0</v>
      </c>
      <c r="BA135" s="1257">
        <f t="shared" si="48"/>
        <v>0</v>
      </c>
      <c r="BB135" s="1257">
        <f t="shared" si="48"/>
        <v>0</v>
      </c>
      <c r="BC135" s="1257">
        <f t="shared" si="48"/>
        <v>0</v>
      </c>
      <c r="BD135" s="1257">
        <f t="shared" si="48"/>
        <v>0</v>
      </c>
      <c r="BE135" s="1258">
        <f t="shared" si="48"/>
        <v>0</v>
      </c>
    </row>
    <row r="136" spans="2:57" x14ac:dyDescent="0.25">
      <c r="B136" s="278"/>
      <c r="C136" s="279"/>
      <c r="D136" s="279"/>
      <c r="E136" s="282"/>
      <c r="F136" s="282"/>
      <c r="G136" s="279"/>
      <c r="H136" s="1257"/>
      <c r="I136" s="1257"/>
      <c r="J136" s="1257"/>
      <c r="K136" s="1257"/>
      <c r="L136" s="1257"/>
      <c r="M136" s="1257"/>
      <c r="N136" s="1257"/>
      <c r="O136" s="1257"/>
      <c r="P136" s="1257"/>
      <c r="Q136" s="1257"/>
      <c r="R136" s="1257"/>
      <c r="S136" s="1257"/>
      <c r="T136" s="1257"/>
      <c r="U136" s="1257"/>
      <c r="V136" s="1257"/>
      <c r="W136" s="1257"/>
      <c r="X136" s="1257"/>
      <c r="Y136" s="1257"/>
      <c r="Z136" s="1257"/>
      <c r="AA136" s="1257"/>
      <c r="AB136" s="1257"/>
      <c r="AC136" s="1257"/>
      <c r="AD136" s="1257"/>
      <c r="AE136" s="1257"/>
      <c r="AF136" s="1257"/>
      <c r="AG136" s="1257"/>
      <c r="AH136" s="1257"/>
      <c r="AI136" s="1257"/>
      <c r="AJ136" s="1257"/>
      <c r="AK136" s="1257"/>
      <c r="AL136" s="1257"/>
      <c r="AM136" s="1257"/>
      <c r="AN136" s="1257"/>
      <c r="AO136" s="1257"/>
      <c r="AP136" s="1257"/>
      <c r="AQ136" s="1257"/>
      <c r="AR136" s="1257"/>
      <c r="AS136" s="1257"/>
      <c r="AT136" s="1257"/>
      <c r="AU136" s="1257"/>
      <c r="AV136" s="1257"/>
      <c r="AW136" s="1257"/>
      <c r="AX136" s="1257"/>
      <c r="AY136" s="1257"/>
      <c r="AZ136" s="1257"/>
      <c r="BA136" s="1257"/>
      <c r="BB136" s="1257"/>
      <c r="BC136" s="1257"/>
      <c r="BD136" s="1257"/>
      <c r="BE136" s="1258"/>
    </row>
    <row r="137" spans="2:57" x14ac:dyDescent="0.25">
      <c r="B137" s="278"/>
      <c r="C137" s="279"/>
      <c r="D137" s="279"/>
      <c r="E137" s="282"/>
      <c r="F137" s="282"/>
      <c r="G137" s="279"/>
      <c r="H137" s="1257"/>
      <c r="I137" s="1257"/>
      <c r="J137" s="1257"/>
      <c r="K137" s="1257"/>
      <c r="L137" s="1257"/>
      <c r="M137" s="1257"/>
      <c r="N137" s="1257"/>
      <c r="O137" s="1257"/>
      <c r="P137" s="1257"/>
      <c r="Q137" s="1257"/>
      <c r="R137" s="1257"/>
      <c r="S137" s="1257"/>
      <c r="T137" s="1257"/>
      <c r="U137" s="1257"/>
      <c r="V137" s="1257"/>
      <c r="W137" s="1257"/>
      <c r="X137" s="1257"/>
      <c r="Y137" s="1257"/>
      <c r="Z137" s="1257"/>
      <c r="AA137" s="1257"/>
      <c r="AB137" s="1257"/>
      <c r="AC137" s="1257"/>
      <c r="AD137" s="1257"/>
      <c r="AE137" s="1257"/>
      <c r="AF137" s="1257"/>
      <c r="AG137" s="1257"/>
      <c r="AH137" s="1257"/>
      <c r="AI137" s="1257"/>
      <c r="AJ137" s="1257"/>
      <c r="AK137" s="1257"/>
      <c r="AL137" s="1257"/>
      <c r="AM137" s="1257"/>
      <c r="AN137" s="1257"/>
      <c r="AO137" s="1257"/>
      <c r="AP137" s="1257"/>
      <c r="AQ137" s="1257"/>
      <c r="AR137" s="1257"/>
      <c r="AS137" s="1257"/>
      <c r="AT137" s="1257"/>
      <c r="AU137" s="1257"/>
      <c r="AV137" s="1257"/>
      <c r="AW137" s="1257"/>
      <c r="AX137" s="1257"/>
      <c r="AY137" s="1257"/>
      <c r="AZ137" s="1257"/>
      <c r="BA137" s="1257"/>
      <c r="BB137" s="1257"/>
      <c r="BC137" s="1257"/>
      <c r="BD137" s="1257"/>
      <c r="BE137" s="1258"/>
    </row>
    <row r="138" spans="2:57" x14ac:dyDescent="0.25">
      <c r="B138" s="290" t="s">
        <v>133</v>
      </c>
      <c r="C138" s="279"/>
      <c r="D138" s="279"/>
      <c r="E138" s="282"/>
      <c r="F138" s="282"/>
      <c r="G138" s="279"/>
      <c r="H138" s="1257"/>
      <c r="I138" s="1257"/>
      <c r="J138" s="1257"/>
      <c r="K138" s="1257"/>
      <c r="L138" s="1257"/>
      <c r="M138" s="1257"/>
      <c r="N138" s="1257"/>
      <c r="O138" s="1257"/>
      <c r="P138" s="1257"/>
      <c r="Q138" s="1257"/>
      <c r="R138" s="1257"/>
      <c r="S138" s="1257"/>
      <c r="T138" s="1257"/>
      <c r="U138" s="1257"/>
      <c r="V138" s="1257"/>
      <c r="W138" s="1257"/>
      <c r="X138" s="1257"/>
      <c r="Y138" s="1257"/>
      <c r="Z138" s="1257"/>
      <c r="AA138" s="1257"/>
      <c r="AB138" s="1257"/>
      <c r="AC138" s="1257"/>
      <c r="AD138" s="1257"/>
      <c r="AE138" s="1257"/>
      <c r="AF138" s="1257"/>
      <c r="AG138" s="1257"/>
      <c r="AH138" s="1257"/>
      <c r="AI138" s="1257"/>
      <c r="AJ138" s="1257"/>
      <c r="AK138" s="1257"/>
      <c r="AL138" s="1257"/>
      <c r="AM138" s="1257"/>
      <c r="AN138" s="1257"/>
      <c r="AO138" s="1257"/>
      <c r="AP138" s="1257"/>
      <c r="AQ138" s="1257"/>
      <c r="AR138" s="1257"/>
      <c r="AS138" s="1257"/>
      <c r="AT138" s="1257"/>
      <c r="AU138" s="1257"/>
      <c r="AV138" s="1257"/>
      <c r="AW138" s="1257"/>
      <c r="AX138" s="1257"/>
      <c r="AY138" s="1257"/>
      <c r="AZ138" s="1257"/>
      <c r="BA138" s="1257"/>
      <c r="BB138" s="1257"/>
      <c r="BC138" s="1257"/>
      <c r="BD138" s="1257"/>
      <c r="BE138" s="1258"/>
    </row>
    <row r="139" spans="2:57" x14ac:dyDescent="0.25">
      <c r="B139" s="278"/>
      <c r="C139" s="279"/>
      <c r="D139" s="279"/>
      <c r="E139" s="282"/>
      <c r="F139" s="282"/>
      <c r="G139" s="279"/>
      <c r="H139" s="1257"/>
      <c r="I139" s="1257"/>
      <c r="J139" s="1257"/>
      <c r="K139" s="1257"/>
      <c r="L139" s="1257"/>
      <c r="M139" s="1257"/>
      <c r="N139" s="1257"/>
      <c r="O139" s="1257"/>
      <c r="P139" s="1257"/>
      <c r="Q139" s="1257"/>
      <c r="R139" s="1257"/>
      <c r="S139" s="1257"/>
      <c r="T139" s="1257"/>
      <c r="U139" s="1257"/>
      <c r="V139" s="1257"/>
      <c r="W139" s="1257"/>
      <c r="X139" s="1257"/>
      <c r="Y139" s="1257"/>
      <c r="Z139" s="1257"/>
      <c r="AA139" s="1257"/>
      <c r="AB139" s="1257"/>
      <c r="AC139" s="1257"/>
      <c r="AD139" s="1257"/>
      <c r="AE139" s="1257"/>
      <c r="AF139" s="1257"/>
      <c r="AG139" s="1257"/>
      <c r="AH139" s="1257"/>
      <c r="AI139" s="1257"/>
      <c r="AJ139" s="1257"/>
      <c r="AK139" s="1257"/>
      <c r="AL139" s="1257"/>
      <c r="AM139" s="1257"/>
      <c r="AN139" s="1257"/>
      <c r="AO139" s="1257"/>
      <c r="AP139" s="1257"/>
      <c r="AQ139" s="1257"/>
      <c r="AR139" s="1257"/>
      <c r="AS139" s="1257"/>
      <c r="AT139" s="1257"/>
      <c r="AU139" s="1257"/>
      <c r="AV139" s="1257"/>
      <c r="AW139" s="1257"/>
      <c r="AX139" s="1257"/>
      <c r="AY139" s="1257"/>
      <c r="AZ139" s="1257"/>
      <c r="BA139" s="1257"/>
      <c r="BB139" s="1257"/>
      <c r="BC139" s="1257"/>
      <c r="BD139" s="1257"/>
      <c r="BE139" s="1258"/>
    </row>
    <row r="140" spans="2:57" x14ac:dyDescent="0.25">
      <c r="B140" s="278" t="str">
        <f>B118</f>
        <v>Operations &amp; Maintenance Expenses, excluding fuel cost</v>
      </c>
      <c r="C140" s="279"/>
      <c r="D140" s="279"/>
      <c r="E140" s="282"/>
      <c r="F140" s="282" t="s">
        <v>631</v>
      </c>
      <c r="G140" s="279"/>
      <c r="H140" s="1257">
        <f>-H118</f>
        <v>0</v>
      </c>
      <c r="I140" s="1257">
        <f t="shared" ref="I140:BE140" si="49">-I118</f>
        <v>0</v>
      </c>
      <c r="J140" s="1257">
        <f t="shared" si="49"/>
        <v>0</v>
      </c>
      <c r="K140" s="1257">
        <f t="shared" si="49"/>
        <v>0</v>
      </c>
      <c r="L140" s="1257">
        <f t="shared" si="49"/>
        <v>0</v>
      </c>
      <c r="M140" s="1257">
        <f t="shared" si="49"/>
        <v>0</v>
      </c>
      <c r="N140" s="1257">
        <f t="shared" si="49"/>
        <v>0</v>
      </c>
      <c r="O140" s="1257">
        <f t="shared" si="49"/>
        <v>0</v>
      </c>
      <c r="P140" s="1257">
        <f t="shared" si="49"/>
        <v>0</v>
      </c>
      <c r="Q140" s="1257">
        <f t="shared" si="49"/>
        <v>0</v>
      </c>
      <c r="R140" s="1257">
        <f t="shared" si="49"/>
        <v>0</v>
      </c>
      <c r="S140" s="1257">
        <f t="shared" si="49"/>
        <v>0</v>
      </c>
      <c r="T140" s="1257">
        <f t="shared" si="49"/>
        <v>0</v>
      </c>
      <c r="U140" s="1257">
        <f t="shared" si="49"/>
        <v>0</v>
      </c>
      <c r="V140" s="1257">
        <f t="shared" si="49"/>
        <v>0</v>
      </c>
      <c r="W140" s="1257">
        <f t="shared" si="49"/>
        <v>0</v>
      </c>
      <c r="X140" s="1257">
        <f t="shared" si="49"/>
        <v>0</v>
      </c>
      <c r="Y140" s="1257">
        <f t="shared" si="49"/>
        <v>0</v>
      </c>
      <c r="Z140" s="1257">
        <f t="shared" si="49"/>
        <v>0</v>
      </c>
      <c r="AA140" s="1257">
        <f t="shared" si="49"/>
        <v>0</v>
      </c>
      <c r="AB140" s="1257">
        <f t="shared" si="49"/>
        <v>0</v>
      </c>
      <c r="AC140" s="1257">
        <f t="shared" si="49"/>
        <v>0</v>
      </c>
      <c r="AD140" s="1257">
        <f t="shared" si="49"/>
        <v>0</v>
      </c>
      <c r="AE140" s="1257">
        <f t="shared" si="49"/>
        <v>0</v>
      </c>
      <c r="AF140" s="1257">
        <f t="shared" si="49"/>
        <v>0</v>
      </c>
      <c r="AG140" s="1257">
        <f t="shared" si="49"/>
        <v>0</v>
      </c>
      <c r="AH140" s="1257">
        <f t="shared" si="49"/>
        <v>0</v>
      </c>
      <c r="AI140" s="1257">
        <f t="shared" si="49"/>
        <v>0</v>
      </c>
      <c r="AJ140" s="1257">
        <f t="shared" si="49"/>
        <v>0</v>
      </c>
      <c r="AK140" s="1257">
        <f t="shared" si="49"/>
        <v>0</v>
      </c>
      <c r="AL140" s="1257">
        <f t="shared" si="49"/>
        <v>0</v>
      </c>
      <c r="AM140" s="1257">
        <f t="shared" si="49"/>
        <v>0</v>
      </c>
      <c r="AN140" s="1257">
        <f t="shared" si="49"/>
        <v>0</v>
      </c>
      <c r="AO140" s="1257">
        <f t="shared" si="49"/>
        <v>0</v>
      </c>
      <c r="AP140" s="1257">
        <f t="shared" si="49"/>
        <v>0</v>
      </c>
      <c r="AQ140" s="1257">
        <f t="shared" si="49"/>
        <v>0</v>
      </c>
      <c r="AR140" s="1257">
        <f t="shared" si="49"/>
        <v>0</v>
      </c>
      <c r="AS140" s="1257">
        <f t="shared" si="49"/>
        <v>0</v>
      </c>
      <c r="AT140" s="1257">
        <f t="shared" si="49"/>
        <v>0</v>
      </c>
      <c r="AU140" s="1257">
        <f t="shared" si="49"/>
        <v>0</v>
      </c>
      <c r="AV140" s="1257">
        <f t="shared" si="49"/>
        <v>0</v>
      </c>
      <c r="AW140" s="1257">
        <f t="shared" si="49"/>
        <v>0</v>
      </c>
      <c r="AX140" s="1257">
        <f t="shared" si="49"/>
        <v>0</v>
      </c>
      <c r="AY140" s="1257">
        <f t="shared" si="49"/>
        <v>0</v>
      </c>
      <c r="AZ140" s="1257">
        <f t="shared" si="49"/>
        <v>0</v>
      </c>
      <c r="BA140" s="1257">
        <f t="shared" si="49"/>
        <v>0</v>
      </c>
      <c r="BB140" s="1257">
        <f t="shared" si="49"/>
        <v>0</v>
      </c>
      <c r="BC140" s="1257">
        <f t="shared" si="49"/>
        <v>0</v>
      </c>
      <c r="BD140" s="1257">
        <f t="shared" si="49"/>
        <v>0</v>
      </c>
      <c r="BE140" s="1258">
        <f t="shared" si="49"/>
        <v>0</v>
      </c>
    </row>
    <row r="141" spans="2:57" x14ac:dyDescent="0.25">
      <c r="B141" s="278" t="s">
        <v>41</v>
      </c>
      <c r="C141" s="279"/>
      <c r="D141" s="279"/>
      <c r="E141" s="282"/>
      <c r="F141" s="282" t="s">
        <v>631</v>
      </c>
      <c r="G141" s="279"/>
      <c r="H141" s="1257" t="e">
        <f>-H126</f>
        <v>#DIV/0!</v>
      </c>
      <c r="I141" s="1257" t="e">
        <f t="shared" ref="I141:BE141" si="50">-I126</f>
        <v>#DIV/0!</v>
      </c>
      <c r="J141" s="1257" t="e">
        <f t="shared" si="50"/>
        <v>#DIV/0!</v>
      </c>
      <c r="K141" s="1257" t="e">
        <f t="shared" si="50"/>
        <v>#DIV/0!</v>
      </c>
      <c r="L141" s="1257" t="e">
        <f t="shared" si="50"/>
        <v>#DIV/0!</v>
      </c>
      <c r="M141" s="1257" t="e">
        <f t="shared" si="50"/>
        <v>#DIV/0!</v>
      </c>
      <c r="N141" s="1257" t="e">
        <f t="shared" si="50"/>
        <v>#DIV/0!</v>
      </c>
      <c r="O141" s="1257" t="e">
        <f t="shared" si="50"/>
        <v>#DIV/0!</v>
      </c>
      <c r="P141" s="1257" t="e">
        <f t="shared" si="50"/>
        <v>#DIV/0!</v>
      </c>
      <c r="Q141" s="1257" t="e">
        <f t="shared" si="50"/>
        <v>#DIV/0!</v>
      </c>
      <c r="R141" s="1257" t="e">
        <f t="shared" si="50"/>
        <v>#DIV/0!</v>
      </c>
      <c r="S141" s="1257" t="e">
        <f t="shared" si="50"/>
        <v>#DIV/0!</v>
      </c>
      <c r="T141" s="1257" t="e">
        <f t="shared" si="50"/>
        <v>#DIV/0!</v>
      </c>
      <c r="U141" s="1257" t="e">
        <f t="shared" si="50"/>
        <v>#DIV/0!</v>
      </c>
      <c r="V141" s="1257" t="e">
        <f t="shared" si="50"/>
        <v>#DIV/0!</v>
      </c>
      <c r="W141" s="1257" t="e">
        <f t="shared" si="50"/>
        <v>#DIV/0!</v>
      </c>
      <c r="X141" s="1257" t="e">
        <f t="shared" si="50"/>
        <v>#DIV/0!</v>
      </c>
      <c r="Y141" s="1257" t="e">
        <f t="shared" si="50"/>
        <v>#DIV/0!</v>
      </c>
      <c r="Z141" s="1257" t="e">
        <f t="shared" si="50"/>
        <v>#DIV/0!</v>
      </c>
      <c r="AA141" s="1257" t="e">
        <f t="shared" si="50"/>
        <v>#DIV/0!</v>
      </c>
      <c r="AB141" s="1257" t="e">
        <f t="shared" si="50"/>
        <v>#DIV/0!</v>
      </c>
      <c r="AC141" s="1257" t="e">
        <f t="shared" si="50"/>
        <v>#DIV/0!</v>
      </c>
      <c r="AD141" s="1257" t="e">
        <f t="shared" si="50"/>
        <v>#DIV/0!</v>
      </c>
      <c r="AE141" s="1257" t="e">
        <f t="shared" si="50"/>
        <v>#DIV/0!</v>
      </c>
      <c r="AF141" s="1257" t="e">
        <f t="shared" si="50"/>
        <v>#DIV/0!</v>
      </c>
      <c r="AG141" s="1257" t="e">
        <f t="shared" si="50"/>
        <v>#DIV/0!</v>
      </c>
      <c r="AH141" s="1257" t="e">
        <f t="shared" si="50"/>
        <v>#DIV/0!</v>
      </c>
      <c r="AI141" s="1257" t="e">
        <f t="shared" si="50"/>
        <v>#DIV/0!</v>
      </c>
      <c r="AJ141" s="1257" t="e">
        <f t="shared" si="50"/>
        <v>#DIV/0!</v>
      </c>
      <c r="AK141" s="1257" t="e">
        <f t="shared" si="50"/>
        <v>#DIV/0!</v>
      </c>
      <c r="AL141" s="1257" t="e">
        <f t="shared" si="50"/>
        <v>#DIV/0!</v>
      </c>
      <c r="AM141" s="1257" t="e">
        <f t="shared" si="50"/>
        <v>#DIV/0!</v>
      </c>
      <c r="AN141" s="1257" t="e">
        <f t="shared" si="50"/>
        <v>#DIV/0!</v>
      </c>
      <c r="AO141" s="1257" t="e">
        <f t="shared" si="50"/>
        <v>#DIV/0!</v>
      </c>
      <c r="AP141" s="1257" t="e">
        <f t="shared" si="50"/>
        <v>#DIV/0!</v>
      </c>
      <c r="AQ141" s="1257" t="e">
        <f t="shared" si="50"/>
        <v>#DIV/0!</v>
      </c>
      <c r="AR141" s="1257" t="e">
        <f t="shared" si="50"/>
        <v>#DIV/0!</v>
      </c>
      <c r="AS141" s="1257" t="e">
        <f t="shared" si="50"/>
        <v>#DIV/0!</v>
      </c>
      <c r="AT141" s="1257" t="e">
        <f t="shared" si="50"/>
        <v>#DIV/0!</v>
      </c>
      <c r="AU141" s="1257" t="e">
        <f t="shared" si="50"/>
        <v>#DIV/0!</v>
      </c>
      <c r="AV141" s="1257" t="e">
        <f t="shared" si="50"/>
        <v>#DIV/0!</v>
      </c>
      <c r="AW141" s="1257" t="e">
        <f t="shared" si="50"/>
        <v>#DIV/0!</v>
      </c>
      <c r="AX141" s="1257" t="e">
        <f t="shared" si="50"/>
        <v>#DIV/0!</v>
      </c>
      <c r="AY141" s="1257" t="e">
        <f t="shared" si="50"/>
        <v>#DIV/0!</v>
      </c>
      <c r="AZ141" s="1257" t="e">
        <f t="shared" si="50"/>
        <v>#DIV/0!</v>
      </c>
      <c r="BA141" s="1257" t="e">
        <f t="shared" si="50"/>
        <v>#DIV/0!</v>
      </c>
      <c r="BB141" s="1257" t="e">
        <f t="shared" si="50"/>
        <v>#DIV/0!</v>
      </c>
      <c r="BC141" s="1257" t="e">
        <f t="shared" si="50"/>
        <v>#DIV/0!</v>
      </c>
      <c r="BD141" s="1257" t="e">
        <f t="shared" si="50"/>
        <v>#DIV/0!</v>
      </c>
      <c r="BE141" s="1258" t="e">
        <f t="shared" si="50"/>
        <v>#DIV/0!</v>
      </c>
    </row>
    <row r="142" spans="2:57" x14ac:dyDescent="0.25">
      <c r="B142" s="278" t="str">
        <f>B133</f>
        <v xml:space="preserve">Front-end Fees </v>
      </c>
      <c r="C142" s="279"/>
      <c r="D142" s="279"/>
      <c r="E142" s="282"/>
      <c r="F142" s="282" t="s">
        <v>631</v>
      </c>
      <c r="G142" s="279"/>
      <c r="H142" s="1257">
        <f>-H133</f>
        <v>0</v>
      </c>
      <c r="I142" s="1257">
        <f t="shared" ref="I142:BE142" si="51">-I133</f>
        <v>0</v>
      </c>
      <c r="J142" s="1257">
        <f t="shared" si="51"/>
        <v>0</v>
      </c>
      <c r="K142" s="1257">
        <f t="shared" si="51"/>
        <v>0</v>
      </c>
      <c r="L142" s="1257">
        <f t="shared" si="51"/>
        <v>0</v>
      </c>
      <c r="M142" s="1257">
        <f t="shared" si="51"/>
        <v>0</v>
      </c>
      <c r="N142" s="1257">
        <f t="shared" si="51"/>
        <v>0</v>
      </c>
      <c r="O142" s="1257">
        <f t="shared" si="51"/>
        <v>0</v>
      </c>
      <c r="P142" s="1257">
        <f t="shared" si="51"/>
        <v>0</v>
      </c>
      <c r="Q142" s="1257">
        <f t="shared" si="51"/>
        <v>0</v>
      </c>
      <c r="R142" s="1257">
        <f t="shared" si="51"/>
        <v>0</v>
      </c>
      <c r="S142" s="1257">
        <f t="shared" si="51"/>
        <v>0</v>
      </c>
      <c r="T142" s="1257">
        <f t="shared" si="51"/>
        <v>0</v>
      </c>
      <c r="U142" s="1257">
        <f t="shared" si="51"/>
        <v>0</v>
      </c>
      <c r="V142" s="1257">
        <f t="shared" si="51"/>
        <v>0</v>
      </c>
      <c r="W142" s="1257">
        <f t="shared" si="51"/>
        <v>0</v>
      </c>
      <c r="X142" s="1257">
        <f t="shared" si="51"/>
        <v>0</v>
      </c>
      <c r="Y142" s="1257">
        <f t="shared" si="51"/>
        <v>0</v>
      </c>
      <c r="Z142" s="1257">
        <f t="shared" si="51"/>
        <v>0</v>
      </c>
      <c r="AA142" s="1257">
        <f t="shared" si="51"/>
        <v>0</v>
      </c>
      <c r="AB142" s="1257">
        <f t="shared" si="51"/>
        <v>0</v>
      </c>
      <c r="AC142" s="1257">
        <f t="shared" si="51"/>
        <v>0</v>
      </c>
      <c r="AD142" s="1257">
        <f t="shared" si="51"/>
        <v>0</v>
      </c>
      <c r="AE142" s="1257">
        <f t="shared" si="51"/>
        <v>0</v>
      </c>
      <c r="AF142" s="1257">
        <f t="shared" si="51"/>
        <v>0</v>
      </c>
      <c r="AG142" s="1257">
        <f t="shared" si="51"/>
        <v>0</v>
      </c>
      <c r="AH142" s="1257">
        <f t="shared" si="51"/>
        <v>0</v>
      </c>
      <c r="AI142" s="1257">
        <f t="shared" si="51"/>
        <v>0</v>
      </c>
      <c r="AJ142" s="1257">
        <f t="shared" si="51"/>
        <v>0</v>
      </c>
      <c r="AK142" s="1257">
        <f t="shared" si="51"/>
        <v>0</v>
      </c>
      <c r="AL142" s="1257">
        <f t="shared" si="51"/>
        <v>0</v>
      </c>
      <c r="AM142" s="1257">
        <f t="shared" si="51"/>
        <v>0</v>
      </c>
      <c r="AN142" s="1257">
        <f t="shared" si="51"/>
        <v>0</v>
      </c>
      <c r="AO142" s="1257">
        <f t="shared" si="51"/>
        <v>0</v>
      </c>
      <c r="AP142" s="1257">
        <f t="shared" si="51"/>
        <v>0</v>
      </c>
      <c r="AQ142" s="1257">
        <f t="shared" si="51"/>
        <v>0</v>
      </c>
      <c r="AR142" s="1257">
        <f t="shared" si="51"/>
        <v>0</v>
      </c>
      <c r="AS142" s="1257">
        <f t="shared" si="51"/>
        <v>0</v>
      </c>
      <c r="AT142" s="1257">
        <f t="shared" si="51"/>
        <v>0</v>
      </c>
      <c r="AU142" s="1257">
        <f t="shared" si="51"/>
        <v>0</v>
      </c>
      <c r="AV142" s="1257">
        <f t="shared" si="51"/>
        <v>0</v>
      </c>
      <c r="AW142" s="1257">
        <f t="shared" si="51"/>
        <v>0</v>
      </c>
      <c r="AX142" s="1257">
        <f t="shared" si="51"/>
        <v>0</v>
      </c>
      <c r="AY142" s="1257">
        <f t="shared" si="51"/>
        <v>0</v>
      </c>
      <c r="AZ142" s="1257">
        <f t="shared" si="51"/>
        <v>0</v>
      </c>
      <c r="BA142" s="1257">
        <f t="shared" si="51"/>
        <v>0</v>
      </c>
      <c r="BB142" s="1257">
        <f t="shared" si="51"/>
        <v>0</v>
      </c>
      <c r="BC142" s="1257">
        <f t="shared" si="51"/>
        <v>0</v>
      </c>
      <c r="BD142" s="1257">
        <f t="shared" si="51"/>
        <v>0</v>
      </c>
      <c r="BE142" s="1258">
        <f t="shared" si="51"/>
        <v>0</v>
      </c>
    </row>
    <row r="143" spans="2:57" x14ac:dyDescent="0.25">
      <c r="B143" s="278" t="str">
        <f>B134</f>
        <v xml:space="preserve">Public Guarantee Fees </v>
      </c>
      <c r="C143" s="279"/>
      <c r="D143" s="279"/>
      <c r="E143" s="282"/>
      <c r="F143" s="282" t="s">
        <v>631</v>
      </c>
      <c r="G143" s="279"/>
      <c r="H143" s="1257">
        <f>-H134</f>
        <v>0</v>
      </c>
      <c r="I143" s="1257">
        <f t="shared" ref="I143:BE143" si="52">-I134</f>
        <v>0</v>
      </c>
      <c r="J143" s="1257">
        <f t="shared" si="52"/>
        <v>0</v>
      </c>
      <c r="K143" s="1257">
        <f t="shared" si="52"/>
        <v>0</v>
      </c>
      <c r="L143" s="1257">
        <f t="shared" si="52"/>
        <v>0</v>
      </c>
      <c r="M143" s="1257">
        <f t="shared" si="52"/>
        <v>0</v>
      </c>
      <c r="N143" s="1257">
        <f t="shared" si="52"/>
        <v>0</v>
      </c>
      <c r="O143" s="1257">
        <f t="shared" si="52"/>
        <v>0</v>
      </c>
      <c r="P143" s="1257">
        <f t="shared" si="52"/>
        <v>0</v>
      </c>
      <c r="Q143" s="1257">
        <f t="shared" si="52"/>
        <v>0</v>
      </c>
      <c r="R143" s="1257">
        <f t="shared" si="52"/>
        <v>0</v>
      </c>
      <c r="S143" s="1257">
        <f t="shared" si="52"/>
        <v>0</v>
      </c>
      <c r="T143" s="1257">
        <f t="shared" si="52"/>
        <v>0</v>
      </c>
      <c r="U143" s="1257">
        <f t="shared" si="52"/>
        <v>0</v>
      </c>
      <c r="V143" s="1257">
        <f t="shared" si="52"/>
        <v>0</v>
      </c>
      <c r="W143" s="1257">
        <f t="shared" si="52"/>
        <v>0</v>
      </c>
      <c r="X143" s="1257">
        <f t="shared" si="52"/>
        <v>0</v>
      </c>
      <c r="Y143" s="1257">
        <f t="shared" si="52"/>
        <v>0</v>
      </c>
      <c r="Z143" s="1257">
        <f t="shared" si="52"/>
        <v>0</v>
      </c>
      <c r="AA143" s="1257">
        <f t="shared" si="52"/>
        <v>0</v>
      </c>
      <c r="AB143" s="1257">
        <f t="shared" si="52"/>
        <v>0</v>
      </c>
      <c r="AC143" s="1257">
        <f t="shared" si="52"/>
        <v>0</v>
      </c>
      <c r="AD143" s="1257">
        <f t="shared" si="52"/>
        <v>0</v>
      </c>
      <c r="AE143" s="1257">
        <f t="shared" si="52"/>
        <v>0</v>
      </c>
      <c r="AF143" s="1257">
        <f t="shared" si="52"/>
        <v>0</v>
      </c>
      <c r="AG143" s="1257">
        <f t="shared" si="52"/>
        <v>0</v>
      </c>
      <c r="AH143" s="1257">
        <f t="shared" si="52"/>
        <v>0</v>
      </c>
      <c r="AI143" s="1257">
        <f t="shared" si="52"/>
        <v>0</v>
      </c>
      <c r="AJ143" s="1257">
        <f t="shared" si="52"/>
        <v>0</v>
      </c>
      <c r="AK143" s="1257">
        <f t="shared" si="52"/>
        <v>0</v>
      </c>
      <c r="AL143" s="1257">
        <f t="shared" si="52"/>
        <v>0</v>
      </c>
      <c r="AM143" s="1257">
        <f t="shared" si="52"/>
        <v>0</v>
      </c>
      <c r="AN143" s="1257">
        <f t="shared" si="52"/>
        <v>0</v>
      </c>
      <c r="AO143" s="1257">
        <f t="shared" si="52"/>
        <v>0</v>
      </c>
      <c r="AP143" s="1257">
        <f t="shared" si="52"/>
        <v>0</v>
      </c>
      <c r="AQ143" s="1257">
        <f t="shared" si="52"/>
        <v>0</v>
      </c>
      <c r="AR143" s="1257">
        <f t="shared" si="52"/>
        <v>0</v>
      </c>
      <c r="AS143" s="1257">
        <f t="shared" si="52"/>
        <v>0</v>
      </c>
      <c r="AT143" s="1257">
        <f t="shared" si="52"/>
        <v>0</v>
      </c>
      <c r="AU143" s="1257">
        <f t="shared" si="52"/>
        <v>0</v>
      </c>
      <c r="AV143" s="1257">
        <f t="shared" si="52"/>
        <v>0</v>
      </c>
      <c r="AW143" s="1257">
        <f t="shared" si="52"/>
        <v>0</v>
      </c>
      <c r="AX143" s="1257">
        <f t="shared" si="52"/>
        <v>0</v>
      </c>
      <c r="AY143" s="1257">
        <f t="shared" si="52"/>
        <v>0</v>
      </c>
      <c r="AZ143" s="1257">
        <f t="shared" si="52"/>
        <v>0</v>
      </c>
      <c r="BA143" s="1257">
        <f t="shared" si="52"/>
        <v>0</v>
      </c>
      <c r="BB143" s="1257">
        <f t="shared" si="52"/>
        <v>0</v>
      </c>
      <c r="BC143" s="1257">
        <f t="shared" si="52"/>
        <v>0</v>
      </c>
      <c r="BD143" s="1257">
        <f t="shared" si="52"/>
        <v>0</v>
      </c>
      <c r="BE143" s="1258">
        <f t="shared" si="52"/>
        <v>0</v>
      </c>
    </row>
    <row r="144" spans="2:57" x14ac:dyDescent="0.25">
      <c r="B144" s="278" t="str">
        <f>B135</f>
        <v>Political Risk Insurance - Fees &amp; Annual Premium Payments</v>
      </c>
      <c r="C144" s="279"/>
      <c r="D144" s="279"/>
      <c r="E144" s="282"/>
      <c r="F144" s="282" t="s">
        <v>631</v>
      </c>
      <c r="G144" s="279"/>
      <c r="H144" s="1257">
        <f>-H135</f>
        <v>0</v>
      </c>
      <c r="I144" s="1257">
        <f t="shared" ref="I144:BE144" si="53">-I135</f>
        <v>0</v>
      </c>
      <c r="J144" s="1257">
        <f t="shared" si="53"/>
        <v>0</v>
      </c>
      <c r="K144" s="1257">
        <f t="shared" si="53"/>
        <v>0</v>
      </c>
      <c r="L144" s="1257">
        <f t="shared" si="53"/>
        <v>0</v>
      </c>
      <c r="M144" s="1257">
        <f t="shared" si="53"/>
        <v>0</v>
      </c>
      <c r="N144" s="1257">
        <f t="shared" si="53"/>
        <v>0</v>
      </c>
      <c r="O144" s="1257">
        <f t="shared" si="53"/>
        <v>0</v>
      </c>
      <c r="P144" s="1257">
        <f t="shared" si="53"/>
        <v>0</v>
      </c>
      <c r="Q144" s="1257">
        <f t="shared" si="53"/>
        <v>0</v>
      </c>
      <c r="R144" s="1257">
        <f t="shared" si="53"/>
        <v>0</v>
      </c>
      <c r="S144" s="1257">
        <f t="shared" si="53"/>
        <v>0</v>
      </c>
      <c r="T144" s="1257">
        <f t="shared" si="53"/>
        <v>0</v>
      </c>
      <c r="U144" s="1257">
        <f t="shared" si="53"/>
        <v>0</v>
      </c>
      <c r="V144" s="1257">
        <f t="shared" si="53"/>
        <v>0</v>
      </c>
      <c r="W144" s="1257">
        <f t="shared" si="53"/>
        <v>0</v>
      </c>
      <c r="X144" s="1257">
        <f t="shared" si="53"/>
        <v>0</v>
      </c>
      <c r="Y144" s="1257">
        <f t="shared" si="53"/>
        <v>0</v>
      </c>
      <c r="Z144" s="1257">
        <f t="shared" si="53"/>
        <v>0</v>
      </c>
      <c r="AA144" s="1257">
        <f t="shared" si="53"/>
        <v>0</v>
      </c>
      <c r="AB144" s="1257">
        <f t="shared" si="53"/>
        <v>0</v>
      </c>
      <c r="AC144" s="1257">
        <f t="shared" si="53"/>
        <v>0</v>
      </c>
      <c r="AD144" s="1257">
        <f t="shared" si="53"/>
        <v>0</v>
      </c>
      <c r="AE144" s="1257">
        <f t="shared" si="53"/>
        <v>0</v>
      </c>
      <c r="AF144" s="1257">
        <f t="shared" si="53"/>
        <v>0</v>
      </c>
      <c r="AG144" s="1257">
        <f t="shared" si="53"/>
        <v>0</v>
      </c>
      <c r="AH144" s="1257">
        <f t="shared" si="53"/>
        <v>0</v>
      </c>
      <c r="AI144" s="1257">
        <f t="shared" si="53"/>
        <v>0</v>
      </c>
      <c r="AJ144" s="1257">
        <f t="shared" si="53"/>
        <v>0</v>
      </c>
      <c r="AK144" s="1257">
        <f t="shared" si="53"/>
        <v>0</v>
      </c>
      <c r="AL144" s="1257">
        <f t="shared" si="53"/>
        <v>0</v>
      </c>
      <c r="AM144" s="1257">
        <f t="shared" si="53"/>
        <v>0</v>
      </c>
      <c r="AN144" s="1257">
        <f t="shared" si="53"/>
        <v>0</v>
      </c>
      <c r="AO144" s="1257">
        <f t="shared" si="53"/>
        <v>0</v>
      </c>
      <c r="AP144" s="1257">
        <f t="shared" si="53"/>
        <v>0</v>
      </c>
      <c r="AQ144" s="1257">
        <f t="shared" si="53"/>
        <v>0</v>
      </c>
      <c r="AR144" s="1257">
        <f t="shared" si="53"/>
        <v>0</v>
      </c>
      <c r="AS144" s="1257">
        <f t="shared" si="53"/>
        <v>0</v>
      </c>
      <c r="AT144" s="1257">
        <f t="shared" si="53"/>
        <v>0</v>
      </c>
      <c r="AU144" s="1257">
        <f t="shared" si="53"/>
        <v>0</v>
      </c>
      <c r="AV144" s="1257">
        <f t="shared" si="53"/>
        <v>0</v>
      </c>
      <c r="AW144" s="1257">
        <f t="shared" si="53"/>
        <v>0</v>
      </c>
      <c r="AX144" s="1257">
        <f t="shared" si="53"/>
        <v>0</v>
      </c>
      <c r="AY144" s="1257">
        <f t="shared" si="53"/>
        <v>0</v>
      </c>
      <c r="AZ144" s="1257">
        <f t="shared" si="53"/>
        <v>0</v>
      </c>
      <c r="BA144" s="1257">
        <f t="shared" si="53"/>
        <v>0</v>
      </c>
      <c r="BB144" s="1257">
        <f t="shared" si="53"/>
        <v>0</v>
      </c>
      <c r="BC144" s="1257">
        <f t="shared" si="53"/>
        <v>0</v>
      </c>
      <c r="BD144" s="1257">
        <f t="shared" si="53"/>
        <v>0</v>
      </c>
      <c r="BE144" s="1258">
        <f t="shared" si="53"/>
        <v>0</v>
      </c>
    </row>
    <row r="145" spans="2:57" x14ac:dyDescent="0.25">
      <c r="B145" s="278" t="s">
        <v>102</v>
      </c>
      <c r="C145" s="279"/>
      <c r="D145" s="279"/>
      <c r="E145" s="282"/>
      <c r="F145" s="282" t="s">
        <v>631</v>
      </c>
      <c r="G145" s="279"/>
      <c r="H145" s="1257">
        <f>-(H465+H486+H507)</f>
        <v>0</v>
      </c>
      <c r="I145" s="1257">
        <f t="shared" ref="I145:BE145" si="54">-(I465+I486+I507)</f>
        <v>0</v>
      </c>
      <c r="J145" s="1257">
        <f t="shared" si="54"/>
        <v>0</v>
      </c>
      <c r="K145" s="1257">
        <f t="shared" si="54"/>
        <v>0</v>
      </c>
      <c r="L145" s="1257">
        <f t="shared" si="54"/>
        <v>0</v>
      </c>
      <c r="M145" s="1257">
        <f t="shared" si="54"/>
        <v>0</v>
      </c>
      <c r="N145" s="1257">
        <f t="shared" si="54"/>
        <v>0</v>
      </c>
      <c r="O145" s="1257">
        <f t="shared" si="54"/>
        <v>0</v>
      </c>
      <c r="P145" s="1257">
        <f t="shared" si="54"/>
        <v>0</v>
      </c>
      <c r="Q145" s="1257">
        <f t="shared" si="54"/>
        <v>0</v>
      </c>
      <c r="R145" s="1257">
        <f t="shared" si="54"/>
        <v>0</v>
      </c>
      <c r="S145" s="1257">
        <f t="shared" si="54"/>
        <v>0</v>
      </c>
      <c r="T145" s="1257">
        <f t="shared" si="54"/>
        <v>0</v>
      </c>
      <c r="U145" s="1257">
        <f t="shared" si="54"/>
        <v>0</v>
      </c>
      <c r="V145" s="1257">
        <f t="shared" si="54"/>
        <v>0</v>
      </c>
      <c r="W145" s="1257">
        <f t="shared" si="54"/>
        <v>0</v>
      </c>
      <c r="X145" s="1257">
        <f t="shared" si="54"/>
        <v>0</v>
      </c>
      <c r="Y145" s="1257">
        <f t="shared" si="54"/>
        <v>0</v>
      </c>
      <c r="Z145" s="1257">
        <f t="shared" si="54"/>
        <v>0</v>
      </c>
      <c r="AA145" s="1257">
        <f t="shared" si="54"/>
        <v>0</v>
      </c>
      <c r="AB145" s="1257">
        <f t="shared" si="54"/>
        <v>0</v>
      </c>
      <c r="AC145" s="1257">
        <f t="shared" si="54"/>
        <v>0</v>
      </c>
      <c r="AD145" s="1257">
        <f t="shared" si="54"/>
        <v>0</v>
      </c>
      <c r="AE145" s="1257">
        <f t="shared" si="54"/>
        <v>0</v>
      </c>
      <c r="AF145" s="1257">
        <f t="shared" si="54"/>
        <v>0</v>
      </c>
      <c r="AG145" s="1257">
        <f t="shared" si="54"/>
        <v>0</v>
      </c>
      <c r="AH145" s="1257">
        <f t="shared" si="54"/>
        <v>0</v>
      </c>
      <c r="AI145" s="1257">
        <f t="shared" si="54"/>
        <v>0</v>
      </c>
      <c r="AJ145" s="1257">
        <f t="shared" si="54"/>
        <v>0</v>
      </c>
      <c r="AK145" s="1257">
        <f t="shared" si="54"/>
        <v>0</v>
      </c>
      <c r="AL145" s="1257">
        <f t="shared" si="54"/>
        <v>0</v>
      </c>
      <c r="AM145" s="1257">
        <f t="shared" si="54"/>
        <v>0</v>
      </c>
      <c r="AN145" s="1257">
        <f t="shared" si="54"/>
        <v>0</v>
      </c>
      <c r="AO145" s="1257">
        <f t="shared" si="54"/>
        <v>0</v>
      </c>
      <c r="AP145" s="1257">
        <f t="shared" si="54"/>
        <v>0</v>
      </c>
      <c r="AQ145" s="1257">
        <f t="shared" si="54"/>
        <v>0</v>
      </c>
      <c r="AR145" s="1257">
        <f t="shared" si="54"/>
        <v>0</v>
      </c>
      <c r="AS145" s="1257">
        <f t="shared" si="54"/>
        <v>0</v>
      </c>
      <c r="AT145" s="1257">
        <f t="shared" si="54"/>
        <v>0</v>
      </c>
      <c r="AU145" s="1257">
        <f t="shared" si="54"/>
        <v>0</v>
      </c>
      <c r="AV145" s="1257">
        <f t="shared" si="54"/>
        <v>0</v>
      </c>
      <c r="AW145" s="1257">
        <f t="shared" si="54"/>
        <v>0</v>
      </c>
      <c r="AX145" s="1257">
        <f t="shared" si="54"/>
        <v>0</v>
      </c>
      <c r="AY145" s="1257">
        <f t="shared" si="54"/>
        <v>0</v>
      </c>
      <c r="AZ145" s="1257">
        <f t="shared" si="54"/>
        <v>0</v>
      </c>
      <c r="BA145" s="1257">
        <f t="shared" si="54"/>
        <v>0</v>
      </c>
      <c r="BB145" s="1257">
        <f t="shared" si="54"/>
        <v>0</v>
      </c>
      <c r="BC145" s="1257">
        <f t="shared" si="54"/>
        <v>0</v>
      </c>
      <c r="BD145" s="1257">
        <f t="shared" si="54"/>
        <v>0</v>
      </c>
      <c r="BE145" s="1258">
        <f t="shared" si="54"/>
        <v>0</v>
      </c>
    </row>
    <row r="146" spans="2:57" x14ac:dyDescent="0.25">
      <c r="B146" s="291" t="s">
        <v>103</v>
      </c>
      <c r="C146" s="286"/>
      <c r="D146" s="286"/>
      <c r="E146" s="287"/>
      <c r="F146" s="287" t="s">
        <v>631</v>
      </c>
      <c r="G146" s="286"/>
      <c r="H146" s="1259" t="e">
        <f>(H118+H126+H128+H133+H134+H135+H130+H131+H132)*'II. Inputs, Baseline Energy Mix'!$P$19</f>
        <v>#DIV/0!</v>
      </c>
      <c r="I146" s="1259" t="e">
        <f>(I118+I126+I128+I133+I134+I135+I130+I131+I132)*'II. Inputs, Baseline Energy Mix'!$P$19</f>
        <v>#DIV/0!</v>
      </c>
      <c r="J146" s="1259" t="e">
        <f>(J118+J126+J128+J133+J134+J135+J130+J131+J132)*'II. Inputs, Baseline Energy Mix'!$P$19</f>
        <v>#DIV/0!</v>
      </c>
      <c r="K146" s="1259" t="e">
        <f>(K118+K126+K128+K133+K134+K135+K130+K131+K132)*'II. Inputs, Baseline Energy Mix'!$P$19</f>
        <v>#DIV/0!</v>
      </c>
      <c r="L146" s="1259" t="e">
        <f>(L118+L126+L128+L133+L134+L135+L130+L131+L132)*'II. Inputs, Baseline Energy Mix'!$P$19</f>
        <v>#DIV/0!</v>
      </c>
      <c r="M146" s="1259" t="e">
        <f>(M118+M126+M128+M133+M134+M135+M130+M131+M132)*'II. Inputs, Baseline Energy Mix'!$P$19</f>
        <v>#DIV/0!</v>
      </c>
      <c r="N146" s="1259" t="e">
        <f>(N118+N126+N128+N133+N134+N135+N130+N131+N132)*'II. Inputs, Baseline Energy Mix'!$P$19</f>
        <v>#DIV/0!</v>
      </c>
      <c r="O146" s="1259" t="e">
        <f>(O118+O126+O128+O133+O134+O135+O130+O131+O132)*'II. Inputs, Baseline Energy Mix'!$P$19</f>
        <v>#DIV/0!</v>
      </c>
      <c r="P146" s="1259" t="e">
        <f>(P118+P126+P128+P133+P134+P135+P130+P131+P132)*'II. Inputs, Baseline Energy Mix'!$P$19</f>
        <v>#DIV/0!</v>
      </c>
      <c r="Q146" s="1259" t="e">
        <f>(Q118+Q126+Q128+Q133+Q134+Q135+Q130+Q131+Q132)*'II. Inputs, Baseline Energy Mix'!$P$19</f>
        <v>#DIV/0!</v>
      </c>
      <c r="R146" s="1259" t="e">
        <f>(R118+R126+R128+R133+R134+R135+R130+R131+R132)*'II. Inputs, Baseline Energy Mix'!$P$19</f>
        <v>#DIV/0!</v>
      </c>
      <c r="S146" s="1259" t="e">
        <f>(S118+S126+S128+S133+S134+S135+S130+S131+S132)*'II. Inputs, Baseline Energy Mix'!$P$19</f>
        <v>#DIV/0!</v>
      </c>
      <c r="T146" s="1259" t="e">
        <f>(T118+T126+T128+T133+T134+T135+T130+T131+T132)*'II. Inputs, Baseline Energy Mix'!$P$19</f>
        <v>#DIV/0!</v>
      </c>
      <c r="U146" s="1259" t="e">
        <f>(U118+U126+U128+U133+U134+U135+U130+U131+U132)*'II. Inputs, Baseline Energy Mix'!$P$19</f>
        <v>#DIV/0!</v>
      </c>
      <c r="V146" s="1259" t="e">
        <f>(V118+V126+V128+V133+V134+V135+V130+V131+V132)*'II. Inputs, Baseline Energy Mix'!$P$19</f>
        <v>#DIV/0!</v>
      </c>
      <c r="W146" s="1259" t="e">
        <f>(W118+W126+W128+W133+W134+W135+W130+W131+W132)*'II. Inputs, Baseline Energy Mix'!$P$19</f>
        <v>#DIV/0!</v>
      </c>
      <c r="X146" s="1259" t="e">
        <f>(X118+X126+X128+X133+X134+X135+X130+X131+X132)*'II. Inputs, Baseline Energy Mix'!$P$19</f>
        <v>#DIV/0!</v>
      </c>
      <c r="Y146" s="1259" t="e">
        <f>(Y118+Y126+Y128+Y133+Y134+Y135+Y130+Y131+Y132)*'II. Inputs, Baseline Energy Mix'!$P$19</f>
        <v>#DIV/0!</v>
      </c>
      <c r="Z146" s="1259" t="e">
        <f>(Z118+Z126+Z128+Z133+Z134+Z135+Z130+Z131+Z132)*'II. Inputs, Baseline Energy Mix'!$P$19</f>
        <v>#DIV/0!</v>
      </c>
      <c r="AA146" s="1259" t="e">
        <f>(AA118+AA126+AA128+AA133+AA134+AA135+AA130+AA131+AA132)*'II. Inputs, Baseline Energy Mix'!$P$19</f>
        <v>#DIV/0!</v>
      </c>
      <c r="AB146" s="1259" t="e">
        <f>(AB118+AB126+AB128+AB133+AB134+AB135+AB130+AB131+AB132)*'II. Inputs, Baseline Energy Mix'!$P$19</f>
        <v>#DIV/0!</v>
      </c>
      <c r="AC146" s="1259" t="e">
        <f>(AC118+AC126+AC128+AC133+AC134+AC135+AC130+AC131+AC132)*'II. Inputs, Baseline Energy Mix'!$P$19</f>
        <v>#DIV/0!</v>
      </c>
      <c r="AD146" s="1259" t="e">
        <f>(AD118+AD126+AD128+AD133+AD134+AD135+AD130+AD131+AD132)*'II. Inputs, Baseline Energy Mix'!$P$19</f>
        <v>#DIV/0!</v>
      </c>
      <c r="AE146" s="1259" t="e">
        <f>(AE118+AE126+AE128+AE133+AE134+AE135+AE130+AE131+AE132)*'II. Inputs, Baseline Energy Mix'!$P$19</f>
        <v>#DIV/0!</v>
      </c>
      <c r="AF146" s="1259" t="e">
        <f>(AF118+AF126+AF128+AF133+AF134+AF135+AF130+AF131+AF132)*'II. Inputs, Baseline Energy Mix'!$P$19</f>
        <v>#DIV/0!</v>
      </c>
      <c r="AG146" s="1259" t="e">
        <f>(AG118+AG126+AG128+AG133+AG134+AG135+AG130+AG131+AG132)*'II. Inputs, Baseline Energy Mix'!$P$19</f>
        <v>#DIV/0!</v>
      </c>
      <c r="AH146" s="1259" t="e">
        <f>(AH118+AH126+AH128+AH133+AH134+AH135+AH130+AH131+AH132)*'II. Inputs, Baseline Energy Mix'!$P$19</f>
        <v>#DIV/0!</v>
      </c>
      <c r="AI146" s="1259" t="e">
        <f>(AI118+AI126+AI128+AI133+AI134+AI135+AI130+AI131+AI132)*'II. Inputs, Baseline Energy Mix'!$P$19</f>
        <v>#DIV/0!</v>
      </c>
      <c r="AJ146" s="1259" t="e">
        <f>(AJ118+AJ126+AJ128+AJ133+AJ134+AJ135+AJ130+AJ131+AJ132)*'II. Inputs, Baseline Energy Mix'!$P$19</f>
        <v>#DIV/0!</v>
      </c>
      <c r="AK146" s="1259" t="e">
        <f>(AK118+AK126+AK128+AK133+AK134+AK135+AK130+AK131+AK132)*'II. Inputs, Baseline Energy Mix'!$P$19</f>
        <v>#DIV/0!</v>
      </c>
      <c r="AL146" s="1259" t="e">
        <f>(AL118+AL126+AL128+AL133+AL134+AL135+AL130+AL131+AL132)*'II. Inputs, Baseline Energy Mix'!$P$19</f>
        <v>#DIV/0!</v>
      </c>
      <c r="AM146" s="1259" t="e">
        <f>(AM118+AM126+AM128+AM133+AM134+AM135+AM130+AM131+AM132)*'II. Inputs, Baseline Energy Mix'!$P$19</f>
        <v>#DIV/0!</v>
      </c>
      <c r="AN146" s="1259" t="e">
        <f>(AN118+AN126+AN128+AN133+AN134+AN135+AN130+AN131+AN132)*'II. Inputs, Baseline Energy Mix'!$P$19</f>
        <v>#DIV/0!</v>
      </c>
      <c r="AO146" s="1259" t="e">
        <f>(AO118+AO126+AO128+AO133+AO134+AO135+AO130+AO131+AO132)*'II. Inputs, Baseline Energy Mix'!$P$19</f>
        <v>#DIV/0!</v>
      </c>
      <c r="AP146" s="1259" t="e">
        <f>(AP118+AP126+AP128+AP133+AP134+AP135+AP130+AP131+AP132)*'II. Inputs, Baseline Energy Mix'!$P$19</f>
        <v>#DIV/0!</v>
      </c>
      <c r="AQ146" s="1259" t="e">
        <f>(AQ118+AQ126+AQ128+AQ133+AQ134+AQ135+AQ130+AQ131+AQ132)*'II. Inputs, Baseline Energy Mix'!$P$19</f>
        <v>#DIV/0!</v>
      </c>
      <c r="AR146" s="1259" t="e">
        <f>(AR118+AR126+AR128+AR133+AR134+AR135+AR130+AR131+AR132)*'II. Inputs, Baseline Energy Mix'!$P$19</f>
        <v>#DIV/0!</v>
      </c>
      <c r="AS146" s="1259" t="e">
        <f>(AS118+AS126+AS128+AS133+AS134+AS135+AS130+AS131+AS132)*'II. Inputs, Baseline Energy Mix'!$P$19</f>
        <v>#DIV/0!</v>
      </c>
      <c r="AT146" s="1259" t="e">
        <f>(AT118+AT126+AT128+AT133+AT134+AT135+AT130+AT131+AT132)*'II. Inputs, Baseline Energy Mix'!$P$19</f>
        <v>#DIV/0!</v>
      </c>
      <c r="AU146" s="1259" t="e">
        <f>(AU118+AU126+AU128+AU133+AU134+AU135+AU130+AU131+AU132)*'II. Inputs, Baseline Energy Mix'!$P$19</f>
        <v>#DIV/0!</v>
      </c>
      <c r="AV146" s="1259" t="e">
        <f>(AV118+AV126+AV128+AV133+AV134+AV135+AV130+AV131+AV132)*'II. Inputs, Baseline Energy Mix'!$P$19</f>
        <v>#DIV/0!</v>
      </c>
      <c r="AW146" s="1259" t="e">
        <f>(AW118+AW126+AW128+AW133+AW134+AW135+AW130+AW131+AW132)*'II. Inputs, Baseline Energy Mix'!$P$19</f>
        <v>#DIV/0!</v>
      </c>
      <c r="AX146" s="1259" t="e">
        <f>(AX118+AX126+AX128+AX133+AX134+AX135+AX130+AX131+AX132)*'II. Inputs, Baseline Energy Mix'!$P$19</f>
        <v>#DIV/0!</v>
      </c>
      <c r="AY146" s="1259" t="e">
        <f>(AY118+AY126+AY128+AY133+AY134+AY135+AY130+AY131+AY132)*'II. Inputs, Baseline Energy Mix'!$P$19</f>
        <v>#DIV/0!</v>
      </c>
      <c r="AZ146" s="1259" t="e">
        <f>(AZ118+AZ126+AZ128+AZ133+AZ134+AZ135+AZ130+AZ131+AZ132)*'II. Inputs, Baseline Energy Mix'!$P$19</f>
        <v>#DIV/0!</v>
      </c>
      <c r="BA146" s="1259" t="e">
        <f>(BA118+BA126+BA128+BA133+BA134+BA135+BA130+BA131+BA132)*'II. Inputs, Baseline Energy Mix'!$P$19</f>
        <v>#DIV/0!</v>
      </c>
      <c r="BB146" s="1259" t="e">
        <f>(BB118+BB126+BB128+BB133+BB134+BB135+BB130+BB131+BB132)*'II. Inputs, Baseline Energy Mix'!$P$19</f>
        <v>#DIV/0!</v>
      </c>
      <c r="BC146" s="1259" t="e">
        <f>(BC118+BC126+BC128+BC133+BC134+BC135+BC130+BC131+BC132)*'II. Inputs, Baseline Energy Mix'!$P$19</f>
        <v>#DIV/0!</v>
      </c>
      <c r="BD146" s="1259" t="e">
        <f>(BD118+BD126+BD128+BD133+BD134+BD135+BD130+BD131+BD132)*'II. Inputs, Baseline Energy Mix'!$P$19</f>
        <v>#DIV/0!</v>
      </c>
      <c r="BE146" s="1260" t="e">
        <f>(BE118+BE126+BE128+BE133+BE134+BE135+BE130+BE131+BE132)*'II. Inputs, Baseline Energy Mix'!$P$19</f>
        <v>#DIV/0!</v>
      </c>
    </row>
    <row r="147" spans="2:57" x14ac:dyDescent="0.25">
      <c r="B147" s="278" t="s">
        <v>104</v>
      </c>
      <c r="C147" s="279"/>
      <c r="D147" s="279"/>
      <c r="E147" s="282"/>
      <c r="F147" s="282" t="s">
        <v>631</v>
      </c>
      <c r="G147" s="1257">
        <f>-IF('II. Inputs, Baseline Energy Mix'!$P$15&gt;0, 'II. Inputs, Baseline Energy Mix'!$P$16*'II. Inputs, Baseline Energy Mix'!$P$17*'II. Inputs, Baseline Energy Mix'!$P$29,0)</f>
        <v>0</v>
      </c>
      <c r="H147" s="1257" t="e">
        <f t="shared" ref="H147:AM147" si="55">SUM(H140:H146)</f>
        <v>#DIV/0!</v>
      </c>
      <c r="I147" s="1257" t="e">
        <f t="shared" si="55"/>
        <v>#DIV/0!</v>
      </c>
      <c r="J147" s="1257" t="e">
        <f t="shared" si="55"/>
        <v>#DIV/0!</v>
      </c>
      <c r="K147" s="1257" t="e">
        <f t="shared" si="55"/>
        <v>#DIV/0!</v>
      </c>
      <c r="L147" s="1257" t="e">
        <f t="shared" si="55"/>
        <v>#DIV/0!</v>
      </c>
      <c r="M147" s="1257" t="e">
        <f t="shared" si="55"/>
        <v>#DIV/0!</v>
      </c>
      <c r="N147" s="1257" t="e">
        <f t="shared" si="55"/>
        <v>#DIV/0!</v>
      </c>
      <c r="O147" s="1257" t="e">
        <f t="shared" si="55"/>
        <v>#DIV/0!</v>
      </c>
      <c r="P147" s="1257" t="e">
        <f t="shared" si="55"/>
        <v>#DIV/0!</v>
      </c>
      <c r="Q147" s="1257" t="e">
        <f t="shared" si="55"/>
        <v>#DIV/0!</v>
      </c>
      <c r="R147" s="1257" t="e">
        <f t="shared" si="55"/>
        <v>#DIV/0!</v>
      </c>
      <c r="S147" s="1257" t="e">
        <f t="shared" si="55"/>
        <v>#DIV/0!</v>
      </c>
      <c r="T147" s="1257" t="e">
        <f t="shared" si="55"/>
        <v>#DIV/0!</v>
      </c>
      <c r="U147" s="1257" t="e">
        <f t="shared" si="55"/>
        <v>#DIV/0!</v>
      </c>
      <c r="V147" s="1257" t="e">
        <f t="shared" si="55"/>
        <v>#DIV/0!</v>
      </c>
      <c r="W147" s="1257" t="e">
        <f t="shared" si="55"/>
        <v>#DIV/0!</v>
      </c>
      <c r="X147" s="1257" t="e">
        <f t="shared" si="55"/>
        <v>#DIV/0!</v>
      </c>
      <c r="Y147" s="1257" t="e">
        <f t="shared" si="55"/>
        <v>#DIV/0!</v>
      </c>
      <c r="Z147" s="1257" t="e">
        <f t="shared" si="55"/>
        <v>#DIV/0!</v>
      </c>
      <c r="AA147" s="1257" t="e">
        <f t="shared" si="55"/>
        <v>#DIV/0!</v>
      </c>
      <c r="AB147" s="1257" t="e">
        <f t="shared" si="55"/>
        <v>#DIV/0!</v>
      </c>
      <c r="AC147" s="1257" t="e">
        <f t="shared" si="55"/>
        <v>#DIV/0!</v>
      </c>
      <c r="AD147" s="1257" t="e">
        <f t="shared" si="55"/>
        <v>#DIV/0!</v>
      </c>
      <c r="AE147" s="1257" t="e">
        <f t="shared" si="55"/>
        <v>#DIV/0!</v>
      </c>
      <c r="AF147" s="1257" t="e">
        <f t="shared" si="55"/>
        <v>#DIV/0!</v>
      </c>
      <c r="AG147" s="1257" t="e">
        <f t="shared" si="55"/>
        <v>#DIV/0!</v>
      </c>
      <c r="AH147" s="1257" t="e">
        <f t="shared" si="55"/>
        <v>#DIV/0!</v>
      </c>
      <c r="AI147" s="1257" t="e">
        <f t="shared" si="55"/>
        <v>#DIV/0!</v>
      </c>
      <c r="AJ147" s="1257" t="e">
        <f t="shared" si="55"/>
        <v>#DIV/0!</v>
      </c>
      <c r="AK147" s="1257" t="e">
        <f t="shared" si="55"/>
        <v>#DIV/0!</v>
      </c>
      <c r="AL147" s="1257" t="e">
        <f t="shared" si="55"/>
        <v>#DIV/0!</v>
      </c>
      <c r="AM147" s="1257" t="e">
        <f t="shared" si="55"/>
        <v>#DIV/0!</v>
      </c>
      <c r="AN147" s="1257" t="e">
        <f t="shared" ref="AN147:BE147" si="56">SUM(AN140:AN146)</f>
        <v>#DIV/0!</v>
      </c>
      <c r="AO147" s="1257" t="e">
        <f t="shared" si="56"/>
        <v>#DIV/0!</v>
      </c>
      <c r="AP147" s="1257" t="e">
        <f t="shared" si="56"/>
        <v>#DIV/0!</v>
      </c>
      <c r="AQ147" s="1257" t="e">
        <f t="shared" si="56"/>
        <v>#DIV/0!</v>
      </c>
      <c r="AR147" s="1257" t="e">
        <f t="shared" si="56"/>
        <v>#DIV/0!</v>
      </c>
      <c r="AS147" s="1257" t="e">
        <f t="shared" si="56"/>
        <v>#DIV/0!</v>
      </c>
      <c r="AT147" s="1257" t="e">
        <f t="shared" si="56"/>
        <v>#DIV/0!</v>
      </c>
      <c r="AU147" s="1257" t="e">
        <f t="shared" si="56"/>
        <v>#DIV/0!</v>
      </c>
      <c r="AV147" s="1257" t="e">
        <f t="shared" si="56"/>
        <v>#DIV/0!</v>
      </c>
      <c r="AW147" s="1257" t="e">
        <f t="shared" si="56"/>
        <v>#DIV/0!</v>
      </c>
      <c r="AX147" s="1257" t="e">
        <f t="shared" si="56"/>
        <v>#DIV/0!</v>
      </c>
      <c r="AY147" s="1257" t="e">
        <f t="shared" si="56"/>
        <v>#DIV/0!</v>
      </c>
      <c r="AZ147" s="1257" t="e">
        <f t="shared" si="56"/>
        <v>#DIV/0!</v>
      </c>
      <c r="BA147" s="1257" t="e">
        <f t="shared" si="56"/>
        <v>#DIV/0!</v>
      </c>
      <c r="BB147" s="1257" t="e">
        <f t="shared" si="56"/>
        <v>#DIV/0!</v>
      </c>
      <c r="BC147" s="1257" t="e">
        <f t="shared" si="56"/>
        <v>#DIV/0!</v>
      </c>
      <c r="BD147" s="1257" t="e">
        <f t="shared" si="56"/>
        <v>#DIV/0!</v>
      </c>
      <c r="BE147" s="1258" t="e">
        <f t="shared" si="56"/>
        <v>#DIV/0!</v>
      </c>
    </row>
    <row r="148" spans="2:57" x14ac:dyDescent="0.25">
      <c r="B148" s="278"/>
      <c r="C148" s="279"/>
      <c r="D148" s="279"/>
      <c r="E148" s="282"/>
      <c r="F148" s="279"/>
      <c r="G148" s="279"/>
      <c r="H148" s="292"/>
      <c r="I148" s="292"/>
      <c r="J148" s="292"/>
      <c r="K148" s="292"/>
      <c r="L148" s="292"/>
      <c r="M148" s="292"/>
      <c r="N148" s="292"/>
      <c r="O148" s="292"/>
      <c r="P148" s="292"/>
      <c r="Q148" s="292"/>
      <c r="R148" s="292"/>
      <c r="S148" s="292"/>
      <c r="T148" s="292"/>
      <c r="U148" s="292"/>
      <c r="V148" s="292"/>
      <c r="W148" s="292"/>
      <c r="X148" s="292"/>
      <c r="Y148" s="292"/>
      <c r="Z148" s="292"/>
      <c r="AA148" s="292"/>
      <c r="AB148" s="292"/>
      <c r="AC148" s="292"/>
      <c r="AD148" s="292"/>
      <c r="AE148" s="292"/>
      <c r="AF148" s="292"/>
      <c r="AG148" s="292"/>
      <c r="AH148" s="292"/>
      <c r="AI148" s="292"/>
      <c r="AJ148" s="292"/>
      <c r="AK148" s="292"/>
      <c r="AL148" s="292"/>
      <c r="AM148" s="292"/>
      <c r="AN148" s="292"/>
      <c r="AO148" s="292"/>
      <c r="AP148" s="292"/>
      <c r="AQ148" s="292"/>
      <c r="AR148" s="292"/>
      <c r="AS148" s="292"/>
      <c r="AT148" s="292"/>
      <c r="AU148" s="292"/>
      <c r="AV148" s="292"/>
      <c r="AW148" s="292"/>
      <c r="AX148" s="292"/>
      <c r="AY148" s="292"/>
      <c r="AZ148" s="292"/>
      <c r="BA148" s="292"/>
      <c r="BB148" s="292"/>
      <c r="BC148" s="292"/>
      <c r="BD148" s="292"/>
      <c r="BE148" s="293"/>
    </row>
    <row r="149" spans="2:57" x14ac:dyDescent="0.25">
      <c r="B149" s="278" t="s">
        <v>105</v>
      </c>
      <c r="C149" s="279"/>
      <c r="D149" s="279"/>
      <c r="E149" s="282"/>
      <c r="F149" s="279"/>
      <c r="G149" s="1130">
        <f>'II. Inputs, Baseline Energy Mix'!$P$37</f>
        <v>0</v>
      </c>
      <c r="H149" s="279"/>
      <c r="I149" s="289"/>
      <c r="J149" s="279"/>
      <c r="K149" s="279"/>
      <c r="L149" s="279"/>
      <c r="M149" s="279"/>
      <c r="N149" s="279"/>
      <c r="O149" s="279"/>
      <c r="P149" s="279"/>
      <c r="Q149" s="279"/>
      <c r="R149" s="279"/>
      <c r="S149" s="279"/>
      <c r="T149" s="279"/>
      <c r="U149" s="279"/>
      <c r="V149" s="279"/>
      <c r="W149" s="279"/>
      <c r="X149" s="279"/>
      <c r="Y149" s="279"/>
      <c r="Z149" s="279"/>
      <c r="AA149" s="279"/>
      <c r="AB149" s="279"/>
      <c r="AC149" s="279"/>
      <c r="AD149" s="279"/>
      <c r="AE149" s="279"/>
      <c r="AF149" s="279"/>
      <c r="AG149" s="279"/>
      <c r="AH149" s="279"/>
      <c r="AI149" s="279"/>
      <c r="AJ149" s="279"/>
      <c r="AK149" s="279"/>
      <c r="AL149" s="279"/>
      <c r="AM149" s="279"/>
      <c r="AN149" s="279"/>
      <c r="AO149" s="279"/>
      <c r="AP149" s="279"/>
      <c r="AQ149" s="279"/>
      <c r="AR149" s="279"/>
      <c r="AS149" s="279"/>
      <c r="AT149" s="279"/>
      <c r="AU149" s="279"/>
      <c r="AV149" s="279"/>
      <c r="AW149" s="279"/>
      <c r="AX149" s="279"/>
      <c r="AY149" s="279"/>
      <c r="AZ149" s="279"/>
      <c r="BA149" s="279"/>
      <c r="BB149" s="279"/>
      <c r="BC149" s="279"/>
      <c r="BD149" s="279"/>
      <c r="BE149" s="280"/>
    </row>
    <row r="150" spans="2:57" x14ac:dyDescent="0.25">
      <c r="B150" s="278" t="s">
        <v>106</v>
      </c>
      <c r="C150" s="279"/>
      <c r="D150" s="279"/>
      <c r="E150" s="282"/>
      <c r="F150" s="279"/>
      <c r="G150" s="1263" t="e">
        <f>IF(G149="NA", "NA", NPV(G149,H147:BE147)+G147)</f>
        <v>#DIV/0!</v>
      </c>
      <c r="H150" s="279"/>
      <c r="I150" s="289"/>
      <c r="J150" s="279"/>
      <c r="K150" s="279"/>
      <c r="L150" s="279"/>
      <c r="M150" s="279"/>
      <c r="N150" s="279"/>
      <c r="O150" s="279"/>
      <c r="P150" s="279"/>
      <c r="Q150" s="279"/>
      <c r="R150" s="279"/>
      <c r="S150" s="279"/>
      <c r="T150" s="279"/>
      <c r="U150" s="279"/>
      <c r="V150" s="279"/>
      <c r="W150" s="279"/>
      <c r="X150" s="279"/>
      <c r="Y150" s="279"/>
      <c r="Z150" s="279"/>
      <c r="AA150" s="279"/>
      <c r="AB150" s="279"/>
      <c r="AC150" s="279"/>
      <c r="AD150" s="279"/>
      <c r="AE150" s="279"/>
      <c r="AF150" s="279"/>
      <c r="AG150" s="279"/>
      <c r="AH150" s="279"/>
      <c r="AI150" s="279"/>
      <c r="AJ150" s="279"/>
      <c r="AK150" s="279"/>
      <c r="AL150" s="279"/>
      <c r="AM150" s="279"/>
      <c r="AN150" s="279"/>
      <c r="AO150" s="279"/>
      <c r="AP150" s="279"/>
      <c r="AQ150" s="279"/>
      <c r="AR150" s="279"/>
      <c r="AS150" s="279"/>
      <c r="AT150" s="279"/>
      <c r="AU150" s="279"/>
      <c r="AV150" s="279"/>
      <c r="AW150" s="279"/>
      <c r="AX150" s="279"/>
      <c r="AY150" s="279"/>
      <c r="AZ150" s="279"/>
      <c r="BA150" s="279"/>
      <c r="BB150" s="279"/>
      <c r="BC150" s="279"/>
      <c r="BD150" s="279"/>
      <c r="BE150" s="280"/>
    </row>
    <row r="151" spans="2:57" x14ac:dyDescent="0.25">
      <c r="B151" s="278" t="s">
        <v>107</v>
      </c>
      <c r="C151" s="279"/>
      <c r="D151" s="279"/>
      <c r="E151" s="282"/>
      <c r="F151" s="279"/>
      <c r="G151" s="1263">
        <f>IF(G149="NA", "NA", -NPV(G149,H114:BE114))</f>
        <v>0</v>
      </c>
      <c r="H151" s="279"/>
      <c r="I151" s="289"/>
      <c r="J151" s="279"/>
      <c r="K151" s="279"/>
      <c r="L151" s="279"/>
      <c r="M151" s="279"/>
      <c r="N151" s="279"/>
      <c r="O151" s="279"/>
      <c r="P151" s="279"/>
      <c r="Q151" s="279"/>
      <c r="R151" s="279"/>
      <c r="S151" s="279"/>
      <c r="T151" s="279"/>
      <c r="U151" s="279"/>
      <c r="V151" s="279"/>
      <c r="W151" s="279"/>
      <c r="X151" s="279"/>
      <c r="Y151" s="279"/>
      <c r="Z151" s="279"/>
      <c r="AA151" s="279"/>
      <c r="AB151" s="279"/>
      <c r="AC151" s="279"/>
      <c r="AD151" s="279"/>
      <c r="AE151" s="279"/>
      <c r="AF151" s="279"/>
      <c r="AG151" s="279"/>
      <c r="AH151" s="279"/>
      <c r="AI151" s="279"/>
      <c r="AJ151" s="279"/>
      <c r="AK151" s="279"/>
      <c r="AL151" s="279"/>
      <c r="AM151" s="279"/>
      <c r="AN151" s="279"/>
      <c r="AO151" s="279"/>
      <c r="AP151" s="279"/>
      <c r="AQ151" s="279"/>
      <c r="AR151" s="279"/>
      <c r="AS151" s="279"/>
      <c r="AT151" s="279"/>
      <c r="AU151" s="279"/>
      <c r="AV151" s="279"/>
      <c r="AW151" s="279"/>
      <c r="AX151" s="279"/>
      <c r="AY151" s="279"/>
      <c r="AZ151" s="279"/>
      <c r="BA151" s="279"/>
      <c r="BB151" s="279"/>
      <c r="BC151" s="279"/>
      <c r="BD151" s="279"/>
      <c r="BE151" s="280"/>
    </row>
    <row r="152" spans="2:57" ht="13.8" thickBot="1" x14ac:dyDescent="0.3">
      <c r="B152" s="278" t="s">
        <v>108</v>
      </c>
      <c r="C152" s="279"/>
      <c r="D152" s="279"/>
      <c r="E152" s="282"/>
      <c r="F152" s="282" t="s">
        <v>633</v>
      </c>
      <c r="G152" s="1264" t="str">
        <f>IF(OR(G151=0,G149="NA"), "NA", G150/G151)</f>
        <v>NA</v>
      </c>
      <c r="H152" s="279"/>
      <c r="I152" s="289"/>
      <c r="J152" s="279"/>
      <c r="K152" s="279"/>
      <c r="L152" s="279"/>
      <c r="M152" s="279"/>
      <c r="N152" s="279"/>
      <c r="O152" s="279"/>
      <c r="P152" s="279"/>
      <c r="Q152" s="279"/>
      <c r="R152" s="279"/>
      <c r="S152" s="279"/>
      <c r="T152" s="279"/>
      <c r="U152" s="279"/>
      <c r="V152" s="279"/>
      <c r="W152" s="279"/>
      <c r="X152" s="279"/>
      <c r="Y152" s="279"/>
      <c r="Z152" s="279"/>
      <c r="AA152" s="279"/>
      <c r="AB152" s="279"/>
      <c r="AC152" s="279"/>
      <c r="AD152" s="279"/>
      <c r="AE152" s="279"/>
      <c r="AF152" s="279"/>
      <c r="AG152" s="279"/>
      <c r="AH152" s="279"/>
      <c r="AI152" s="279"/>
      <c r="AJ152" s="279"/>
      <c r="AK152" s="279"/>
      <c r="AL152" s="279"/>
      <c r="AM152" s="279"/>
      <c r="AN152" s="279"/>
      <c r="AO152" s="279"/>
      <c r="AP152" s="279"/>
      <c r="AQ152" s="279"/>
      <c r="AR152" s="279"/>
      <c r="AS152" s="279"/>
      <c r="AT152" s="279"/>
      <c r="AU152" s="279"/>
      <c r="AV152" s="279"/>
      <c r="AW152" s="279"/>
      <c r="AX152" s="279"/>
      <c r="AY152" s="279"/>
      <c r="AZ152" s="279"/>
      <c r="BA152" s="279"/>
      <c r="BB152" s="279"/>
      <c r="BC152" s="279"/>
      <c r="BD152" s="279"/>
      <c r="BE152" s="280"/>
    </row>
    <row r="153" spans="2:57" ht="13.8" thickBot="1" x14ac:dyDescent="0.3">
      <c r="B153" s="294" t="s">
        <v>109</v>
      </c>
      <c r="C153" s="295"/>
      <c r="D153" s="295"/>
      <c r="E153" s="296"/>
      <c r="F153" s="296" t="s">
        <v>632</v>
      </c>
      <c r="G153" s="1265" t="str">
        <f>IF(G152="NA", "NA", $G$152/(1-'II. Inputs, Baseline Energy Mix'!$P$19))</f>
        <v>NA</v>
      </c>
      <c r="H153" s="279"/>
      <c r="I153" s="289"/>
      <c r="J153" s="279"/>
      <c r="K153" s="279"/>
      <c r="L153" s="279"/>
      <c r="M153" s="279"/>
      <c r="N153" s="279"/>
      <c r="O153" s="279"/>
      <c r="P153" s="279"/>
      <c r="Q153" s="279"/>
      <c r="R153" s="279"/>
      <c r="S153" s="279"/>
      <c r="T153" s="279"/>
      <c r="U153" s="279"/>
      <c r="V153" s="279"/>
      <c r="W153" s="279"/>
      <c r="X153" s="279"/>
      <c r="Y153" s="279"/>
      <c r="Z153" s="279"/>
      <c r="AA153" s="279"/>
      <c r="AB153" s="279"/>
      <c r="AC153" s="279"/>
      <c r="AD153" s="279"/>
      <c r="AE153" s="279"/>
      <c r="AF153" s="279"/>
      <c r="AG153" s="279"/>
      <c r="AH153" s="279"/>
      <c r="AI153" s="279"/>
      <c r="AJ153" s="279"/>
      <c r="AK153" s="279"/>
      <c r="AL153" s="279"/>
      <c r="AM153" s="279"/>
      <c r="AN153" s="279"/>
      <c r="AO153" s="279"/>
      <c r="AP153" s="279"/>
      <c r="AQ153" s="279"/>
      <c r="AR153" s="279"/>
      <c r="AS153" s="279"/>
      <c r="AT153" s="279"/>
      <c r="AU153" s="279"/>
      <c r="AV153" s="279"/>
      <c r="AW153" s="279"/>
      <c r="AX153" s="279"/>
      <c r="AY153" s="279"/>
      <c r="AZ153" s="279"/>
      <c r="BA153" s="279"/>
      <c r="BB153" s="279"/>
      <c r="BC153" s="279"/>
      <c r="BD153" s="279"/>
      <c r="BE153" s="280"/>
    </row>
    <row r="154" spans="2:57" ht="13.8" thickBot="1" x14ac:dyDescent="0.3">
      <c r="B154" s="297"/>
      <c r="C154" s="298"/>
      <c r="D154" s="298"/>
      <c r="E154" s="298"/>
      <c r="F154" s="298"/>
      <c r="G154" s="298"/>
      <c r="H154" s="298"/>
      <c r="I154" s="299"/>
      <c r="J154" s="298"/>
      <c r="K154" s="298"/>
      <c r="L154" s="298"/>
      <c r="M154" s="298"/>
      <c r="N154" s="298"/>
      <c r="O154" s="298"/>
      <c r="P154" s="298"/>
      <c r="Q154" s="298"/>
      <c r="R154" s="298"/>
      <c r="S154" s="298"/>
      <c r="T154" s="298"/>
      <c r="U154" s="298"/>
      <c r="V154" s="298"/>
      <c r="W154" s="298"/>
      <c r="X154" s="298"/>
      <c r="Y154" s="298"/>
      <c r="Z154" s="298"/>
      <c r="AA154" s="298"/>
      <c r="AB154" s="298"/>
      <c r="AC154" s="298"/>
      <c r="AD154" s="298"/>
      <c r="AE154" s="298"/>
      <c r="AF154" s="298"/>
      <c r="AG154" s="298"/>
      <c r="AH154" s="298"/>
      <c r="AI154" s="298"/>
      <c r="AJ154" s="298"/>
      <c r="AK154" s="298"/>
      <c r="AL154" s="298"/>
      <c r="AM154" s="298"/>
      <c r="AN154" s="298"/>
      <c r="AO154" s="298"/>
      <c r="AP154" s="298"/>
      <c r="AQ154" s="298"/>
      <c r="AR154" s="298"/>
      <c r="AS154" s="298"/>
      <c r="AT154" s="298"/>
      <c r="AU154" s="298"/>
      <c r="AV154" s="298"/>
      <c r="AW154" s="298"/>
      <c r="AX154" s="298"/>
      <c r="AY154" s="298"/>
      <c r="AZ154" s="298"/>
      <c r="BA154" s="298"/>
      <c r="BB154" s="298"/>
      <c r="BC154" s="298"/>
      <c r="BD154" s="298"/>
      <c r="BE154" s="300"/>
    </row>
    <row r="155" spans="2:57" ht="13.8" thickBot="1" x14ac:dyDescent="0.3">
      <c r="I155" s="250"/>
    </row>
    <row r="156" spans="2:57" s="36" customFormat="1" x14ac:dyDescent="0.25">
      <c r="B156" s="301" t="s">
        <v>166</v>
      </c>
      <c r="C156" s="302"/>
      <c r="D156" s="302"/>
      <c r="E156" s="302"/>
      <c r="F156" s="302"/>
      <c r="G156" s="302"/>
      <c r="H156" s="302"/>
      <c r="I156" s="302"/>
      <c r="J156" s="302"/>
      <c r="K156" s="302"/>
      <c r="L156" s="302"/>
      <c r="M156" s="302"/>
      <c r="N156" s="302"/>
      <c r="O156" s="302"/>
      <c r="P156" s="302"/>
      <c r="Q156" s="302"/>
      <c r="R156" s="302"/>
      <c r="S156" s="302"/>
      <c r="T156" s="302"/>
      <c r="U156" s="302"/>
      <c r="V156" s="302"/>
      <c r="W156" s="302"/>
      <c r="X156" s="302"/>
      <c r="Y156" s="302"/>
      <c r="Z156" s="302"/>
      <c r="AA156" s="302"/>
      <c r="AB156" s="302"/>
      <c r="AC156" s="302"/>
      <c r="AD156" s="302"/>
      <c r="AE156" s="302"/>
      <c r="AF156" s="302"/>
      <c r="AG156" s="302"/>
      <c r="AH156" s="302"/>
      <c r="AI156" s="302"/>
      <c r="AJ156" s="302"/>
      <c r="AK156" s="302"/>
      <c r="AL156" s="302"/>
      <c r="AM156" s="302"/>
      <c r="AN156" s="302"/>
      <c r="AO156" s="302"/>
      <c r="AP156" s="302"/>
      <c r="AQ156" s="302"/>
      <c r="AR156" s="302"/>
      <c r="AS156" s="302"/>
      <c r="AT156" s="302"/>
      <c r="AU156" s="302"/>
      <c r="AV156" s="302"/>
      <c r="AW156" s="302"/>
      <c r="AX156" s="302"/>
      <c r="AY156" s="302"/>
      <c r="AZ156" s="302"/>
      <c r="BA156" s="302"/>
      <c r="BB156" s="302"/>
      <c r="BC156" s="302"/>
      <c r="BD156" s="302"/>
      <c r="BE156" s="303"/>
    </row>
    <row r="157" spans="2:57" x14ac:dyDescent="0.25">
      <c r="B157" s="304"/>
      <c r="C157" s="305"/>
      <c r="D157" s="305"/>
      <c r="E157" s="305"/>
      <c r="F157" s="305"/>
      <c r="G157" s="305"/>
      <c r="H157" s="305"/>
      <c r="I157" s="305"/>
      <c r="J157" s="305"/>
      <c r="K157" s="305"/>
      <c r="L157" s="305"/>
      <c r="M157" s="305"/>
      <c r="N157" s="305"/>
      <c r="O157" s="305"/>
      <c r="P157" s="305"/>
      <c r="Q157" s="305"/>
      <c r="R157" s="305"/>
      <c r="S157" s="305"/>
      <c r="T157" s="305"/>
      <c r="U157" s="305"/>
      <c r="V157" s="305"/>
      <c r="W157" s="305"/>
      <c r="X157" s="305"/>
      <c r="Y157" s="305"/>
      <c r="Z157" s="305"/>
      <c r="AA157" s="305"/>
      <c r="AB157" s="305"/>
      <c r="AC157" s="305"/>
      <c r="AD157" s="305"/>
      <c r="AE157" s="305"/>
      <c r="AF157" s="305"/>
      <c r="AG157" s="305"/>
      <c r="AH157" s="305"/>
      <c r="AI157" s="305"/>
      <c r="AJ157" s="305"/>
      <c r="AK157" s="305"/>
      <c r="AL157" s="305"/>
      <c r="AM157" s="305"/>
      <c r="AN157" s="305"/>
      <c r="AO157" s="305"/>
      <c r="AP157" s="305"/>
      <c r="AQ157" s="305"/>
      <c r="AR157" s="305"/>
      <c r="AS157" s="305"/>
      <c r="AT157" s="305"/>
      <c r="AU157" s="305"/>
      <c r="AV157" s="305"/>
      <c r="AW157" s="305"/>
      <c r="AX157" s="305"/>
      <c r="AY157" s="305"/>
      <c r="AZ157" s="305"/>
      <c r="BA157" s="305"/>
      <c r="BB157" s="305"/>
      <c r="BC157" s="305"/>
      <c r="BD157" s="305"/>
      <c r="BE157" s="306"/>
    </row>
    <row r="158" spans="2:57" x14ac:dyDescent="0.25">
      <c r="B158" s="304" t="s">
        <v>136</v>
      </c>
      <c r="C158" s="305"/>
      <c r="D158" s="305"/>
      <c r="E158" s="305"/>
      <c r="F158" s="305"/>
      <c r="G158" s="305"/>
      <c r="H158" s="307">
        <f>IF(H$13&gt;'II. Inputs, Baseline Energy Mix'!$Q$18,0,1)</f>
        <v>0</v>
      </c>
      <c r="I158" s="305">
        <f>IF(I$13&gt;'II. Inputs, Baseline Energy Mix'!$Q$18,0,1)</f>
        <v>0</v>
      </c>
      <c r="J158" s="305">
        <f>IF(J$13&gt;'II. Inputs, Baseline Energy Mix'!$Q$18,0,1)</f>
        <v>0</v>
      </c>
      <c r="K158" s="305">
        <f>IF(K$13&gt;'II. Inputs, Baseline Energy Mix'!$Q$18,0,1)</f>
        <v>0</v>
      </c>
      <c r="L158" s="305">
        <f>IF(L$13&gt;'II. Inputs, Baseline Energy Mix'!$Q$18,0,1)</f>
        <v>0</v>
      </c>
      <c r="M158" s="305">
        <f>IF(M$13&gt;'II. Inputs, Baseline Energy Mix'!$Q$18,0,1)</f>
        <v>0</v>
      </c>
      <c r="N158" s="305">
        <f>IF(N$13&gt;'II. Inputs, Baseline Energy Mix'!$Q$18,0,1)</f>
        <v>0</v>
      </c>
      <c r="O158" s="305">
        <f>IF(O$13&gt;'II. Inputs, Baseline Energy Mix'!$Q$18,0,1)</f>
        <v>0</v>
      </c>
      <c r="P158" s="305">
        <f>IF(P$13&gt;'II. Inputs, Baseline Energy Mix'!$Q$18,0,1)</f>
        <v>0</v>
      </c>
      <c r="Q158" s="305">
        <f>IF(Q$13&gt;'II. Inputs, Baseline Energy Mix'!$Q$18,0,1)</f>
        <v>0</v>
      </c>
      <c r="R158" s="305">
        <f>IF(R$13&gt;'II. Inputs, Baseline Energy Mix'!$Q$18,0,1)</f>
        <v>0</v>
      </c>
      <c r="S158" s="305">
        <f>IF(S$13&gt;'II. Inputs, Baseline Energy Mix'!$Q$18,0,1)</f>
        <v>0</v>
      </c>
      <c r="T158" s="305">
        <f>IF(T$13&gt;'II. Inputs, Baseline Energy Mix'!$Q$18,0,1)</f>
        <v>0</v>
      </c>
      <c r="U158" s="305">
        <f>IF(U$13&gt;'II. Inputs, Baseline Energy Mix'!$Q$18,0,1)</f>
        <v>0</v>
      </c>
      <c r="V158" s="305">
        <f>IF(V$13&gt;'II. Inputs, Baseline Energy Mix'!$Q$18,0,1)</f>
        <v>0</v>
      </c>
      <c r="W158" s="305">
        <f>IF(W$13&gt;'II. Inputs, Baseline Energy Mix'!$Q$18,0,1)</f>
        <v>0</v>
      </c>
      <c r="X158" s="305">
        <f>IF(X$13&gt;'II. Inputs, Baseline Energy Mix'!$Q$18,0,1)</f>
        <v>0</v>
      </c>
      <c r="Y158" s="305">
        <f>IF(Y$13&gt;'II. Inputs, Baseline Energy Mix'!$Q$18,0,1)</f>
        <v>0</v>
      </c>
      <c r="Z158" s="305">
        <f>IF(Z$13&gt;'II. Inputs, Baseline Energy Mix'!$Q$18,0,1)</f>
        <v>0</v>
      </c>
      <c r="AA158" s="305">
        <f>IF(AA$13&gt;'II. Inputs, Baseline Energy Mix'!$Q$18,0,1)</f>
        <v>0</v>
      </c>
      <c r="AB158" s="305">
        <f>IF(AB$13&gt;'II. Inputs, Baseline Energy Mix'!$Q$18,0,1)</f>
        <v>0</v>
      </c>
      <c r="AC158" s="305">
        <f>IF(AC$13&gt;'II. Inputs, Baseline Energy Mix'!$Q$18,0,1)</f>
        <v>0</v>
      </c>
      <c r="AD158" s="305">
        <f>IF(AD$13&gt;'II. Inputs, Baseline Energy Mix'!$Q$18,0,1)</f>
        <v>0</v>
      </c>
      <c r="AE158" s="305">
        <f>IF(AE$13&gt;'II. Inputs, Baseline Energy Mix'!$Q$18,0,1)</f>
        <v>0</v>
      </c>
      <c r="AF158" s="305">
        <f>IF(AF$13&gt;'II. Inputs, Baseline Energy Mix'!$Q$18,0,1)</f>
        <v>0</v>
      </c>
      <c r="AG158" s="305">
        <f>IF(AG$13&gt;'II. Inputs, Baseline Energy Mix'!$Q$18,0,1)</f>
        <v>0</v>
      </c>
      <c r="AH158" s="305">
        <f>IF(AH$13&gt;'II. Inputs, Baseline Energy Mix'!$Q$18,0,1)</f>
        <v>0</v>
      </c>
      <c r="AI158" s="305">
        <f>IF(AI$13&gt;'II. Inputs, Baseline Energy Mix'!$Q$18,0,1)</f>
        <v>0</v>
      </c>
      <c r="AJ158" s="305">
        <f>IF(AJ$13&gt;'II. Inputs, Baseline Energy Mix'!$Q$18,0,1)</f>
        <v>0</v>
      </c>
      <c r="AK158" s="305">
        <f>IF(AK$13&gt;'II. Inputs, Baseline Energy Mix'!$Q$18,0,1)</f>
        <v>0</v>
      </c>
      <c r="AL158" s="305">
        <f>IF(AL$13&gt;'II. Inputs, Baseline Energy Mix'!$Q$18,0,1)</f>
        <v>0</v>
      </c>
      <c r="AM158" s="305">
        <f>IF(AM$13&gt;'II. Inputs, Baseline Energy Mix'!$Q$18,0,1)</f>
        <v>0</v>
      </c>
      <c r="AN158" s="305">
        <f>IF(AN$13&gt;'II. Inputs, Baseline Energy Mix'!$Q$18,0,1)</f>
        <v>0</v>
      </c>
      <c r="AO158" s="305">
        <f>IF(AO$13&gt;'II. Inputs, Baseline Energy Mix'!$Q$18,0,1)</f>
        <v>0</v>
      </c>
      <c r="AP158" s="305">
        <f>IF(AP$13&gt;'II. Inputs, Baseline Energy Mix'!$Q$18,0,1)</f>
        <v>0</v>
      </c>
      <c r="AQ158" s="305">
        <f>IF(AQ$13&gt;'II. Inputs, Baseline Energy Mix'!$Q$18,0,1)</f>
        <v>0</v>
      </c>
      <c r="AR158" s="305">
        <f>IF(AR$13&gt;'II. Inputs, Baseline Energy Mix'!$Q$18,0,1)</f>
        <v>0</v>
      </c>
      <c r="AS158" s="305">
        <f>IF(AS$13&gt;'II. Inputs, Baseline Energy Mix'!$Q$18,0,1)</f>
        <v>0</v>
      </c>
      <c r="AT158" s="305">
        <f>IF(AT$13&gt;'II. Inputs, Baseline Energy Mix'!$Q$18,0,1)</f>
        <v>0</v>
      </c>
      <c r="AU158" s="305">
        <f>IF(AU$13&gt;'II. Inputs, Baseline Energy Mix'!$Q$18,0,1)</f>
        <v>0</v>
      </c>
      <c r="AV158" s="305">
        <f>IF(AV$13&gt;'II. Inputs, Baseline Energy Mix'!$Q$18,0,1)</f>
        <v>0</v>
      </c>
      <c r="AW158" s="305">
        <f>IF(AW$13&gt;'II. Inputs, Baseline Energy Mix'!$Q$18,0,1)</f>
        <v>0</v>
      </c>
      <c r="AX158" s="305">
        <f>IF(AX$13&gt;'II. Inputs, Baseline Energy Mix'!$Q$18,0,1)</f>
        <v>0</v>
      </c>
      <c r="AY158" s="305">
        <f>IF(AY$13&gt;'II. Inputs, Baseline Energy Mix'!$Q$18,0,1)</f>
        <v>0</v>
      </c>
      <c r="AZ158" s="305">
        <f>IF(AZ$13&gt;'II. Inputs, Baseline Energy Mix'!$Q$18,0,1)</f>
        <v>0</v>
      </c>
      <c r="BA158" s="305">
        <f>IF(BA$13&gt;'II. Inputs, Baseline Energy Mix'!$Q$18,0,1)</f>
        <v>0</v>
      </c>
      <c r="BB158" s="305">
        <f>IF(BB$13&gt;'II. Inputs, Baseline Energy Mix'!$Q$18,0,1)</f>
        <v>0</v>
      </c>
      <c r="BC158" s="305">
        <f>IF(BC$13&gt;'II. Inputs, Baseline Energy Mix'!$Q$18,0,1)</f>
        <v>0</v>
      </c>
      <c r="BD158" s="305">
        <f>IF(BD$13&gt;'II. Inputs, Baseline Energy Mix'!$Q$18,0,1)</f>
        <v>0</v>
      </c>
      <c r="BE158" s="306">
        <f>IF(BE$13&gt;'II. Inputs, Baseline Energy Mix'!$Q$18,0,1)</f>
        <v>0</v>
      </c>
    </row>
    <row r="159" spans="2:57" x14ac:dyDescent="0.25">
      <c r="B159" s="304"/>
      <c r="C159" s="305"/>
      <c r="D159" s="305"/>
      <c r="E159" s="305"/>
      <c r="F159" s="305"/>
      <c r="G159" s="305"/>
      <c r="H159" s="307"/>
      <c r="I159" s="305"/>
      <c r="J159" s="305"/>
      <c r="K159" s="305"/>
      <c r="L159" s="305"/>
      <c r="M159" s="305"/>
      <c r="N159" s="305"/>
      <c r="O159" s="305"/>
      <c r="P159" s="305"/>
      <c r="Q159" s="305"/>
      <c r="R159" s="305"/>
      <c r="S159" s="305"/>
      <c r="T159" s="305"/>
      <c r="U159" s="305"/>
      <c r="V159" s="305"/>
      <c r="W159" s="305"/>
      <c r="X159" s="305"/>
      <c r="Y159" s="305"/>
      <c r="Z159" s="305"/>
      <c r="AA159" s="305"/>
      <c r="AB159" s="305"/>
      <c r="AC159" s="305"/>
      <c r="AD159" s="305"/>
      <c r="AE159" s="305"/>
      <c r="AF159" s="305"/>
      <c r="AG159" s="305"/>
      <c r="AH159" s="305"/>
      <c r="AI159" s="305"/>
      <c r="AJ159" s="305"/>
      <c r="AK159" s="305"/>
      <c r="AL159" s="305"/>
      <c r="AM159" s="305"/>
      <c r="AN159" s="305"/>
      <c r="AO159" s="305"/>
      <c r="AP159" s="305"/>
      <c r="AQ159" s="305"/>
      <c r="AR159" s="305"/>
      <c r="AS159" s="305"/>
      <c r="AT159" s="305"/>
      <c r="AU159" s="305"/>
      <c r="AV159" s="305"/>
      <c r="AW159" s="305"/>
      <c r="AX159" s="305"/>
      <c r="AY159" s="305"/>
      <c r="AZ159" s="305"/>
      <c r="BA159" s="305"/>
      <c r="BB159" s="305"/>
      <c r="BC159" s="305"/>
      <c r="BD159" s="305"/>
      <c r="BE159" s="306"/>
    </row>
    <row r="160" spans="2:57" x14ac:dyDescent="0.25">
      <c r="B160" s="304" t="s">
        <v>97</v>
      </c>
      <c r="C160" s="305"/>
      <c r="D160" s="305"/>
      <c r="E160" s="305"/>
      <c r="F160" s="308" t="s">
        <v>98</v>
      </c>
      <c r="G160" s="305"/>
      <c r="H160" s="309">
        <f>IF('II. Inputs, Baseline Energy Mix'!$Q$15=0,0,'II. Inputs, Baseline Energy Mix'!$Q$92*'II. Inputs, Baseline Energy Mix'!$Q$16*H158)</f>
        <v>0</v>
      </c>
      <c r="I160" s="309">
        <f>IF('II. Inputs, Baseline Energy Mix'!$Q$15=0,0,'II. Inputs, Baseline Energy Mix'!$Q$92*'II. Inputs, Baseline Energy Mix'!$Q$16*I158)</f>
        <v>0</v>
      </c>
      <c r="J160" s="309">
        <f>IF('II. Inputs, Baseline Energy Mix'!$Q$15=0,0,'II. Inputs, Baseline Energy Mix'!$Q$92*'II. Inputs, Baseline Energy Mix'!$Q$16*J158)</f>
        <v>0</v>
      </c>
      <c r="K160" s="309">
        <f>IF('II. Inputs, Baseline Energy Mix'!$Q$15=0,0,'II. Inputs, Baseline Energy Mix'!$Q$92*'II. Inputs, Baseline Energy Mix'!$Q$16*K158)</f>
        <v>0</v>
      </c>
      <c r="L160" s="309">
        <f>IF('II. Inputs, Baseline Energy Mix'!$Q$15=0,0,'II. Inputs, Baseline Energy Mix'!$Q$92*'II. Inputs, Baseline Energy Mix'!$Q$16*L158)</f>
        <v>0</v>
      </c>
      <c r="M160" s="309">
        <f>IF('II. Inputs, Baseline Energy Mix'!$Q$15=0,0,'II. Inputs, Baseline Energy Mix'!$Q$92*'II. Inputs, Baseline Energy Mix'!$Q$16*M158)</f>
        <v>0</v>
      </c>
      <c r="N160" s="309">
        <f>IF('II. Inputs, Baseline Energy Mix'!$Q$15=0,0,'II. Inputs, Baseline Energy Mix'!$Q$92*'II. Inputs, Baseline Energy Mix'!$Q$16*N158)</f>
        <v>0</v>
      </c>
      <c r="O160" s="309">
        <f>IF('II. Inputs, Baseline Energy Mix'!$Q$15=0,0,'II. Inputs, Baseline Energy Mix'!$Q$92*'II. Inputs, Baseline Energy Mix'!$Q$16*O158)</f>
        <v>0</v>
      </c>
      <c r="P160" s="309">
        <f>IF('II. Inputs, Baseline Energy Mix'!$Q$15=0,0,'II. Inputs, Baseline Energy Mix'!$Q$92*'II. Inputs, Baseline Energy Mix'!$Q$16*P158)</f>
        <v>0</v>
      </c>
      <c r="Q160" s="309">
        <f>IF('II. Inputs, Baseline Energy Mix'!$Q$15=0,0,'II. Inputs, Baseline Energy Mix'!$Q$92*'II. Inputs, Baseline Energy Mix'!$Q$16*Q158)</f>
        <v>0</v>
      </c>
      <c r="R160" s="309">
        <f>IF('II. Inputs, Baseline Energy Mix'!$Q$15=0,0,'II. Inputs, Baseline Energy Mix'!$Q$92*'II. Inputs, Baseline Energy Mix'!$Q$16*R158)</f>
        <v>0</v>
      </c>
      <c r="S160" s="309">
        <f>IF('II. Inputs, Baseline Energy Mix'!$Q$15=0,0,'II. Inputs, Baseline Energy Mix'!$Q$92*'II. Inputs, Baseline Energy Mix'!$Q$16*S158)</f>
        <v>0</v>
      </c>
      <c r="T160" s="309">
        <f>IF('II. Inputs, Baseline Energy Mix'!$Q$15=0,0,'II. Inputs, Baseline Energy Mix'!$Q$92*'II. Inputs, Baseline Energy Mix'!$Q$16*T158)</f>
        <v>0</v>
      </c>
      <c r="U160" s="309">
        <f>IF('II. Inputs, Baseline Energy Mix'!$Q$15=0,0,'II. Inputs, Baseline Energy Mix'!$Q$92*'II. Inputs, Baseline Energy Mix'!$Q$16*U158)</f>
        <v>0</v>
      </c>
      <c r="V160" s="309">
        <f>IF('II. Inputs, Baseline Energy Mix'!$Q$15=0,0,'II. Inputs, Baseline Energy Mix'!$Q$92*'II. Inputs, Baseline Energy Mix'!$Q$16*V158)</f>
        <v>0</v>
      </c>
      <c r="W160" s="309">
        <f>IF('II. Inputs, Baseline Energy Mix'!$Q$15=0,0,'II. Inputs, Baseline Energy Mix'!$Q$92*'II. Inputs, Baseline Energy Mix'!$Q$16*W158)</f>
        <v>0</v>
      </c>
      <c r="X160" s="309">
        <f>IF('II. Inputs, Baseline Energy Mix'!$Q$15=0,0,'II. Inputs, Baseline Energy Mix'!$Q$92*'II. Inputs, Baseline Energy Mix'!$Q$16*X158)</f>
        <v>0</v>
      </c>
      <c r="Y160" s="309">
        <f>IF('II. Inputs, Baseline Energy Mix'!$Q$15=0,0,'II. Inputs, Baseline Energy Mix'!$Q$92*'II. Inputs, Baseline Energy Mix'!$Q$16*Y158)</f>
        <v>0</v>
      </c>
      <c r="Z160" s="309">
        <f>IF('II. Inputs, Baseline Energy Mix'!$Q$15=0,0,'II. Inputs, Baseline Energy Mix'!$Q$92*'II. Inputs, Baseline Energy Mix'!$Q$16*Z158)</f>
        <v>0</v>
      </c>
      <c r="AA160" s="309">
        <f>IF('II. Inputs, Baseline Energy Mix'!$Q$15=0,0,'II. Inputs, Baseline Energy Mix'!$Q$92*'II. Inputs, Baseline Energy Mix'!$Q$16*AA158)</f>
        <v>0</v>
      </c>
      <c r="AB160" s="309">
        <f>IF('II. Inputs, Baseline Energy Mix'!$Q$15=0,0,'II. Inputs, Baseline Energy Mix'!$Q$92*'II. Inputs, Baseline Energy Mix'!$Q$16*AB158)</f>
        <v>0</v>
      </c>
      <c r="AC160" s="309">
        <f>IF('II. Inputs, Baseline Energy Mix'!$Q$15=0,0,'II. Inputs, Baseline Energy Mix'!$Q$92*'II. Inputs, Baseline Energy Mix'!$Q$16*AC158)</f>
        <v>0</v>
      </c>
      <c r="AD160" s="309">
        <f>IF('II. Inputs, Baseline Energy Mix'!$Q$15=0,0,'II. Inputs, Baseline Energy Mix'!$Q$92*'II. Inputs, Baseline Energy Mix'!$Q$16*AD158)</f>
        <v>0</v>
      </c>
      <c r="AE160" s="309">
        <f>IF('II. Inputs, Baseline Energy Mix'!$Q$15=0,0,'II. Inputs, Baseline Energy Mix'!$Q$92*'II. Inputs, Baseline Energy Mix'!$Q$16*AE158)</f>
        <v>0</v>
      </c>
      <c r="AF160" s="309">
        <f>IF('II. Inputs, Baseline Energy Mix'!$Q$15=0,0,'II. Inputs, Baseline Energy Mix'!$Q$92*'II. Inputs, Baseline Energy Mix'!$Q$16*AF158)</f>
        <v>0</v>
      </c>
      <c r="AG160" s="309">
        <f>IF('II. Inputs, Baseline Energy Mix'!$Q$15=0,0,'II. Inputs, Baseline Energy Mix'!$Q$92*'II. Inputs, Baseline Energy Mix'!$Q$16*AG158)</f>
        <v>0</v>
      </c>
      <c r="AH160" s="309">
        <f>IF('II. Inputs, Baseline Energy Mix'!$Q$15=0,0,'II. Inputs, Baseline Energy Mix'!$Q$92*'II. Inputs, Baseline Energy Mix'!$Q$16*AH158)</f>
        <v>0</v>
      </c>
      <c r="AI160" s="309">
        <f>IF('II. Inputs, Baseline Energy Mix'!$Q$15=0,0,'II. Inputs, Baseline Energy Mix'!$Q$92*'II. Inputs, Baseline Energy Mix'!$Q$16*AI158)</f>
        <v>0</v>
      </c>
      <c r="AJ160" s="309">
        <f>IF('II. Inputs, Baseline Energy Mix'!$Q$15=0,0,'II. Inputs, Baseline Energy Mix'!$Q$92*'II. Inputs, Baseline Energy Mix'!$Q$16*AJ158)</f>
        <v>0</v>
      </c>
      <c r="AK160" s="309">
        <f>IF('II. Inputs, Baseline Energy Mix'!$Q$15=0,0,'II. Inputs, Baseline Energy Mix'!$Q$92*'II. Inputs, Baseline Energy Mix'!$Q$16*AK158)</f>
        <v>0</v>
      </c>
      <c r="AL160" s="309">
        <f>IF('II. Inputs, Baseline Energy Mix'!$Q$15=0,0,'II. Inputs, Baseline Energy Mix'!$Q$92*'II. Inputs, Baseline Energy Mix'!$Q$16*AL158)</f>
        <v>0</v>
      </c>
      <c r="AM160" s="309">
        <f>IF('II. Inputs, Baseline Energy Mix'!$Q$15=0,0,'II. Inputs, Baseline Energy Mix'!$Q$92*'II. Inputs, Baseline Energy Mix'!$Q$16*AM158)</f>
        <v>0</v>
      </c>
      <c r="AN160" s="309">
        <f>IF('II. Inputs, Baseline Energy Mix'!$Q$15=0,0,'II. Inputs, Baseline Energy Mix'!$Q$92*'II. Inputs, Baseline Energy Mix'!$Q$16*AN158)</f>
        <v>0</v>
      </c>
      <c r="AO160" s="309">
        <f>IF('II. Inputs, Baseline Energy Mix'!$Q$15=0,0,'II. Inputs, Baseline Energy Mix'!$Q$92*'II. Inputs, Baseline Energy Mix'!$Q$16*AO158)</f>
        <v>0</v>
      </c>
      <c r="AP160" s="309">
        <f>IF('II. Inputs, Baseline Energy Mix'!$Q$15=0,0,'II. Inputs, Baseline Energy Mix'!$Q$92*'II. Inputs, Baseline Energy Mix'!$Q$16*AP158)</f>
        <v>0</v>
      </c>
      <c r="AQ160" s="309">
        <f>IF('II. Inputs, Baseline Energy Mix'!$Q$15=0,0,'II. Inputs, Baseline Energy Mix'!$Q$92*'II. Inputs, Baseline Energy Mix'!$Q$16*AQ158)</f>
        <v>0</v>
      </c>
      <c r="AR160" s="309">
        <f>IF('II. Inputs, Baseline Energy Mix'!$Q$15=0,0,'II. Inputs, Baseline Energy Mix'!$Q$92*'II. Inputs, Baseline Energy Mix'!$Q$16*AR158)</f>
        <v>0</v>
      </c>
      <c r="AS160" s="309">
        <f>IF('II. Inputs, Baseline Energy Mix'!$Q$15=0,0,'II. Inputs, Baseline Energy Mix'!$Q$92*'II. Inputs, Baseline Energy Mix'!$Q$16*AS158)</f>
        <v>0</v>
      </c>
      <c r="AT160" s="309">
        <f>IF('II. Inputs, Baseline Energy Mix'!$Q$15=0,0,'II. Inputs, Baseline Energy Mix'!$Q$92*'II. Inputs, Baseline Energy Mix'!$Q$16*AT158)</f>
        <v>0</v>
      </c>
      <c r="AU160" s="309">
        <f>IF('II. Inputs, Baseline Energy Mix'!$Q$15=0,0,'II. Inputs, Baseline Energy Mix'!$Q$92*'II. Inputs, Baseline Energy Mix'!$Q$16*AU158)</f>
        <v>0</v>
      </c>
      <c r="AV160" s="309">
        <f>IF('II. Inputs, Baseline Energy Mix'!$Q$15=0,0,'II. Inputs, Baseline Energy Mix'!$Q$92*'II. Inputs, Baseline Energy Mix'!$Q$16*AV158)</f>
        <v>0</v>
      </c>
      <c r="AW160" s="309">
        <f>IF('II. Inputs, Baseline Energy Mix'!$Q$15=0,0,'II. Inputs, Baseline Energy Mix'!$Q$92*'II. Inputs, Baseline Energy Mix'!$Q$16*AW158)</f>
        <v>0</v>
      </c>
      <c r="AX160" s="309">
        <f>IF('II. Inputs, Baseline Energy Mix'!$Q$15=0,0,'II. Inputs, Baseline Energy Mix'!$Q$92*'II. Inputs, Baseline Energy Mix'!$Q$16*AX158)</f>
        <v>0</v>
      </c>
      <c r="AY160" s="309">
        <f>IF('II. Inputs, Baseline Energy Mix'!$Q$15=0,0,'II. Inputs, Baseline Energy Mix'!$Q$92*'II. Inputs, Baseline Energy Mix'!$Q$16*AY158)</f>
        <v>0</v>
      </c>
      <c r="AZ160" s="309">
        <f>IF('II. Inputs, Baseline Energy Mix'!$Q$15=0,0,'II. Inputs, Baseline Energy Mix'!$Q$92*'II. Inputs, Baseline Energy Mix'!$Q$16*AZ158)</f>
        <v>0</v>
      </c>
      <c r="BA160" s="309">
        <f>IF('II. Inputs, Baseline Energy Mix'!$Q$15=0,0,'II. Inputs, Baseline Energy Mix'!$Q$92*'II. Inputs, Baseline Energy Mix'!$Q$16*BA158)</f>
        <v>0</v>
      </c>
      <c r="BB160" s="309">
        <f>IF('II. Inputs, Baseline Energy Mix'!$Q$15=0,0,'II. Inputs, Baseline Energy Mix'!$Q$92*'II. Inputs, Baseline Energy Mix'!$Q$16*BB158)</f>
        <v>0</v>
      </c>
      <c r="BC160" s="309">
        <f>IF('II. Inputs, Baseline Energy Mix'!$Q$15=0,0,'II. Inputs, Baseline Energy Mix'!$Q$92*'II. Inputs, Baseline Energy Mix'!$Q$16*BC158)</f>
        <v>0</v>
      </c>
      <c r="BD160" s="309">
        <f>IF('II. Inputs, Baseline Energy Mix'!$Q$15=0,0,'II. Inputs, Baseline Energy Mix'!$Q$92*'II. Inputs, Baseline Energy Mix'!$Q$16*BD158)</f>
        <v>0</v>
      </c>
      <c r="BE160" s="310">
        <f>IF('II. Inputs, Baseline Energy Mix'!$Q$15=0,0,'II. Inputs, Baseline Energy Mix'!$Q$92*'II. Inputs, Baseline Energy Mix'!$Q$16*BE158)</f>
        <v>0</v>
      </c>
    </row>
    <row r="161" spans="2:57" x14ac:dyDescent="0.25">
      <c r="B161" s="304"/>
      <c r="C161" s="305"/>
      <c r="D161" s="305"/>
      <c r="E161" s="308"/>
      <c r="F161" s="305"/>
      <c r="G161" s="305"/>
      <c r="H161" s="305"/>
      <c r="I161" s="305"/>
      <c r="J161" s="305"/>
      <c r="K161" s="305"/>
      <c r="L161" s="305"/>
      <c r="M161" s="305"/>
      <c r="N161" s="305"/>
      <c r="O161" s="305"/>
      <c r="P161" s="305"/>
      <c r="Q161" s="305"/>
      <c r="R161" s="305"/>
      <c r="S161" s="305"/>
      <c r="T161" s="305"/>
      <c r="U161" s="305"/>
      <c r="V161" s="305"/>
      <c r="W161" s="305"/>
      <c r="X161" s="305"/>
      <c r="Y161" s="305"/>
      <c r="Z161" s="305"/>
      <c r="AA161" s="305"/>
      <c r="AB161" s="305"/>
      <c r="AC161" s="305"/>
      <c r="AD161" s="305"/>
      <c r="AE161" s="305"/>
      <c r="AF161" s="305"/>
      <c r="AG161" s="305"/>
      <c r="AH161" s="305"/>
      <c r="AI161" s="305"/>
      <c r="AJ161" s="305"/>
      <c r="AK161" s="305"/>
      <c r="AL161" s="305"/>
      <c r="AM161" s="305"/>
      <c r="AN161" s="305"/>
      <c r="AO161" s="305"/>
      <c r="AP161" s="305"/>
      <c r="AQ161" s="305"/>
      <c r="AR161" s="305"/>
      <c r="AS161" s="305"/>
      <c r="AT161" s="305"/>
      <c r="AU161" s="305"/>
      <c r="AV161" s="305"/>
      <c r="AW161" s="305"/>
      <c r="AX161" s="305"/>
      <c r="AY161" s="305"/>
      <c r="AZ161" s="305"/>
      <c r="BA161" s="305"/>
      <c r="BB161" s="305"/>
      <c r="BC161" s="305"/>
      <c r="BD161" s="305"/>
      <c r="BE161" s="306"/>
    </row>
    <row r="162" spans="2:57" x14ac:dyDescent="0.25">
      <c r="B162" s="311" t="s">
        <v>99</v>
      </c>
      <c r="C162" s="312"/>
      <c r="D162" s="312"/>
      <c r="E162" s="313"/>
      <c r="F162" s="313"/>
      <c r="G162" s="313"/>
      <c r="H162" s="313"/>
      <c r="I162" s="313"/>
      <c r="J162" s="313"/>
      <c r="K162" s="313"/>
      <c r="L162" s="313"/>
      <c r="M162" s="313"/>
      <c r="N162" s="313"/>
      <c r="O162" s="313"/>
      <c r="P162" s="313"/>
      <c r="Q162" s="313"/>
      <c r="R162" s="313"/>
      <c r="S162" s="313"/>
      <c r="T162" s="313"/>
      <c r="U162" s="313"/>
      <c r="V162" s="313"/>
      <c r="W162" s="313"/>
      <c r="X162" s="313"/>
      <c r="Y162" s="313"/>
      <c r="Z162" s="313"/>
      <c r="AA162" s="313"/>
      <c r="AB162" s="313"/>
      <c r="AC162" s="313"/>
      <c r="AD162" s="313"/>
      <c r="AE162" s="313"/>
      <c r="AF162" s="313"/>
      <c r="AG162" s="313"/>
      <c r="AH162" s="313"/>
      <c r="AI162" s="313"/>
      <c r="AJ162" s="313"/>
      <c r="AK162" s="313"/>
      <c r="AL162" s="313"/>
      <c r="AM162" s="313"/>
      <c r="AN162" s="313"/>
      <c r="AO162" s="313"/>
      <c r="AP162" s="313"/>
      <c r="AQ162" s="313"/>
      <c r="AR162" s="313"/>
      <c r="AS162" s="313"/>
      <c r="AT162" s="313"/>
      <c r="AU162" s="313"/>
      <c r="AV162" s="313"/>
      <c r="AW162" s="313"/>
      <c r="AX162" s="313"/>
      <c r="AY162" s="313"/>
      <c r="AZ162" s="313"/>
      <c r="BA162" s="313"/>
      <c r="BB162" s="313"/>
      <c r="BC162" s="313"/>
      <c r="BD162" s="313"/>
      <c r="BE162" s="314"/>
    </row>
    <row r="163" spans="2:57" x14ac:dyDescent="0.25">
      <c r="B163" s="304"/>
      <c r="C163" s="305"/>
      <c r="D163" s="305"/>
      <c r="E163" s="308"/>
      <c r="F163" s="305"/>
      <c r="G163" s="305"/>
      <c r="H163" s="305"/>
      <c r="I163" s="305"/>
      <c r="J163" s="305"/>
      <c r="K163" s="305"/>
      <c r="L163" s="305"/>
      <c r="M163" s="305"/>
      <c r="N163" s="305"/>
      <c r="O163" s="305"/>
      <c r="P163" s="305"/>
      <c r="Q163" s="305"/>
      <c r="R163" s="305"/>
      <c r="S163" s="305"/>
      <c r="T163" s="305"/>
      <c r="U163" s="305"/>
      <c r="V163" s="305"/>
      <c r="W163" s="305"/>
      <c r="X163" s="305"/>
      <c r="Y163" s="305"/>
      <c r="Z163" s="305"/>
      <c r="AA163" s="305"/>
      <c r="AB163" s="305"/>
      <c r="AC163" s="305"/>
      <c r="AD163" s="305"/>
      <c r="AE163" s="305"/>
      <c r="AF163" s="305"/>
      <c r="AG163" s="305"/>
      <c r="AH163" s="305"/>
      <c r="AI163" s="305"/>
      <c r="AJ163" s="305"/>
      <c r="AK163" s="305"/>
      <c r="AL163" s="305"/>
      <c r="AM163" s="305"/>
      <c r="AN163" s="305"/>
      <c r="AO163" s="305"/>
      <c r="AP163" s="305"/>
      <c r="AQ163" s="305"/>
      <c r="AR163" s="305"/>
      <c r="AS163" s="305"/>
      <c r="AT163" s="305"/>
      <c r="AU163" s="305"/>
      <c r="AV163" s="305"/>
      <c r="AW163" s="305"/>
      <c r="AX163" s="305"/>
      <c r="AY163" s="305"/>
      <c r="AZ163" s="305"/>
      <c r="BA163" s="305"/>
      <c r="BB163" s="305"/>
      <c r="BC163" s="305"/>
      <c r="BD163" s="305"/>
      <c r="BE163" s="306"/>
    </row>
    <row r="164" spans="2:57" x14ac:dyDescent="0.25">
      <c r="B164" s="304" t="s">
        <v>137</v>
      </c>
      <c r="C164" s="305"/>
      <c r="D164" s="305"/>
      <c r="E164" s="308"/>
      <c r="F164" s="308" t="s">
        <v>631</v>
      </c>
      <c r="G164" s="305"/>
      <c r="H164" s="1266">
        <f>IF('II. Inputs, Baseline Energy Mix'!$Q$15=0,0,H158*'II. Inputs, Baseline Energy Mix'!$Q$105*(1+'II. Inputs, Baseline Energy Mix'!$Q$106)^('IV. LCOE, Baseline Energy Mix'!H$13-1))</f>
        <v>0</v>
      </c>
      <c r="I164" s="1266">
        <f>IF('II. Inputs, Baseline Energy Mix'!$Q$15=0,0,I158*'II. Inputs, Baseline Energy Mix'!$Q$105*(1+'II. Inputs, Baseline Energy Mix'!$Q$106)^('IV. LCOE, Baseline Energy Mix'!I$13-1))</f>
        <v>0</v>
      </c>
      <c r="J164" s="1266">
        <f>IF('II. Inputs, Baseline Energy Mix'!$Q$15=0,0,J158*'II. Inputs, Baseline Energy Mix'!$Q$105*(1+'II. Inputs, Baseline Energy Mix'!$Q$106)^('IV. LCOE, Baseline Energy Mix'!J$13-1))</f>
        <v>0</v>
      </c>
      <c r="K164" s="1266">
        <f>IF('II. Inputs, Baseline Energy Mix'!$Q$15=0,0,K158*'II. Inputs, Baseline Energy Mix'!$Q$105*(1+'II. Inputs, Baseline Energy Mix'!$Q$106)^('IV. LCOE, Baseline Energy Mix'!K$13-1))</f>
        <v>0</v>
      </c>
      <c r="L164" s="1266">
        <f>IF('II. Inputs, Baseline Energy Mix'!$Q$15=0,0,L158*'II. Inputs, Baseline Energy Mix'!$Q$105*(1+'II. Inputs, Baseline Energy Mix'!$Q$106)^('IV. LCOE, Baseline Energy Mix'!L$13-1))</f>
        <v>0</v>
      </c>
      <c r="M164" s="1266">
        <f>IF('II. Inputs, Baseline Energy Mix'!$Q$15=0,0,M158*'II. Inputs, Baseline Energy Mix'!$Q$105*(1+'II. Inputs, Baseline Energy Mix'!$Q$106)^('IV. LCOE, Baseline Energy Mix'!M$13-1))</f>
        <v>0</v>
      </c>
      <c r="N164" s="1266">
        <f>IF('II. Inputs, Baseline Energy Mix'!$Q$15=0,0,N158*'II. Inputs, Baseline Energy Mix'!$Q$105*(1+'II. Inputs, Baseline Energy Mix'!$Q$106)^('IV. LCOE, Baseline Energy Mix'!N$13-1))</f>
        <v>0</v>
      </c>
      <c r="O164" s="1266">
        <f>IF('II. Inputs, Baseline Energy Mix'!$Q$15=0,0,O158*'II. Inputs, Baseline Energy Mix'!$Q$105*(1+'II. Inputs, Baseline Energy Mix'!$Q$106)^('IV. LCOE, Baseline Energy Mix'!O$13-1))</f>
        <v>0</v>
      </c>
      <c r="P164" s="1266">
        <f>IF('II. Inputs, Baseline Energy Mix'!$Q$15=0,0,P158*'II. Inputs, Baseline Energy Mix'!$Q$105*(1+'II. Inputs, Baseline Energy Mix'!$Q$106)^('IV. LCOE, Baseline Energy Mix'!P$13-1))</f>
        <v>0</v>
      </c>
      <c r="Q164" s="1266">
        <f>IF('II. Inputs, Baseline Energy Mix'!$Q$15=0,0,Q158*'II. Inputs, Baseline Energy Mix'!$Q$105*(1+'II. Inputs, Baseline Energy Mix'!$Q$106)^('IV. LCOE, Baseline Energy Mix'!Q$13-1))</f>
        <v>0</v>
      </c>
      <c r="R164" s="1266">
        <f>IF('II. Inputs, Baseline Energy Mix'!$Q$15=0,0,R158*'II. Inputs, Baseline Energy Mix'!$Q$105*(1+'II. Inputs, Baseline Energy Mix'!$Q$106)^('IV. LCOE, Baseline Energy Mix'!R$13-1))</f>
        <v>0</v>
      </c>
      <c r="S164" s="1266">
        <f>IF('II. Inputs, Baseline Energy Mix'!$Q$15=0,0,S158*'II. Inputs, Baseline Energy Mix'!$Q$105*(1+'II. Inputs, Baseline Energy Mix'!$Q$106)^('IV. LCOE, Baseline Energy Mix'!S$13-1))</f>
        <v>0</v>
      </c>
      <c r="T164" s="1266">
        <f>IF('II. Inputs, Baseline Energy Mix'!$Q$15=0,0,T158*'II. Inputs, Baseline Energy Mix'!$Q$105*(1+'II. Inputs, Baseline Energy Mix'!$Q$106)^('IV. LCOE, Baseline Energy Mix'!T$13-1))</f>
        <v>0</v>
      </c>
      <c r="U164" s="1266">
        <f>IF('II. Inputs, Baseline Energy Mix'!$Q$15=0,0,U158*'II. Inputs, Baseline Energy Mix'!$Q$105*(1+'II. Inputs, Baseline Energy Mix'!$Q$106)^('IV. LCOE, Baseline Energy Mix'!U$13-1))</f>
        <v>0</v>
      </c>
      <c r="V164" s="1266">
        <f>IF('II. Inputs, Baseline Energy Mix'!$Q$15=0,0,V158*'II. Inputs, Baseline Energy Mix'!$Q$105*(1+'II. Inputs, Baseline Energy Mix'!$Q$106)^('IV. LCOE, Baseline Energy Mix'!V$13-1))</f>
        <v>0</v>
      </c>
      <c r="W164" s="1266">
        <f>IF('II. Inputs, Baseline Energy Mix'!$Q$15=0,0,W158*'II. Inputs, Baseline Energy Mix'!$Q$105*(1+'II. Inputs, Baseline Energy Mix'!$Q$106)^('IV. LCOE, Baseline Energy Mix'!W$13-1))</f>
        <v>0</v>
      </c>
      <c r="X164" s="1266">
        <f>IF('II. Inputs, Baseline Energy Mix'!$Q$15=0,0,X158*'II. Inputs, Baseline Energy Mix'!$Q$105*(1+'II. Inputs, Baseline Energy Mix'!$Q$106)^('IV. LCOE, Baseline Energy Mix'!X$13-1))</f>
        <v>0</v>
      </c>
      <c r="Y164" s="1266">
        <f>IF('II. Inputs, Baseline Energy Mix'!$Q$15=0,0,Y158*'II. Inputs, Baseline Energy Mix'!$Q$105*(1+'II. Inputs, Baseline Energy Mix'!$Q$106)^('IV. LCOE, Baseline Energy Mix'!Y$13-1))</f>
        <v>0</v>
      </c>
      <c r="Z164" s="1266">
        <f>IF('II. Inputs, Baseline Energy Mix'!$Q$15=0,0,Z158*'II. Inputs, Baseline Energy Mix'!$Q$105*(1+'II. Inputs, Baseline Energy Mix'!$Q$106)^('IV. LCOE, Baseline Energy Mix'!Z$13-1))</f>
        <v>0</v>
      </c>
      <c r="AA164" s="1266">
        <f>IF('II. Inputs, Baseline Energy Mix'!$Q$15=0,0,AA158*'II. Inputs, Baseline Energy Mix'!$Q$105*(1+'II. Inputs, Baseline Energy Mix'!$Q$106)^('IV. LCOE, Baseline Energy Mix'!AA$13-1))</f>
        <v>0</v>
      </c>
      <c r="AB164" s="1266">
        <f>IF('II. Inputs, Baseline Energy Mix'!$Q$15=0,0,AB158*'II. Inputs, Baseline Energy Mix'!$Q$105*(1+'II. Inputs, Baseline Energy Mix'!$Q$106)^('IV. LCOE, Baseline Energy Mix'!AB$13-1))</f>
        <v>0</v>
      </c>
      <c r="AC164" s="1266">
        <f>IF('II. Inputs, Baseline Energy Mix'!$Q$15=0,0,AC158*'II. Inputs, Baseline Energy Mix'!$Q$105*(1+'II. Inputs, Baseline Energy Mix'!$Q$106)^('IV. LCOE, Baseline Energy Mix'!AC$13-1))</f>
        <v>0</v>
      </c>
      <c r="AD164" s="1266">
        <f>IF('II. Inputs, Baseline Energy Mix'!$Q$15=0,0,AD158*'II. Inputs, Baseline Energy Mix'!$Q$105*(1+'II. Inputs, Baseline Energy Mix'!$Q$106)^('IV. LCOE, Baseline Energy Mix'!AD$13-1))</f>
        <v>0</v>
      </c>
      <c r="AE164" s="1266">
        <f>IF('II. Inputs, Baseline Energy Mix'!$Q$15=0,0,AE158*'II. Inputs, Baseline Energy Mix'!$Q$105*(1+'II. Inputs, Baseline Energy Mix'!$Q$106)^('IV. LCOE, Baseline Energy Mix'!AE$13-1))</f>
        <v>0</v>
      </c>
      <c r="AF164" s="1266">
        <f>IF('II. Inputs, Baseline Energy Mix'!$Q$15=0,0,AF158*'II. Inputs, Baseline Energy Mix'!$Q$105*(1+'II. Inputs, Baseline Energy Mix'!$Q$106)^('IV. LCOE, Baseline Energy Mix'!AF$13-1))</f>
        <v>0</v>
      </c>
      <c r="AG164" s="1266">
        <f>IF('II. Inputs, Baseline Energy Mix'!$Q$15=0,0,AG158*'II. Inputs, Baseline Energy Mix'!$Q$105*(1+'II. Inputs, Baseline Energy Mix'!$Q$106)^('IV. LCOE, Baseline Energy Mix'!AG$13-1))</f>
        <v>0</v>
      </c>
      <c r="AH164" s="1266">
        <f>IF('II. Inputs, Baseline Energy Mix'!$Q$15=0,0,AH158*'II. Inputs, Baseline Energy Mix'!$Q$105*(1+'II. Inputs, Baseline Energy Mix'!$Q$106)^('IV. LCOE, Baseline Energy Mix'!AH$13-1))</f>
        <v>0</v>
      </c>
      <c r="AI164" s="1266">
        <f>IF('II. Inputs, Baseline Energy Mix'!$Q$15=0,0,AI158*'II. Inputs, Baseline Energy Mix'!$Q$105*(1+'II. Inputs, Baseline Energy Mix'!$Q$106)^('IV. LCOE, Baseline Energy Mix'!AI$13-1))</f>
        <v>0</v>
      </c>
      <c r="AJ164" s="1266">
        <f>IF('II. Inputs, Baseline Energy Mix'!$Q$15=0,0,AJ158*'II. Inputs, Baseline Energy Mix'!$Q$105*(1+'II. Inputs, Baseline Energy Mix'!$Q$106)^('IV. LCOE, Baseline Energy Mix'!AJ$13-1))</f>
        <v>0</v>
      </c>
      <c r="AK164" s="1266">
        <f>IF('II. Inputs, Baseline Energy Mix'!$Q$15=0,0,AK158*'II. Inputs, Baseline Energy Mix'!$Q$105*(1+'II. Inputs, Baseline Energy Mix'!$Q$106)^('IV. LCOE, Baseline Energy Mix'!AK$13-1))</f>
        <v>0</v>
      </c>
      <c r="AL164" s="1266">
        <f>IF('II. Inputs, Baseline Energy Mix'!$Q$15=0,0,AL158*'II. Inputs, Baseline Energy Mix'!$Q$105*(1+'II. Inputs, Baseline Energy Mix'!$Q$106)^('IV. LCOE, Baseline Energy Mix'!AL$13-1))</f>
        <v>0</v>
      </c>
      <c r="AM164" s="1266">
        <f>IF('II. Inputs, Baseline Energy Mix'!$Q$15=0,0,AM158*'II. Inputs, Baseline Energy Mix'!$Q$105*(1+'II. Inputs, Baseline Energy Mix'!$Q$106)^('IV. LCOE, Baseline Energy Mix'!AM$13-1))</f>
        <v>0</v>
      </c>
      <c r="AN164" s="1266">
        <f>IF('II. Inputs, Baseline Energy Mix'!$Q$15=0,0,AN158*'II. Inputs, Baseline Energy Mix'!$Q$105*(1+'II. Inputs, Baseline Energy Mix'!$Q$106)^('IV. LCOE, Baseline Energy Mix'!AN$13-1))</f>
        <v>0</v>
      </c>
      <c r="AO164" s="1266">
        <f>IF('II. Inputs, Baseline Energy Mix'!$Q$15=0,0,AO158*'II. Inputs, Baseline Energy Mix'!$Q$105*(1+'II. Inputs, Baseline Energy Mix'!$Q$106)^('IV. LCOE, Baseline Energy Mix'!AO$13-1))</f>
        <v>0</v>
      </c>
      <c r="AP164" s="1266">
        <f>IF('II. Inputs, Baseline Energy Mix'!$Q$15=0,0,AP158*'II. Inputs, Baseline Energy Mix'!$Q$105*(1+'II. Inputs, Baseline Energy Mix'!$Q$106)^('IV. LCOE, Baseline Energy Mix'!AP$13-1))</f>
        <v>0</v>
      </c>
      <c r="AQ164" s="1266">
        <f>IF('II. Inputs, Baseline Energy Mix'!$Q$15=0,0,AQ158*'II. Inputs, Baseline Energy Mix'!$Q$105*(1+'II. Inputs, Baseline Energy Mix'!$Q$106)^('IV. LCOE, Baseline Energy Mix'!AQ$13-1))</f>
        <v>0</v>
      </c>
      <c r="AR164" s="1266">
        <f>IF('II. Inputs, Baseline Energy Mix'!$Q$15=0,0,AR158*'II. Inputs, Baseline Energy Mix'!$Q$105*(1+'II. Inputs, Baseline Energy Mix'!$Q$106)^('IV. LCOE, Baseline Energy Mix'!AR$13-1))</f>
        <v>0</v>
      </c>
      <c r="AS164" s="1266">
        <f>IF('II. Inputs, Baseline Energy Mix'!$Q$15=0,0,AS158*'II. Inputs, Baseline Energy Mix'!$Q$105*(1+'II. Inputs, Baseline Energy Mix'!$Q$106)^('IV. LCOE, Baseline Energy Mix'!AS$13-1))</f>
        <v>0</v>
      </c>
      <c r="AT164" s="1266">
        <f>IF('II. Inputs, Baseline Energy Mix'!$Q$15=0,0,AT158*'II. Inputs, Baseline Energy Mix'!$Q$105*(1+'II. Inputs, Baseline Energy Mix'!$Q$106)^('IV. LCOE, Baseline Energy Mix'!AT$13-1))</f>
        <v>0</v>
      </c>
      <c r="AU164" s="1266">
        <f>IF('II. Inputs, Baseline Energy Mix'!$Q$15=0,0,AU158*'II. Inputs, Baseline Energy Mix'!$Q$105*(1+'II. Inputs, Baseline Energy Mix'!$Q$106)^('IV. LCOE, Baseline Energy Mix'!AU$13-1))</f>
        <v>0</v>
      </c>
      <c r="AV164" s="1266">
        <f>IF('II. Inputs, Baseline Energy Mix'!$Q$15=0,0,AV158*'II. Inputs, Baseline Energy Mix'!$Q$105*(1+'II. Inputs, Baseline Energy Mix'!$Q$106)^('IV. LCOE, Baseline Energy Mix'!AV$13-1))</f>
        <v>0</v>
      </c>
      <c r="AW164" s="1266">
        <f>IF('II. Inputs, Baseline Energy Mix'!$Q$15=0,0,AW158*'II. Inputs, Baseline Energy Mix'!$Q$105*(1+'II. Inputs, Baseline Energy Mix'!$Q$106)^('IV. LCOE, Baseline Energy Mix'!AW$13-1))</f>
        <v>0</v>
      </c>
      <c r="AX164" s="1266">
        <f>IF('II. Inputs, Baseline Energy Mix'!$Q$15=0,0,AX158*'II. Inputs, Baseline Energy Mix'!$Q$105*(1+'II. Inputs, Baseline Energy Mix'!$Q$106)^('IV. LCOE, Baseline Energy Mix'!AX$13-1))</f>
        <v>0</v>
      </c>
      <c r="AY164" s="1266">
        <f>IF('II. Inputs, Baseline Energy Mix'!$Q$15=0,0,AY158*'II. Inputs, Baseline Energy Mix'!$Q$105*(1+'II. Inputs, Baseline Energy Mix'!$Q$106)^('IV. LCOE, Baseline Energy Mix'!AY$13-1))</f>
        <v>0</v>
      </c>
      <c r="AZ164" s="1266">
        <f>IF('II. Inputs, Baseline Energy Mix'!$Q$15=0,0,AZ158*'II. Inputs, Baseline Energy Mix'!$Q$105*(1+'II. Inputs, Baseline Energy Mix'!$Q$106)^('IV. LCOE, Baseline Energy Mix'!AZ$13-1))</f>
        <v>0</v>
      </c>
      <c r="BA164" s="1266">
        <f>IF('II. Inputs, Baseline Energy Mix'!$Q$15=0,0,BA158*'II. Inputs, Baseline Energy Mix'!$Q$105*(1+'II. Inputs, Baseline Energy Mix'!$Q$106)^('IV. LCOE, Baseline Energy Mix'!BA$13-1))</f>
        <v>0</v>
      </c>
      <c r="BB164" s="1266">
        <f>IF('II. Inputs, Baseline Energy Mix'!$Q$15=0,0,BB158*'II. Inputs, Baseline Energy Mix'!$Q$105*(1+'II. Inputs, Baseline Energy Mix'!$Q$106)^('IV. LCOE, Baseline Energy Mix'!BB$13-1))</f>
        <v>0</v>
      </c>
      <c r="BC164" s="1266">
        <f>IF('II. Inputs, Baseline Energy Mix'!$Q$15=0,0,BC158*'II. Inputs, Baseline Energy Mix'!$Q$105*(1+'II. Inputs, Baseline Energy Mix'!$Q$106)^('IV. LCOE, Baseline Energy Mix'!BC$13-1))</f>
        <v>0</v>
      </c>
      <c r="BD164" s="1266">
        <f>IF('II. Inputs, Baseline Energy Mix'!$Q$15=0,0,BD158*'II. Inputs, Baseline Energy Mix'!$Q$105*(1+'II. Inputs, Baseline Energy Mix'!$Q$106)^('IV. LCOE, Baseline Energy Mix'!BD$13-1))</f>
        <v>0</v>
      </c>
      <c r="BE164" s="1267">
        <f>IF('II. Inputs, Baseline Energy Mix'!$Q$15=0,0,BE158*'II. Inputs, Baseline Energy Mix'!$Q$105*(1+'II. Inputs, Baseline Energy Mix'!$Q$106)^('IV. LCOE, Baseline Energy Mix'!BE$13-1))</f>
        <v>0</v>
      </c>
    </row>
    <row r="165" spans="2:57" x14ac:dyDescent="0.25">
      <c r="B165" s="304"/>
      <c r="C165" s="305"/>
      <c r="D165" s="305"/>
      <c r="E165" s="308"/>
      <c r="F165" s="308"/>
      <c r="G165" s="305"/>
      <c r="H165" s="1266"/>
      <c r="I165" s="1266"/>
      <c r="J165" s="1266"/>
      <c r="K165" s="1266"/>
      <c r="L165" s="1266"/>
      <c r="M165" s="1266"/>
      <c r="N165" s="1266"/>
      <c r="O165" s="1266"/>
      <c r="P165" s="1266"/>
      <c r="Q165" s="1266"/>
      <c r="R165" s="1266"/>
      <c r="S165" s="1266"/>
      <c r="T165" s="1266"/>
      <c r="U165" s="1266"/>
      <c r="V165" s="1266"/>
      <c r="W165" s="1266"/>
      <c r="X165" s="1266"/>
      <c r="Y165" s="1266"/>
      <c r="Z165" s="1266"/>
      <c r="AA165" s="1266"/>
      <c r="AB165" s="1266"/>
      <c r="AC165" s="1266"/>
      <c r="AD165" s="1266"/>
      <c r="AE165" s="1266"/>
      <c r="AF165" s="1266"/>
      <c r="AG165" s="1266"/>
      <c r="AH165" s="1266"/>
      <c r="AI165" s="1266"/>
      <c r="AJ165" s="1266"/>
      <c r="AK165" s="1266"/>
      <c r="AL165" s="1266"/>
      <c r="AM165" s="1266"/>
      <c r="AN165" s="1266"/>
      <c r="AO165" s="1266"/>
      <c r="AP165" s="1266"/>
      <c r="AQ165" s="1266"/>
      <c r="AR165" s="1266"/>
      <c r="AS165" s="1266"/>
      <c r="AT165" s="1266"/>
      <c r="AU165" s="1266"/>
      <c r="AV165" s="1266"/>
      <c r="AW165" s="1266"/>
      <c r="AX165" s="1266"/>
      <c r="AY165" s="1266"/>
      <c r="AZ165" s="1266"/>
      <c r="BA165" s="1266"/>
      <c r="BB165" s="1266"/>
      <c r="BC165" s="1266"/>
      <c r="BD165" s="1266"/>
      <c r="BE165" s="1267"/>
    </row>
    <row r="166" spans="2:57" x14ac:dyDescent="0.25">
      <c r="B166" s="304" t="s">
        <v>38</v>
      </c>
      <c r="C166" s="305"/>
      <c r="D166" s="305"/>
      <c r="E166" s="308"/>
      <c r="F166" s="308" t="s">
        <v>632</v>
      </c>
      <c r="G166" s="305"/>
      <c r="H166" s="1272">
        <f>IF('II. Inputs, Baseline Energy Mix'!$Q$96="Model Default",'IV. LCOE, Baseline Energy Mix'!H167,IF('II. Inputs, Baseline Energy Mix'!$Q$96="User-defined, annually adjusted",'IV. LCOE, Baseline Energy Mix'!H168,IF('II. Inputs, Baseline Energy Mix'!$Q$96="Manual Entry",'IV. LCOE, Baseline Energy Mix'!H170,H169)))</f>
        <v>0</v>
      </c>
      <c r="I166" s="1272">
        <f>IF('II. Inputs, Baseline Energy Mix'!$Q$96="Model Default",'IV. LCOE, Baseline Energy Mix'!I167,IF('II. Inputs, Baseline Energy Mix'!$Q$96="User-defined, annually adjusted",'IV. LCOE, Baseline Energy Mix'!I168,IF('II. Inputs, Baseline Energy Mix'!$Q$96="Manual Entry",'IV. LCOE, Baseline Energy Mix'!I170,I169)))</f>
        <v>0</v>
      </c>
      <c r="J166" s="1272">
        <f>IF('II. Inputs, Baseline Energy Mix'!$Q$96="Model Default",'IV. LCOE, Baseline Energy Mix'!J167,IF('II. Inputs, Baseline Energy Mix'!$Q$96="User-defined, annually adjusted",'IV. LCOE, Baseline Energy Mix'!J168,IF('II. Inputs, Baseline Energy Mix'!$Q$96="Manual Entry",'IV. LCOE, Baseline Energy Mix'!J170,J169)))</f>
        <v>0</v>
      </c>
      <c r="K166" s="1272">
        <f>IF('II. Inputs, Baseline Energy Mix'!$Q$96="Model Default",'IV. LCOE, Baseline Energy Mix'!K167,IF('II. Inputs, Baseline Energy Mix'!$Q$96="User-defined, annually adjusted",'IV. LCOE, Baseline Energy Mix'!K168,IF('II. Inputs, Baseline Energy Mix'!$Q$96="Manual Entry",'IV. LCOE, Baseline Energy Mix'!K170,K169)))</f>
        <v>0</v>
      </c>
      <c r="L166" s="1272">
        <f>IF('II. Inputs, Baseline Energy Mix'!$Q$96="Model Default",'IV. LCOE, Baseline Energy Mix'!L167,IF('II. Inputs, Baseline Energy Mix'!$Q$96="User-defined, annually adjusted",'IV. LCOE, Baseline Energy Mix'!L168,IF('II. Inputs, Baseline Energy Mix'!$Q$96="Manual Entry",'IV. LCOE, Baseline Energy Mix'!L170,L169)))</f>
        <v>0</v>
      </c>
      <c r="M166" s="1272">
        <f>IF('II. Inputs, Baseline Energy Mix'!$Q$96="Model Default",'IV. LCOE, Baseline Energy Mix'!M167,IF('II. Inputs, Baseline Energy Mix'!$Q$96="User-defined, annually adjusted",'IV. LCOE, Baseline Energy Mix'!M168,IF('II. Inputs, Baseline Energy Mix'!$Q$96="Manual Entry",'IV. LCOE, Baseline Energy Mix'!M170,M169)))</f>
        <v>0</v>
      </c>
      <c r="N166" s="1272">
        <f>IF('II. Inputs, Baseline Energy Mix'!$Q$96="Model Default",'IV. LCOE, Baseline Energy Mix'!N167,IF('II. Inputs, Baseline Energy Mix'!$Q$96="User-defined, annually adjusted",'IV. LCOE, Baseline Energy Mix'!N168,IF('II. Inputs, Baseline Energy Mix'!$Q$96="Manual Entry",'IV. LCOE, Baseline Energy Mix'!N170,N169)))</f>
        <v>0</v>
      </c>
      <c r="O166" s="1272">
        <f>IF('II. Inputs, Baseline Energy Mix'!$Q$96="Model Default",'IV. LCOE, Baseline Energy Mix'!O167,IF('II. Inputs, Baseline Energy Mix'!$Q$96="User-defined, annually adjusted",'IV. LCOE, Baseline Energy Mix'!O168,IF('II. Inputs, Baseline Energy Mix'!$Q$96="Manual Entry",'IV. LCOE, Baseline Energy Mix'!O170,O169)))</f>
        <v>0</v>
      </c>
      <c r="P166" s="1272">
        <f>IF('II. Inputs, Baseline Energy Mix'!$Q$96="Model Default",'IV. LCOE, Baseline Energy Mix'!P167,IF('II. Inputs, Baseline Energy Mix'!$Q$96="User-defined, annually adjusted",'IV. LCOE, Baseline Energy Mix'!P168,IF('II. Inputs, Baseline Energy Mix'!$Q$96="Manual Entry",'IV. LCOE, Baseline Energy Mix'!P170,P169)))</f>
        <v>0</v>
      </c>
      <c r="Q166" s="1272">
        <f>IF('II. Inputs, Baseline Energy Mix'!$Q$96="Model Default",'IV. LCOE, Baseline Energy Mix'!Q167,IF('II. Inputs, Baseline Energy Mix'!$Q$96="User-defined, annually adjusted",'IV. LCOE, Baseline Energy Mix'!Q168,IF('II. Inputs, Baseline Energy Mix'!$Q$96="Manual Entry",'IV. LCOE, Baseline Energy Mix'!Q170,Q169)))</f>
        <v>0</v>
      </c>
      <c r="R166" s="1272">
        <f>IF('II. Inputs, Baseline Energy Mix'!$Q$96="Model Default",'IV. LCOE, Baseline Energy Mix'!R167,IF('II. Inputs, Baseline Energy Mix'!$Q$96="User-defined, annually adjusted",'IV. LCOE, Baseline Energy Mix'!R168,IF('II. Inputs, Baseline Energy Mix'!$Q$96="Manual Entry",'IV. LCOE, Baseline Energy Mix'!R170,R169)))</f>
        <v>0</v>
      </c>
      <c r="S166" s="1272">
        <f>IF('II. Inputs, Baseline Energy Mix'!$Q$96="Model Default",'IV. LCOE, Baseline Energy Mix'!S167,IF('II. Inputs, Baseline Energy Mix'!$Q$96="User-defined, annually adjusted",'IV. LCOE, Baseline Energy Mix'!S168,IF('II. Inputs, Baseline Energy Mix'!$Q$96="Manual Entry",'IV. LCOE, Baseline Energy Mix'!S170,S169)))</f>
        <v>0</v>
      </c>
      <c r="T166" s="1272">
        <f>IF('II. Inputs, Baseline Energy Mix'!$Q$96="Model Default",'IV. LCOE, Baseline Energy Mix'!T167,IF('II. Inputs, Baseline Energy Mix'!$Q$96="User-defined, annually adjusted",'IV. LCOE, Baseline Energy Mix'!T168,IF('II. Inputs, Baseline Energy Mix'!$Q$96="Manual Entry",'IV. LCOE, Baseline Energy Mix'!T170,T169)))</f>
        <v>0</v>
      </c>
      <c r="U166" s="1272">
        <f>IF('II. Inputs, Baseline Energy Mix'!$Q$96="Model Default",'IV. LCOE, Baseline Energy Mix'!U167,IF('II. Inputs, Baseline Energy Mix'!$Q$96="User-defined, annually adjusted",'IV. LCOE, Baseline Energy Mix'!U168,IF('II. Inputs, Baseline Energy Mix'!$Q$96="Manual Entry",'IV. LCOE, Baseline Energy Mix'!U170,U169)))</f>
        <v>0</v>
      </c>
      <c r="V166" s="1272">
        <f>IF('II. Inputs, Baseline Energy Mix'!$Q$96="Model Default",'IV. LCOE, Baseline Energy Mix'!V167,IF('II. Inputs, Baseline Energy Mix'!$Q$96="User-defined, annually adjusted",'IV. LCOE, Baseline Energy Mix'!V168,IF('II. Inputs, Baseline Energy Mix'!$Q$96="Manual Entry",'IV. LCOE, Baseline Energy Mix'!V170,V169)))</f>
        <v>0</v>
      </c>
      <c r="W166" s="1272">
        <f>IF('II. Inputs, Baseline Energy Mix'!$Q$96="Model Default",'IV. LCOE, Baseline Energy Mix'!W167,IF('II. Inputs, Baseline Energy Mix'!$Q$96="User-defined, annually adjusted",'IV. LCOE, Baseline Energy Mix'!W168,IF('II. Inputs, Baseline Energy Mix'!$Q$96="Manual Entry",'IV. LCOE, Baseline Energy Mix'!W170,W169)))</f>
        <v>0</v>
      </c>
      <c r="X166" s="1272">
        <f>IF('II. Inputs, Baseline Energy Mix'!$Q$96="Model Default",'IV. LCOE, Baseline Energy Mix'!X167,IF('II. Inputs, Baseline Energy Mix'!$Q$96="User-defined, annually adjusted",'IV. LCOE, Baseline Energy Mix'!X168,IF('II. Inputs, Baseline Energy Mix'!$Q$96="Manual Entry",'IV. LCOE, Baseline Energy Mix'!X170,X169)))</f>
        <v>0</v>
      </c>
      <c r="Y166" s="1272">
        <f>IF('II. Inputs, Baseline Energy Mix'!$Q$96="Model Default",'IV. LCOE, Baseline Energy Mix'!Y167,IF('II. Inputs, Baseline Energy Mix'!$Q$96="User-defined, annually adjusted",'IV. LCOE, Baseline Energy Mix'!Y168,IF('II. Inputs, Baseline Energy Mix'!$Q$96="Manual Entry",'IV. LCOE, Baseline Energy Mix'!Y170,Y169)))</f>
        <v>0</v>
      </c>
      <c r="Z166" s="1272">
        <f>IF('II. Inputs, Baseline Energy Mix'!$Q$96="Model Default",'IV. LCOE, Baseline Energy Mix'!Z167,IF('II. Inputs, Baseline Energy Mix'!$Q$96="User-defined, annually adjusted",'IV. LCOE, Baseline Energy Mix'!Z168,IF('II. Inputs, Baseline Energy Mix'!$Q$96="Manual Entry",'IV. LCOE, Baseline Energy Mix'!Z170,Z169)))</f>
        <v>0</v>
      </c>
      <c r="AA166" s="1272">
        <f>IF('II. Inputs, Baseline Energy Mix'!$Q$96="Model Default",'IV. LCOE, Baseline Energy Mix'!AA167,IF('II. Inputs, Baseline Energy Mix'!$Q$96="User-defined, annually adjusted",'IV. LCOE, Baseline Energy Mix'!AA168,IF('II. Inputs, Baseline Energy Mix'!$Q$96="Manual Entry",'IV. LCOE, Baseline Energy Mix'!AA170,AA169)))</f>
        <v>0</v>
      </c>
      <c r="AB166" s="1272">
        <f>IF('II. Inputs, Baseline Energy Mix'!$Q$96="Model Default",'IV. LCOE, Baseline Energy Mix'!AB167,IF('II. Inputs, Baseline Energy Mix'!$Q$96="User-defined, annually adjusted",'IV. LCOE, Baseline Energy Mix'!AB168,IF('II. Inputs, Baseline Energy Mix'!$Q$96="Manual Entry",'IV. LCOE, Baseline Energy Mix'!AB170,AB169)))</f>
        <v>0</v>
      </c>
      <c r="AC166" s="1272">
        <f>IF('II. Inputs, Baseline Energy Mix'!$Q$96="Model Default",'IV. LCOE, Baseline Energy Mix'!AC167,IF('II. Inputs, Baseline Energy Mix'!$Q$96="User-defined, annually adjusted",'IV. LCOE, Baseline Energy Mix'!AC168,IF('II. Inputs, Baseline Energy Mix'!$Q$96="Manual Entry",'IV. LCOE, Baseline Energy Mix'!AC170,AC169)))</f>
        <v>0</v>
      </c>
      <c r="AD166" s="1272">
        <f>IF('II. Inputs, Baseline Energy Mix'!$Q$96="Model Default",'IV. LCOE, Baseline Energy Mix'!AD167,IF('II. Inputs, Baseline Energy Mix'!$Q$96="User-defined, annually adjusted",'IV. LCOE, Baseline Energy Mix'!AD168,IF('II. Inputs, Baseline Energy Mix'!$Q$96="Manual Entry",'IV. LCOE, Baseline Energy Mix'!AD170,AD169)))</f>
        <v>0</v>
      </c>
      <c r="AE166" s="1272">
        <f>IF('II. Inputs, Baseline Energy Mix'!$Q$96="Model Default",'IV. LCOE, Baseline Energy Mix'!AE167,IF('II. Inputs, Baseline Energy Mix'!$Q$96="User-defined, annually adjusted",'IV. LCOE, Baseline Energy Mix'!AE168,IF('II. Inputs, Baseline Energy Mix'!$Q$96="Manual Entry",'IV. LCOE, Baseline Energy Mix'!AE170,AE169)))</f>
        <v>0</v>
      </c>
      <c r="AF166" s="1272">
        <f>IF('II. Inputs, Baseline Energy Mix'!$Q$96="Model Default",'IV. LCOE, Baseline Energy Mix'!AF167,IF('II. Inputs, Baseline Energy Mix'!$Q$96="User-defined, annually adjusted",'IV. LCOE, Baseline Energy Mix'!AF168,IF('II. Inputs, Baseline Energy Mix'!$Q$96="Manual Entry",'IV. LCOE, Baseline Energy Mix'!AF170,AF169)))</f>
        <v>0</v>
      </c>
      <c r="AG166" s="1272">
        <f>IF('II. Inputs, Baseline Energy Mix'!$Q$96="Model Default",'IV. LCOE, Baseline Energy Mix'!AG167,IF('II. Inputs, Baseline Energy Mix'!$Q$96="User-defined, annually adjusted",'IV. LCOE, Baseline Energy Mix'!AG168,IF('II. Inputs, Baseline Energy Mix'!$Q$96="Manual Entry",'IV. LCOE, Baseline Energy Mix'!AG170,AG169)))</f>
        <v>0</v>
      </c>
      <c r="AH166" s="1272">
        <f>IF('II. Inputs, Baseline Energy Mix'!$Q$96="Model Default",'IV. LCOE, Baseline Energy Mix'!AH167,IF('II. Inputs, Baseline Energy Mix'!$Q$96="User-defined, annually adjusted",'IV. LCOE, Baseline Energy Mix'!AH168,IF('II. Inputs, Baseline Energy Mix'!$Q$96="Manual Entry",'IV. LCOE, Baseline Energy Mix'!AH170,AH169)))</f>
        <v>0</v>
      </c>
      <c r="AI166" s="1272">
        <f>IF('II. Inputs, Baseline Energy Mix'!$Q$96="Model Default",'IV. LCOE, Baseline Energy Mix'!AI167,IF('II. Inputs, Baseline Energy Mix'!$Q$96="User-defined, annually adjusted",'IV. LCOE, Baseline Energy Mix'!AI168,IF('II. Inputs, Baseline Energy Mix'!$Q$96="Manual Entry",'IV. LCOE, Baseline Energy Mix'!AI170,AI169)))</f>
        <v>0</v>
      </c>
      <c r="AJ166" s="1272">
        <f>IF('II. Inputs, Baseline Energy Mix'!$Q$96="Model Default",'IV. LCOE, Baseline Energy Mix'!AJ167,IF('II. Inputs, Baseline Energy Mix'!$Q$96="User-defined, annually adjusted",'IV. LCOE, Baseline Energy Mix'!AJ168,IF('II. Inputs, Baseline Energy Mix'!$Q$96="Manual Entry",'IV. LCOE, Baseline Energy Mix'!AJ170,AJ169)))</f>
        <v>0</v>
      </c>
      <c r="AK166" s="1272">
        <f>IF('II. Inputs, Baseline Energy Mix'!$Q$96="Model Default",'IV. LCOE, Baseline Energy Mix'!AK167,IF('II. Inputs, Baseline Energy Mix'!$Q$96="User-defined, annually adjusted",'IV. LCOE, Baseline Energy Mix'!AK168,IF('II. Inputs, Baseline Energy Mix'!$Q$96="Manual Entry",'IV. LCOE, Baseline Energy Mix'!AK170,AK169)))</f>
        <v>0</v>
      </c>
      <c r="AL166" s="1272">
        <f>IF('II. Inputs, Baseline Energy Mix'!$Q$96="Model Default",'IV. LCOE, Baseline Energy Mix'!AL167,IF('II. Inputs, Baseline Energy Mix'!$Q$96="User-defined, annually adjusted",'IV. LCOE, Baseline Energy Mix'!AL168,IF('II. Inputs, Baseline Energy Mix'!$Q$96="Manual Entry",'IV. LCOE, Baseline Energy Mix'!AL170,AL169)))</f>
        <v>0</v>
      </c>
      <c r="AM166" s="1272">
        <f>IF('II. Inputs, Baseline Energy Mix'!$Q$96="Model Default",'IV. LCOE, Baseline Energy Mix'!AM167,IF('II. Inputs, Baseline Energy Mix'!$Q$96="User-defined, annually adjusted",'IV. LCOE, Baseline Energy Mix'!AM168,IF('II. Inputs, Baseline Energy Mix'!$Q$96="Manual Entry",'IV. LCOE, Baseline Energy Mix'!AM170,AM169)))</f>
        <v>0</v>
      </c>
      <c r="AN166" s="1272">
        <f>IF('II. Inputs, Baseline Energy Mix'!$Q$96="Model Default",'IV. LCOE, Baseline Energy Mix'!AN167,IF('II. Inputs, Baseline Energy Mix'!$Q$96="User-defined, annually adjusted",'IV. LCOE, Baseline Energy Mix'!AN168,IF('II. Inputs, Baseline Energy Mix'!$Q$96="Manual Entry",'IV. LCOE, Baseline Energy Mix'!AN170,AN169)))</f>
        <v>0</v>
      </c>
      <c r="AO166" s="1272">
        <f>IF('II. Inputs, Baseline Energy Mix'!$Q$96="Model Default",'IV. LCOE, Baseline Energy Mix'!AO167,IF('II. Inputs, Baseline Energy Mix'!$Q$96="User-defined, annually adjusted",'IV. LCOE, Baseline Energy Mix'!AO168,IF('II. Inputs, Baseline Energy Mix'!$Q$96="Manual Entry",'IV. LCOE, Baseline Energy Mix'!AO170,AO169)))</f>
        <v>0</v>
      </c>
      <c r="AP166" s="1272">
        <f>IF('II. Inputs, Baseline Energy Mix'!$Q$96="Model Default",'IV. LCOE, Baseline Energy Mix'!AP167,IF('II. Inputs, Baseline Energy Mix'!$Q$96="User-defined, annually adjusted",'IV. LCOE, Baseline Energy Mix'!AP168,IF('II. Inputs, Baseline Energy Mix'!$Q$96="Manual Entry",'IV. LCOE, Baseline Energy Mix'!AP170,AP169)))</f>
        <v>0</v>
      </c>
      <c r="AQ166" s="1272">
        <f>IF('II. Inputs, Baseline Energy Mix'!$Q$96="Model Default",'IV. LCOE, Baseline Energy Mix'!AQ167,IF('II. Inputs, Baseline Energy Mix'!$Q$96="User-defined, annually adjusted",'IV. LCOE, Baseline Energy Mix'!AQ168,IF('II. Inputs, Baseline Energy Mix'!$Q$96="Manual Entry",'IV. LCOE, Baseline Energy Mix'!AQ170,AQ169)))</f>
        <v>0</v>
      </c>
      <c r="AR166" s="1272">
        <f>IF('II. Inputs, Baseline Energy Mix'!$Q$96="Model Default",'IV. LCOE, Baseline Energy Mix'!AR167,IF('II. Inputs, Baseline Energy Mix'!$Q$96="User-defined, annually adjusted",'IV. LCOE, Baseline Energy Mix'!AR168,IF('II. Inputs, Baseline Energy Mix'!$Q$96="Manual Entry",'IV. LCOE, Baseline Energy Mix'!AR170,AR169)))</f>
        <v>0</v>
      </c>
      <c r="AS166" s="1272">
        <f>IF('II. Inputs, Baseline Energy Mix'!$Q$96="Model Default",'IV. LCOE, Baseline Energy Mix'!AS167,IF('II. Inputs, Baseline Energy Mix'!$Q$96="User-defined, annually adjusted",'IV. LCOE, Baseline Energy Mix'!AS168,IF('II. Inputs, Baseline Energy Mix'!$Q$96="Manual Entry",'IV. LCOE, Baseline Energy Mix'!AS170,AS169)))</f>
        <v>0</v>
      </c>
      <c r="AT166" s="1272">
        <f>IF('II. Inputs, Baseline Energy Mix'!$Q$96="Model Default",'IV. LCOE, Baseline Energy Mix'!AT167,IF('II. Inputs, Baseline Energy Mix'!$Q$96="User-defined, annually adjusted",'IV. LCOE, Baseline Energy Mix'!AT168,IF('II. Inputs, Baseline Energy Mix'!$Q$96="Manual Entry",'IV. LCOE, Baseline Energy Mix'!AT170,AT169)))</f>
        <v>0</v>
      </c>
      <c r="AU166" s="1272">
        <f>IF('II. Inputs, Baseline Energy Mix'!$Q$96="Model Default",'IV. LCOE, Baseline Energy Mix'!AU167,IF('II. Inputs, Baseline Energy Mix'!$Q$96="User-defined, annually adjusted",'IV. LCOE, Baseline Energy Mix'!AU168,IF('II. Inputs, Baseline Energy Mix'!$Q$96="Manual Entry",'IV. LCOE, Baseline Energy Mix'!AU170,AU169)))</f>
        <v>0</v>
      </c>
      <c r="AV166" s="1272">
        <f>IF('II. Inputs, Baseline Energy Mix'!$Q$96="Model Default",'IV. LCOE, Baseline Energy Mix'!AV167,IF('II. Inputs, Baseline Energy Mix'!$Q$96="User-defined, annually adjusted",'IV. LCOE, Baseline Energy Mix'!AV168,IF('II. Inputs, Baseline Energy Mix'!$Q$96="Manual Entry",'IV. LCOE, Baseline Energy Mix'!AV170,AV169)))</f>
        <v>0</v>
      </c>
      <c r="AW166" s="1272">
        <f>IF('II. Inputs, Baseline Energy Mix'!$Q$96="Model Default",'IV. LCOE, Baseline Energy Mix'!AW167,IF('II. Inputs, Baseline Energy Mix'!$Q$96="User-defined, annually adjusted",'IV. LCOE, Baseline Energy Mix'!AW168,IF('II. Inputs, Baseline Energy Mix'!$Q$96="Manual Entry",'IV. LCOE, Baseline Energy Mix'!AW170,AW169)))</f>
        <v>0</v>
      </c>
      <c r="AX166" s="1272">
        <f>IF('II. Inputs, Baseline Energy Mix'!$Q$96="Model Default",'IV. LCOE, Baseline Energy Mix'!AX167,IF('II. Inputs, Baseline Energy Mix'!$Q$96="User-defined, annually adjusted",'IV. LCOE, Baseline Energy Mix'!AX168,IF('II. Inputs, Baseline Energy Mix'!$Q$96="Manual Entry",'IV. LCOE, Baseline Energy Mix'!AX170,AX169)))</f>
        <v>0</v>
      </c>
      <c r="AY166" s="1272">
        <f>IF('II. Inputs, Baseline Energy Mix'!$Q$96="Model Default",'IV. LCOE, Baseline Energy Mix'!AY167,IF('II. Inputs, Baseline Energy Mix'!$Q$96="User-defined, annually adjusted",'IV. LCOE, Baseline Energy Mix'!AY168,IF('II. Inputs, Baseline Energy Mix'!$Q$96="Manual Entry",'IV. LCOE, Baseline Energy Mix'!AY170,AY169)))</f>
        <v>0</v>
      </c>
      <c r="AZ166" s="1272">
        <f>IF('II. Inputs, Baseline Energy Mix'!$Q$96="Model Default",'IV. LCOE, Baseline Energy Mix'!AZ167,IF('II. Inputs, Baseline Energy Mix'!$Q$96="User-defined, annually adjusted",'IV. LCOE, Baseline Energy Mix'!AZ168,IF('II. Inputs, Baseline Energy Mix'!$Q$96="Manual Entry",'IV. LCOE, Baseline Energy Mix'!AZ170,AZ169)))</f>
        <v>0</v>
      </c>
      <c r="BA166" s="1272">
        <f>IF('II. Inputs, Baseline Energy Mix'!$Q$96="Model Default",'IV. LCOE, Baseline Energy Mix'!BA167,IF('II. Inputs, Baseline Energy Mix'!$Q$96="User-defined, annually adjusted",'IV. LCOE, Baseline Energy Mix'!BA168,IF('II. Inputs, Baseline Energy Mix'!$Q$96="Manual Entry",'IV. LCOE, Baseline Energy Mix'!BA170,BA169)))</f>
        <v>0</v>
      </c>
      <c r="BB166" s="1272">
        <f>IF('II. Inputs, Baseline Energy Mix'!$Q$96="Model Default",'IV. LCOE, Baseline Energy Mix'!BB167,IF('II. Inputs, Baseline Energy Mix'!$Q$96="User-defined, annually adjusted",'IV. LCOE, Baseline Energy Mix'!BB168,IF('II. Inputs, Baseline Energy Mix'!$Q$96="Manual Entry",'IV. LCOE, Baseline Energy Mix'!BB170,BB169)))</f>
        <v>0</v>
      </c>
      <c r="BC166" s="1272">
        <f>IF('II. Inputs, Baseline Energy Mix'!$Q$96="Model Default",'IV. LCOE, Baseline Energy Mix'!BC167,IF('II. Inputs, Baseline Energy Mix'!$Q$96="User-defined, annually adjusted",'IV. LCOE, Baseline Energy Mix'!BC168,IF('II. Inputs, Baseline Energy Mix'!$Q$96="Manual Entry",'IV. LCOE, Baseline Energy Mix'!BC170,BC169)))</f>
        <v>0</v>
      </c>
      <c r="BD166" s="1272">
        <f>IF('II. Inputs, Baseline Energy Mix'!$Q$96="Model Default",'IV. LCOE, Baseline Energy Mix'!BD167,IF('II. Inputs, Baseline Energy Mix'!$Q$96="User-defined, annually adjusted",'IV. LCOE, Baseline Energy Mix'!BD168,IF('II. Inputs, Baseline Energy Mix'!$Q$96="Manual Entry",'IV. LCOE, Baseline Energy Mix'!BD170,BD169)))</f>
        <v>0</v>
      </c>
      <c r="BE166" s="1273">
        <f>IF('II. Inputs, Baseline Energy Mix'!$Q$96="Model Default",'IV. LCOE, Baseline Energy Mix'!BE167,IF('II. Inputs, Baseline Energy Mix'!$Q$96="User-defined, annually adjusted",'IV. LCOE, Baseline Energy Mix'!BE168,IF('II. Inputs, Baseline Energy Mix'!$Q$96="Manual Entry",'IV. LCOE, Baseline Energy Mix'!BE170,BE169)))</f>
        <v>0</v>
      </c>
    </row>
    <row r="167" spans="2:57" outlineLevel="1" x14ac:dyDescent="0.25">
      <c r="B167" s="304"/>
      <c r="C167" s="305" t="s">
        <v>160</v>
      </c>
      <c r="D167" s="305"/>
      <c r="E167" s="308"/>
      <c r="F167" s="308"/>
      <c r="G167" s="305"/>
      <c r="H167" s="1272">
        <f>H158*VLOOKUP('IV. LCOE, Baseline Energy Mix'!H$13,'IX. Additional Data'!$C$17:$V$66,6, FALSE)</f>
        <v>0</v>
      </c>
      <c r="I167" s="1272">
        <f>I158*VLOOKUP('IV. LCOE, Baseline Energy Mix'!I$13,'IX. Additional Data'!$C$17:$V$66,6, FALSE)</f>
        <v>0</v>
      </c>
      <c r="J167" s="1272">
        <f>J158*VLOOKUP('IV. LCOE, Baseline Energy Mix'!J$13,'IX. Additional Data'!$C$17:$V$66,6, FALSE)</f>
        <v>0</v>
      </c>
      <c r="K167" s="1272">
        <f>K158*VLOOKUP('IV. LCOE, Baseline Energy Mix'!K$13,'IX. Additional Data'!$C$17:$V$66,6, FALSE)</f>
        <v>0</v>
      </c>
      <c r="L167" s="1272">
        <f>L158*VLOOKUP('IV. LCOE, Baseline Energy Mix'!L$13,'IX. Additional Data'!$C$17:$V$66,6, FALSE)</f>
        <v>0</v>
      </c>
      <c r="M167" s="1272">
        <f>M158*VLOOKUP('IV. LCOE, Baseline Energy Mix'!M$13,'IX. Additional Data'!$C$17:$V$66,6, FALSE)</f>
        <v>0</v>
      </c>
      <c r="N167" s="1272">
        <f>N158*VLOOKUP('IV. LCOE, Baseline Energy Mix'!N$13,'IX. Additional Data'!$C$17:$V$66,6, FALSE)</f>
        <v>0</v>
      </c>
      <c r="O167" s="1272">
        <f>O158*VLOOKUP('IV. LCOE, Baseline Energy Mix'!O$13,'IX. Additional Data'!$C$17:$V$66,6, FALSE)</f>
        <v>0</v>
      </c>
      <c r="P167" s="1272">
        <f>P158*VLOOKUP('IV. LCOE, Baseline Energy Mix'!P$13,'IX. Additional Data'!$C$17:$V$66,6, FALSE)</f>
        <v>0</v>
      </c>
      <c r="Q167" s="1272">
        <f>Q158*VLOOKUP('IV. LCOE, Baseline Energy Mix'!Q$13,'IX. Additional Data'!$C$17:$V$66,6, FALSE)</f>
        <v>0</v>
      </c>
      <c r="R167" s="1272">
        <f>R158*VLOOKUP('IV. LCOE, Baseline Energy Mix'!R$13,'IX. Additional Data'!$C$17:$V$66,6, FALSE)</f>
        <v>0</v>
      </c>
      <c r="S167" s="1272">
        <f>S158*VLOOKUP('IV. LCOE, Baseline Energy Mix'!S$13,'IX. Additional Data'!$C$17:$V$66,6, FALSE)</f>
        <v>0</v>
      </c>
      <c r="T167" s="1272">
        <f>T158*VLOOKUP('IV. LCOE, Baseline Energy Mix'!T$13,'IX. Additional Data'!$C$17:$V$66,6, FALSE)</f>
        <v>0</v>
      </c>
      <c r="U167" s="1272">
        <f>U158*VLOOKUP('IV. LCOE, Baseline Energy Mix'!U$13,'IX. Additional Data'!$C$17:$V$66,6, FALSE)</f>
        <v>0</v>
      </c>
      <c r="V167" s="1272">
        <f>V158*VLOOKUP('IV. LCOE, Baseline Energy Mix'!V$13,'IX. Additional Data'!$C$17:$V$66,6, FALSE)</f>
        <v>0</v>
      </c>
      <c r="W167" s="1272">
        <f>W158*VLOOKUP('IV. LCOE, Baseline Energy Mix'!W$13,'IX. Additional Data'!$C$17:$V$66,6, FALSE)</f>
        <v>0</v>
      </c>
      <c r="X167" s="1272">
        <f>X158*VLOOKUP('IV. LCOE, Baseline Energy Mix'!X$13,'IX. Additional Data'!$C$17:$V$66,6, FALSE)</f>
        <v>0</v>
      </c>
      <c r="Y167" s="1272">
        <f>Y158*VLOOKUP('IV. LCOE, Baseline Energy Mix'!Y$13,'IX. Additional Data'!$C$17:$V$66,6, FALSE)</f>
        <v>0</v>
      </c>
      <c r="Z167" s="1272">
        <f>Z158*VLOOKUP('IV. LCOE, Baseline Energy Mix'!Z$13,'IX. Additional Data'!$C$17:$V$66,6, FALSE)</f>
        <v>0</v>
      </c>
      <c r="AA167" s="1272">
        <f>AA158*VLOOKUP('IV. LCOE, Baseline Energy Mix'!AA$13,'IX. Additional Data'!$C$17:$V$66,6, FALSE)</f>
        <v>0</v>
      </c>
      <c r="AB167" s="1272">
        <f>AB158*VLOOKUP('IV. LCOE, Baseline Energy Mix'!AB$13,'IX. Additional Data'!$C$17:$V$66,6, FALSE)</f>
        <v>0</v>
      </c>
      <c r="AC167" s="1272">
        <f>AC158*VLOOKUP('IV. LCOE, Baseline Energy Mix'!AC$13,'IX. Additional Data'!$C$17:$V$66,6, FALSE)</f>
        <v>0</v>
      </c>
      <c r="AD167" s="1272">
        <f>AD158*VLOOKUP('IV. LCOE, Baseline Energy Mix'!AD$13,'IX. Additional Data'!$C$17:$V$66,6, FALSE)</f>
        <v>0</v>
      </c>
      <c r="AE167" s="1272">
        <f>AE158*VLOOKUP('IV. LCOE, Baseline Energy Mix'!AE$13,'IX. Additional Data'!$C$17:$V$66,6, FALSE)</f>
        <v>0</v>
      </c>
      <c r="AF167" s="1272">
        <f>AF158*VLOOKUP('IV. LCOE, Baseline Energy Mix'!AF$13,'IX. Additional Data'!$C$17:$V$66,6, FALSE)</f>
        <v>0</v>
      </c>
      <c r="AG167" s="1272">
        <f>AG158*VLOOKUP('IV. LCOE, Baseline Energy Mix'!AG$13,'IX. Additional Data'!$C$17:$V$66,6, FALSE)</f>
        <v>0</v>
      </c>
      <c r="AH167" s="1272">
        <f>AH158*VLOOKUP('IV. LCOE, Baseline Energy Mix'!AH$13,'IX. Additional Data'!$C$17:$V$66,6, FALSE)</f>
        <v>0</v>
      </c>
      <c r="AI167" s="1272">
        <f>AI158*VLOOKUP('IV. LCOE, Baseline Energy Mix'!AI$13,'IX. Additional Data'!$C$17:$V$66,6, FALSE)</f>
        <v>0</v>
      </c>
      <c r="AJ167" s="1272">
        <f>AJ158*VLOOKUP('IV. LCOE, Baseline Energy Mix'!AJ$13,'IX. Additional Data'!$C$17:$V$66,6, FALSE)</f>
        <v>0</v>
      </c>
      <c r="AK167" s="1272">
        <f>AK158*VLOOKUP('IV. LCOE, Baseline Energy Mix'!AK$13,'IX. Additional Data'!$C$17:$V$66,6, FALSE)</f>
        <v>0</v>
      </c>
      <c r="AL167" s="1272">
        <f>AL158*VLOOKUP('IV. LCOE, Baseline Energy Mix'!AL$13,'IX. Additional Data'!$C$17:$V$66,6, FALSE)</f>
        <v>0</v>
      </c>
      <c r="AM167" s="1272">
        <f>AM158*VLOOKUP('IV. LCOE, Baseline Energy Mix'!AM$13,'IX. Additional Data'!$C$17:$V$66,6, FALSE)</f>
        <v>0</v>
      </c>
      <c r="AN167" s="1272">
        <f>AN158*VLOOKUP('IV. LCOE, Baseline Energy Mix'!AN$13,'IX. Additional Data'!$C$17:$V$66,6, FALSE)</f>
        <v>0</v>
      </c>
      <c r="AO167" s="1272">
        <f>AO158*VLOOKUP('IV. LCOE, Baseline Energy Mix'!AO$13,'IX. Additional Data'!$C$17:$V$66,6, FALSE)</f>
        <v>0</v>
      </c>
      <c r="AP167" s="1272">
        <f>AP158*VLOOKUP('IV. LCOE, Baseline Energy Mix'!AP$13,'IX. Additional Data'!$C$17:$V$66,6, FALSE)</f>
        <v>0</v>
      </c>
      <c r="AQ167" s="1272">
        <f>AQ158*VLOOKUP('IV. LCOE, Baseline Energy Mix'!AQ$13,'IX. Additional Data'!$C$17:$V$66,6, FALSE)</f>
        <v>0</v>
      </c>
      <c r="AR167" s="1272">
        <f>AR158*VLOOKUP('IV. LCOE, Baseline Energy Mix'!AR$13,'IX. Additional Data'!$C$17:$V$66,6, FALSE)</f>
        <v>0</v>
      </c>
      <c r="AS167" s="1272">
        <f>AS158*VLOOKUP('IV. LCOE, Baseline Energy Mix'!AS$13,'IX. Additional Data'!$C$17:$V$66,6, FALSE)</f>
        <v>0</v>
      </c>
      <c r="AT167" s="1272">
        <f>AT158*VLOOKUP('IV. LCOE, Baseline Energy Mix'!AT$13,'IX. Additional Data'!$C$17:$V$66,6, FALSE)</f>
        <v>0</v>
      </c>
      <c r="AU167" s="1272">
        <f>AU158*VLOOKUP('IV. LCOE, Baseline Energy Mix'!AU$13,'IX. Additional Data'!$C$17:$V$66,6, FALSE)</f>
        <v>0</v>
      </c>
      <c r="AV167" s="1272">
        <f>AV158*VLOOKUP('IV. LCOE, Baseline Energy Mix'!AV$13,'IX. Additional Data'!$C$17:$V$66,6, FALSE)</f>
        <v>0</v>
      </c>
      <c r="AW167" s="1272">
        <f>AW158*VLOOKUP('IV. LCOE, Baseline Energy Mix'!AW$13,'IX. Additional Data'!$C$17:$V$66,6, FALSE)</f>
        <v>0</v>
      </c>
      <c r="AX167" s="1272">
        <f>AX158*VLOOKUP('IV. LCOE, Baseline Energy Mix'!AX$13,'IX. Additional Data'!$C$17:$V$66,6, FALSE)</f>
        <v>0</v>
      </c>
      <c r="AY167" s="1272">
        <f>AY158*VLOOKUP('IV. LCOE, Baseline Energy Mix'!AY$13,'IX. Additional Data'!$C$17:$V$66,6, FALSE)</f>
        <v>0</v>
      </c>
      <c r="AZ167" s="1272">
        <f>AZ158*VLOOKUP('IV. LCOE, Baseline Energy Mix'!AZ$13,'IX. Additional Data'!$C$17:$V$66,6, FALSE)</f>
        <v>0</v>
      </c>
      <c r="BA167" s="1272">
        <f>BA158*VLOOKUP('IV. LCOE, Baseline Energy Mix'!BA$13,'IX. Additional Data'!$C$17:$V$66,6, FALSE)</f>
        <v>0</v>
      </c>
      <c r="BB167" s="1272">
        <f>BB158*VLOOKUP('IV. LCOE, Baseline Energy Mix'!BB$13,'IX. Additional Data'!$C$17:$V$66,6, FALSE)</f>
        <v>0</v>
      </c>
      <c r="BC167" s="1272">
        <f>BC158*VLOOKUP('IV. LCOE, Baseline Energy Mix'!BC$13,'IX. Additional Data'!$C$17:$V$66,6, FALSE)</f>
        <v>0</v>
      </c>
      <c r="BD167" s="1272">
        <f>BD158*VLOOKUP('IV. LCOE, Baseline Energy Mix'!BD$13,'IX. Additional Data'!$C$17:$V$66,6, FALSE)</f>
        <v>0</v>
      </c>
      <c r="BE167" s="1273">
        <f>BE158*VLOOKUP('IV. LCOE, Baseline Energy Mix'!BE$13,'IX. Additional Data'!$C$17:$V$66,6, FALSE)</f>
        <v>0</v>
      </c>
    </row>
    <row r="168" spans="2:57" outlineLevel="1" x14ac:dyDescent="0.25">
      <c r="B168" s="304"/>
      <c r="C168" s="305" t="s">
        <v>161</v>
      </c>
      <c r="D168" s="305"/>
      <c r="E168" s="308"/>
      <c r="F168" s="308"/>
      <c r="G168" s="305"/>
      <c r="H168" s="1272">
        <f xml:space="preserve"> H158*'II. Inputs, Baseline Energy Mix'!$Q$98*(1+'II. Inputs, Baseline Energy Mix'!$Q$99)^('IV. LCOE, Baseline Energy Mix'!H$13-1)</f>
        <v>0</v>
      </c>
      <c r="I168" s="1272">
        <f xml:space="preserve"> I158*'II. Inputs, Baseline Energy Mix'!$Q$98*(1+'II. Inputs, Baseline Energy Mix'!$Q$99)^('IV. LCOE, Baseline Energy Mix'!I$13-1)</f>
        <v>0</v>
      </c>
      <c r="J168" s="1272">
        <f xml:space="preserve"> J158*'II. Inputs, Baseline Energy Mix'!$Q$98*(1+'II. Inputs, Baseline Energy Mix'!$Q$99)^('IV. LCOE, Baseline Energy Mix'!J$13-1)</f>
        <v>0</v>
      </c>
      <c r="K168" s="1272">
        <f xml:space="preserve"> K158*'II. Inputs, Baseline Energy Mix'!$Q$98*(1+'II. Inputs, Baseline Energy Mix'!$Q$99)^('IV. LCOE, Baseline Energy Mix'!K$13-1)</f>
        <v>0</v>
      </c>
      <c r="L168" s="1272">
        <f xml:space="preserve"> L158*'II. Inputs, Baseline Energy Mix'!$Q$98*(1+'II. Inputs, Baseline Energy Mix'!$Q$99)^('IV. LCOE, Baseline Energy Mix'!L$13-1)</f>
        <v>0</v>
      </c>
      <c r="M168" s="1272">
        <f xml:space="preserve"> M158*'II. Inputs, Baseline Energy Mix'!$Q$98*(1+'II. Inputs, Baseline Energy Mix'!$Q$99)^('IV. LCOE, Baseline Energy Mix'!M$13-1)</f>
        <v>0</v>
      </c>
      <c r="N168" s="1272">
        <f xml:space="preserve"> N158*'II. Inputs, Baseline Energy Mix'!$Q$98*(1+'II. Inputs, Baseline Energy Mix'!$Q$99)^('IV. LCOE, Baseline Energy Mix'!N$13-1)</f>
        <v>0</v>
      </c>
      <c r="O168" s="1272">
        <f xml:space="preserve"> O158*'II. Inputs, Baseline Energy Mix'!$Q$98*(1+'II. Inputs, Baseline Energy Mix'!$Q$99)^('IV. LCOE, Baseline Energy Mix'!O$13-1)</f>
        <v>0</v>
      </c>
      <c r="P168" s="1272">
        <f xml:space="preserve"> P158*'II. Inputs, Baseline Energy Mix'!$Q$98*(1+'II. Inputs, Baseline Energy Mix'!$Q$99)^('IV. LCOE, Baseline Energy Mix'!P$13-1)</f>
        <v>0</v>
      </c>
      <c r="Q168" s="1272">
        <f xml:space="preserve"> Q158*'II. Inputs, Baseline Energy Mix'!$Q$98*(1+'II. Inputs, Baseline Energy Mix'!$Q$99)^('IV. LCOE, Baseline Energy Mix'!Q$13-1)</f>
        <v>0</v>
      </c>
      <c r="R168" s="1272">
        <f xml:space="preserve"> R158*'II. Inputs, Baseline Energy Mix'!$Q$98*(1+'II. Inputs, Baseline Energy Mix'!$Q$99)^('IV. LCOE, Baseline Energy Mix'!R$13-1)</f>
        <v>0</v>
      </c>
      <c r="S168" s="1272">
        <f xml:space="preserve"> S158*'II. Inputs, Baseline Energy Mix'!$Q$98*(1+'II. Inputs, Baseline Energy Mix'!$Q$99)^('IV. LCOE, Baseline Energy Mix'!S$13-1)</f>
        <v>0</v>
      </c>
      <c r="T168" s="1272">
        <f xml:space="preserve"> T158*'II. Inputs, Baseline Energy Mix'!$Q$98*(1+'II. Inputs, Baseline Energy Mix'!$Q$99)^('IV. LCOE, Baseline Energy Mix'!T$13-1)</f>
        <v>0</v>
      </c>
      <c r="U168" s="1272">
        <f xml:space="preserve"> U158*'II. Inputs, Baseline Energy Mix'!$Q$98*(1+'II. Inputs, Baseline Energy Mix'!$Q$99)^('IV. LCOE, Baseline Energy Mix'!U$13-1)</f>
        <v>0</v>
      </c>
      <c r="V168" s="1272">
        <f xml:space="preserve"> V158*'II. Inputs, Baseline Energy Mix'!$Q$98*(1+'II. Inputs, Baseline Energy Mix'!$Q$99)^('IV. LCOE, Baseline Energy Mix'!V$13-1)</f>
        <v>0</v>
      </c>
      <c r="W168" s="1272">
        <f xml:space="preserve"> W158*'II. Inputs, Baseline Energy Mix'!$Q$98*(1+'II. Inputs, Baseline Energy Mix'!$Q$99)^('IV. LCOE, Baseline Energy Mix'!W$13-1)</f>
        <v>0</v>
      </c>
      <c r="X168" s="1272">
        <f xml:space="preserve"> X158*'II. Inputs, Baseline Energy Mix'!$Q$98*(1+'II. Inputs, Baseline Energy Mix'!$Q$99)^('IV. LCOE, Baseline Energy Mix'!X$13-1)</f>
        <v>0</v>
      </c>
      <c r="Y168" s="1272">
        <f xml:space="preserve"> Y158*'II. Inputs, Baseline Energy Mix'!$Q$98*(1+'II. Inputs, Baseline Energy Mix'!$Q$99)^('IV. LCOE, Baseline Energy Mix'!Y$13-1)</f>
        <v>0</v>
      </c>
      <c r="Z168" s="1272">
        <f xml:space="preserve"> Z158*'II. Inputs, Baseline Energy Mix'!$Q$98*(1+'II. Inputs, Baseline Energy Mix'!$Q$99)^('IV. LCOE, Baseline Energy Mix'!Z$13-1)</f>
        <v>0</v>
      </c>
      <c r="AA168" s="1272">
        <f xml:space="preserve"> AA158*'II. Inputs, Baseline Energy Mix'!$Q$98*(1+'II. Inputs, Baseline Energy Mix'!$Q$99)^('IV. LCOE, Baseline Energy Mix'!AA$13-1)</f>
        <v>0</v>
      </c>
      <c r="AB168" s="1272">
        <f xml:space="preserve"> AB158*'II. Inputs, Baseline Energy Mix'!$Q$98*(1+'II. Inputs, Baseline Energy Mix'!$Q$99)^('IV. LCOE, Baseline Energy Mix'!AB$13-1)</f>
        <v>0</v>
      </c>
      <c r="AC168" s="1272">
        <f xml:space="preserve"> AC158*'II. Inputs, Baseline Energy Mix'!$Q$98*(1+'II. Inputs, Baseline Energy Mix'!$Q$99)^('IV. LCOE, Baseline Energy Mix'!AC$13-1)</f>
        <v>0</v>
      </c>
      <c r="AD168" s="1272">
        <f xml:space="preserve"> AD158*'II. Inputs, Baseline Energy Mix'!$Q$98*(1+'II. Inputs, Baseline Energy Mix'!$Q$99)^('IV. LCOE, Baseline Energy Mix'!AD$13-1)</f>
        <v>0</v>
      </c>
      <c r="AE168" s="1272">
        <f xml:space="preserve"> AE158*'II. Inputs, Baseline Energy Mix'!$Q$98*(1+'II. Inputs, Baseline Energy Mix'!$Q$99)^('IV. LCOE, Baseline Energy Mix'!AE$13-1)</f>
        <v>0</v>
      </c>
      <c r="AF168" s="1272">
        <f xml:space="preserve"> AF158*'II. Inputs, Baseline Energy Mix'!$Q$98*(1+'II. Inputs, Baseline Energy Mix'!$Q$99)^('IV. LCOE, Baseline Energy Mix'!AF$13-1)</f>
        <v>0</v>
      </c>
      <c r="AG168" s="1272">
        <f xml:space="preserve"> AG158*'II. Inputs, Baseline Energy Mix'!$Q$98*(1+'II. Inputs, Baseline Energy Mix'!$Q$99)^('IV. LCOE, Baseline Energy Mix'!AG$13-1)</f>
        <v>0</v>
      </c>
      <c r="AH168" s="1272">
        <f xml:space="preserve"> AH158*'II. Inputs, Baseline Energy Mix'!$Q$98*(1+'II. Inputs, Baseline Energy Mix'!$Q$99)^('IV. LCOE, Baseline Energy Mix'!AH$13-1)</f>
        <v>0</v>
      </c>
      <c r="AI168" s="1272">
        <f xml:space="preserve"> AI158*'II. Inputs, Baseline Energy Mix'!$Q$98*(1+'II. Inputs, Baseline Energy Mix'!$Q$99)^('IV. LCOE, Baseline Energy Mix'!AI$13-1)</f>
        <v>0</v>
      </c>
      <c r="AJ168" s="1272">
        <f xml:space="preserve"> AJ158*'II. Inputs, Baseline Energy Mix'!$Q$98*(1+'II. Inputs, Baseline Energy Mix'!$Q$99)^('IV. LCOE, Baseline Energy Mix'!AJ$13-1)</f>
        <v>0</v>
      </c>
      <c r="AK168" s="1272">
        <f xml:space="preserve"> AK158*'II. Inputs, Baseline Energy Mix'!$Q$98*(1+'II. Inputs, Baseline Energy Mix'!$Q$99)^('IV. LCOE, Baseline Energy Mix'!AK$13-1)</f>
        <v>0</v>
      </c>
      <c r="AL168" s="1272">
        <f xml:space="preserve"> AL158*'II. Inputs, Baseline Energy Mix'!$Q$98*(1+'II. Inputs, Baseline Energy Mix'!$Q$99)^('IV. LCOE, Baseline Energy Mix'!AL$13-1)</f>
        <v>0</v>
      </c>
      <c r="AM168" s="1272">
        <f xml:space="preserve"> AM158*'II. Inputs, Baseline Energy Mix'!$Q$98*(1+'II. Inputs, Baseline Energy Mix'!$Q$99)^('IV. LCOE, Baseline Energy Mix'!AM$13-1)</f>
        <v>0</v>
      </c>
      <c r="AN168" s="1272">
        <f xml:space="preserve"> AN158*'II. Inputs, Baseline Energy Mix'!$Q$98*(1+'II. Inputs, Baseline Energy Mix'!$Q$99)^('IV. LCOE, Baseline Energy Mix'!AN$13-1)</f>
        <v>0</v>
      </c>
      <c r="AO168" s="1272">
        <f xml:space="preserve"> AO158*'II. Inputs, Baseline Energy Mix'!$Q$98*(1+'II. Inputs, Baseline Energy Mix'!$Q$99)^('IV. LCOE, Baseline Energy Mix'!AO$13-1)</f>
        <v>0</v>
      </c>
      <c r="AP168" s="1272">
        <f xml:space="preserve"> AP158*'II. Inputs, Baseline Energy Mix'!$Q$98*(1+'II. Inputs, Baseline Energy Mix'!$Q$99)^('IV. LCOE, Baseline Energy Mix'!AP$13-1)</f>
        <v>0</v>
      </c>
      <c r="AQ168" s="1272">
        <f xml:space="preserve"> AQ158*'II. Inputs, Baseline Energy Mix'!$Q$98*(1+'II. Inputs, Baseline Energy Mix'!$Q$99)^('IV. LCOE, Baseline Energy Mix'!AQ$13-1)</f>
        <v>0</v>
      </c>
      <c r="AR168" s="1272">
        <f xml:space="preserve"> AR158*'II. Inputs, Baseline Energy Mix'!$Q$98*(1+'II. Inputs, Baseline Energy Mix'!$Q$99)^('IV. LCOE, Baseline Energy Mix'!AR$13-1)</f>
        <v>0</v>
      </c>
      <c r="AS168" s="1272">
        <f xml:space="preserve"> AS158*'II. Inputs, Baseline Energy Mix'!$Q$98*(1+'II. Inputs, Baseline Energy Mix'!$Q$99)^('IV. LCOE, Baseline Energy Mix'!AS$13-1)</f>
        <v>0</v>
      </c>
      <c r="AT168" s="1272">
        <f xml:space="preserve"> AT158*'II. Inputs, Baseline Energy Mix'!$Q$98*(1+'II. Inputs, Baseline Energy Mix'!$Q$99)^('IV. LCOE, Baseline Energy Mix'!AT$13-1)</f>
        <v>0</v>
      </c>
      <c r="AU168" s="1272">
        <f xml:space="preserve"> AU158*'II. Inputs, Baseline Energy Mix'!$Q$98*(1+'II. Inputs, Baseline Energy Mix'!$Q$99)^('IV. LCOE, Baseline Energy Mix'!AU$13-1)</f>
        <v>0</v>
      </c>
      <c r="AV168" s="1272">
        <f xml:space="preserve"> AV158*'II. Inputs, Baseline Energy Mix'!$Q$98*(1+'II. Inputs, Baseline Energy Mix'!$Q$99)^('IV. LCOE, Baseline Energy Mix'!AV$13-1)</f>
        <v>0</v>
      </c>
      <c r="AW168" s="1272">
        <f xml:space="preserve"> AW158*'II. Inputs, Baseline Energy Mix'!$Q$98*(1+'II. Inputs, Baseline Energy Mix'!$Q$99)^('IV. LCOE, Baseline Energy Mix'!AW$13-1)</f>
        <v>0</v>
      </c>
      <c r="AX168" s="1272">
        <f xml:space="preserve"> AX158*'II. Inputs, Baseline Energy Mix'!$Q$98*(1+'II. Inputs, Baseline Energy Mix'!$Q$99)^('IV. LCOE, Baseline Energy Mix'!AX$13-1)</f>
        <v>0</v>
      </c>
      <c r="AY168" s="1272">
        <f xml:space="preserve"> AY158*'II. Inputs, Baseline Energy Mix'!$Q$98*(1+'II. Inputs, Baseline Energy Mix'!$Q$99)^('IV. LCOE, Baseline Energy Mix'!AY$13-1)</f>
        <v>0</v>
      </c>
      <c r="AZ168" s="1272">
        <f xml:space="preserve"> AZ158*'II. Inputs, Baseline Energy Mix'!$Q$98*(1+'II. Inputs, Baseline Energy Mix'!$Q$99)^('IV. LCOE, Baseline Energy Mix'!AZ$13-1)</f>
        <v>0</v>
      </c>
      <c r="BA168" s="1272">
        <f xml:space="preserve"> BA158*'II. Inputs, Baseline Energy Mix'!$Q$98*(1+'II. Inputs, Baseline Energy Mix'!$Q$99)^('IV. LCOE, Baseline Energy Mix'!BA$13-1)</f>
        <v>0</v>
      </c>
      <c r="BB168" s="1272">
        <f xml:space="preserve"> BB158*'II. Inputs, Baseline Energy Mix'!$Q$98*(1+'II. Inputs, Baseline Energy Mix'!$Q$99)^('IV. LCOE, Baseline Energy Mix'!BB$13-1)</f>
        <v>0</v>
      </c>
      <c r="BC168" s="1272">
        <f xml:space="preserve"> BC158*'II. Inputs, Baseline Energy Mix'!$Q$98*(1+'II. Inputs, Baseline Energy Mix'!$Q$99)^('IV. LCOE, Baseline Energy Mix'!BC$13-1)</f>
        <v>0</v>
      </c>
      <c r="BD168" s="1272">
        <f xml:space="preserve"> BD158*'II. Inputs, Baseline Energy Mix'!$Q$98*(1+'II. Inputs, Baseline Energy Mix'!$Q$99)^('IV. LCOE, Baseline Energy Mix'!BD$13-1)</f>
        <v>0</v>
      </c>
      <c r="BE168" s="1273">
        <f xml:space="preserve"> BE158*'II. Inputs, Baseline Energy Mix'!$Q$98*(1+'II. Inputs, Baseline Energy Mix'!$Q$99)^('IV. LCOE, Baseline Energy Mix'!BE$13-1)</f>
        <v>0</v>
      </c>
    </row>
    <row r="169" spans="2:57" outlineLevel="1" x14ac:dyDescent="0.25">
      <c r="B169" s="304"/>
      <c r="C169" s="305" t="s">
        <v>162</v>
      </c>
      <c r="D169" s="305"/>
      <c r="E169" s="308"/>
      <c r="F169" s="308"/>
      <c r="G169" s="305"/>
      <c r="H169" s="1272">
        <f xml:space="preserve"> H158*VLOOKUP('IV. LCOE, Baseline Energy Mix'!H$13,'IX. Additional Data'!$C$17:$V$66,12, FALSE)</f>
        <v>0</v>
      </c>
      <c r="I169" s="1272">
        <f xml:space="preserve"> I158*VLOOKUP('IV. LCOE, Baseline Energy Mix'!I$13,'IX. Additional Data'!$C$17:$V$66,12, FALSE)</f>
        <v>0</v>
      </c>
      <c r="J169" s="1272">
        <f xml:space="preserve"> J158*VLOOKUP('IV. LCOE, Baseline Energy Mix'!J$13,'IX. Additional Data'!$C$17:$V$66,12, FALSE)</f>
        <v>0</v>
      </c>
      <c r="K169" s="1272">
        <f xml:space="preserve"> K158*VLOOKUP('IV. LCOE, Baseline Energy Mix'!K$13,'IX. Additional Data'!$C$17:$V$66,12, FALSE)</f>
        <v>0</v>
      </c>
      <c r="L169" s="1272">
        <f xml:space="preserve"> L158*VLOOKUP('IV. LCOE, Baseline Energy Mix'!L$13,'IX. Additional Data'!$C$17:$V$66,12, FALSE)</f>
        <v>0</v>
      </c>
      <c r="M169" s="1272">
        <f xml:space="preserve"> M158*VLOOKUP('IV. LCOE, Baseline Energy Mix'!M$13,'IX. Additional Data'!$C$17:$V$66,12, FALSE)</f>
        <v>0</v>
      </c>
      <c r="N169" s="1272">
        <f xml:space="preserve"> N158*VLOOKUP('IV. LCOE, Baseline Energy Mix'!N$13,'IX. Additional Data'!$C$17:$V$66,12, FALSE)</f>
        <v>0</v>
      </c>
      <c r="O169" s="1272">
        <f xml:space="preserve"> O158*VLOOKUP('IV. LCOE, Baseline Energy Mix'!O$13,'IX. Additional Data'!$C$17:$V$66,12, FALSE)</f>
        <v>0</v>
      </c>
      <c r="P169" s="1272">
        <f xml:space="preserve"> P158*VLOOKUP('IV. LCOE, Baseline Energy Mix'!P$13,'IX. Additional Data'!$C$17:$V$66,12, FALSE)</f>
        <v>0</v>
      </c>
      <c r="Q169" s="1272">
        <f xml:space="preserve"> Q158*VLOOKUP('IV. LCOE, Baseline Energy Mix'!Q$13,'IX. Additional Data'!$C$17:$V$66,12, FALSE)</f>
        <v>0</v>
      </c>
      <c r="R169" s="1272">
        <f xml:space="preserve"> R158*VLOOKUP('IV. LCOE, Baseline Energy Mix'!R$13,'IX. Additional Data'!$C$17:$V$66,12, FALSE)</f>
        <v>0</v>
      </c>
      <c r="S169" s="1272">
        <f xml:space="preserve"> S158*VLOOKUP('IV. LCOE, Baseline Energy Mix'!S$13,'IX. Additional Data'!$C$17:$V$66,12, FALSE)</f>
        <v>0</v>
      </c>
      <c r="T169" s="1272">
        <f xml:space="preserve"> T158*VLOOKUP('IV. LCOE, Baseline Energy Mix'!T$13,'IX. Additional Data'!$C$17:$V$66,12, FALSE)</f>
        <v>0</v>
      </c>
      <c r="U169" s="1272">
        <f xml:space="preserve"> U158*VLOOKUP('IV. LCOE, Baseline Energy Mix'!U$13,'IX. Additional Data'!$C$17:$V$66,12, FALSE)</f>
        <v>0</v>
      </c>
      <c r="V169" s="1272">
        <f xml:space="preserve"> V158*VLOOKUP('IV. LCOE, Baseline Energy Mix'!V$13,'IX. Additional Data'!$C$17:$V$66,12, FALSE)</f>
        <v>0</v>
      </c>
      <c r="W169" s="1272">
        <f xml:space="preserve"> W158*VLOOKUP('IV. LCOE, Baseline Energy Mix'!W$13,'IX. Additional Data'!$C$17:$V$66,12, FALSE)</f>
        <v>0</v>
      </c>
      <c r="X169" s="1272">
        <f xml:space="preserve"> X158*VLOOKUP('IV. LCOE, Baseline Energy Mix'!X$13,'IX. Additional Data'!$C$17:$V$66,12, FALSE)</f>
        <v>0</v>
      </c>
      <c r="Y169" s="1272">
        <f xml:space="preserve"> Y158*VLOOKUP('IV. LCOE, Baseline Energy Mix'!Y$13,'IX. Additional Data'!$C$17:$V$66,12, FALSE)</f>
        <v>0</v>
      </c>
      <c r="Z169" s="1272">
        <f xml:space="preserve"> Z158*VLOOKUP('IV. LCOE, Baseline Energy Mix'!Z$13,'IX. Additional Data'!$C$17:$V$66,12, FALSE)</f>
        <v>0</v>
      </c>
      <c r="AA169" s="1272">
        <f xml:space="preserve"> AA158*VLOOKUP('IV. LCOE, Baseline Energy Mix'!AA$13,'IX. Additional Data'!$C$17:$V$66,12, FALSE)</f>
        <v>0</v>
      </c>
      <c r="AB169" s="1272">
        <f xml:space="preserve"> AB158*VLOOKUP('IV. LCOE, Baseline Energy Mix'!AB$13,'IX. Additional Data'!$C$17:$V$66,12, FALSE)</f>
        <v>0</v>
      </c>
      <c r="AC169" s="1272">
        <f xml:space="preserve"> AC158*VLOOKUP('IV. LCOE, Baseline Energy Mix'!AC$13,'IX. Additional Data'!$C$17:$V$66,12, FALSE)</f>
        <v>0</v>
      </c>
      <c r="AD169" s="1272">
        <f xml:space="preserve"> AD158*VLOOKUP('IV. LCOE, Baseline Energy Mix'!AD$13,'IX. Additional Data'!$C$17:$V$66,12, FALSE)</f>
        <v>0</v>
      </c>
      <c r="AE169" s="1272">
        <f xml:space="preserve"> AE158*VLOOKUP('IV. LCOE, Baseline Energy Mix'!AE$13,'IX. Additional Data'!$C$17:$V$66,12, FALSE)</f>
        <v>0</v>
      </c>
      <c r="AF169" s="1272">
        <f xml:space="preserve"> AF158*VLOOKUP('IV. LCOE, Baseline Energy Mix'!AF$13,'IX. Additional Data'!$C$17:$V$66,12, FALSE)</f>
        <v>0</v>
      </c>
      <c r="AG169" s="1272">
        <f xml:space="preserve"> AG158*VLOOKUP('IV. LCOE, Baseline Energy Mix'!AG$13,'IX. Additional Data'!$C$17:$V$66,12, FALSE)</f>
        <v>0</v>
      </c>
      <c r="AH169" s="1272">
        <f xml:space="preserve"> AH158*VLOOKUP('IV. LCOE, Baseline Energy Mix'!AH$13,'IX. Additional Data'!$C$17:$V$66,12, FALSE)</f>
        <v>0</v>
      </c>
      <c r="AI169" s="1272">
        <f xml:space="preserve"> AI158*VLOOKUP('IV. LCOE, Baseline Energy Mix'!AI$13,'IX. Additional Data'!$C$17:$V$66,12, FALSE)</f>
        <v>0</v>
      </c>
      <c r="AJ169" s="1272">
        <f xml:space="preserve"> AJ158*VLOOKUP('IV. LCOE, Baseline Energy Mix'!AJ$13,'IX. Additional Data'!$C$17:$V$66,12, FALSE)</f>
        <v>0</v>
      </c>
      <c r="AK169" s="1272">
        <f xml:space="preserve"> AK158*VLOOKUP('IV. LCOE, Baseline Energy Mix'!AK$13,'IX. Additional Data'!$C$17:$V$66,12, FALSE)</f>
        <v>0</v>
      </c>
      <c r="AL169" s="1272">
        <f xml:space="preserve"> AL158*VLOOKUP('IV. LCOE, Baseline Energy Mix'!AL$13,'IX. Additional Data'!$C$17:$V$66,12, FALSE)</f>
        <v>0</v>
      </c>
      <c r="AM169" s="1272">
        <f xml:space="preserve"> AM158*VLOOKUP('IV. LCOE, Baseline Energy Mix'!AM$13,'IX. Additional Data'!$C$17:$V$66,12, FALSE)</f>
        <v>0</v>
      </c>
      <c r="AN169" s="1272">
        <f xml:space="preserve"> AN158*VLOOKUP('IV. LCOE, Baseline Energy Mix'!AN$13,'IX. Additional Data'!$C$17:$V$66,12, FALSE)</f>
        <v>0</v>
      </c>
      <c r="AO169" s="1272">
        <f xml:space="preserve"> AO158*VLOOKUP('IV. LCOE, Baseline Energy Mix'!AO$13,'IX. Additional Data'!$C$17:$V$66,12, FALSE)</f>
        <v>0</v>
      </c>
      <c r="AP169" s="1272">
        <f xml:space="preserve"> AP158*VLOOKUP('IV. LCOE, Baseline Energy Mix'!AP$13,'IX. Additional Data'!$C$17:$V$66,12, FALSE)</f>
        <v>0</v>
      </c>
      <c r="AQ169" s="1272">
        <f xml:space="preserve"> AQ158*VLOOKUP('IV. LCOE, Baseline Energy Mix'!AQ$13,'IX. Additional Data'!$C$17:$V$66,12, FALSE)</f>
        <v>0</v>
      </c>
      <c r="AR169" s="1272">
        <f xml:space="preserve"> AR158*VLOOKUP('IV. LCOE, Baseline Energy Mix'!AR$13,'IX. Additional Data'!$C$17:$V$66,12, FALSE)</f>
        <v>0</v>
      </c>
      <c r="AS169" s="1272">
        <f xml:space="preserve"> AS158*VLOOKUP('IV. LCOE, Baseline Energy Mix'!AS$13,'IX. Additional Data'!$C$17:$V$66,12, FALSE)</f>
        <v>0</v>
      </c>
      <c r="AT169" s="1272">
        <f xml:space="preserve"> AT158*VLOOKUP('IV. LCOE, Baseline Energy Mix'!AT$13,'IX. Additional Data'!$C$17:$V$66,12, FALSE)</f>
        <v>0</v>
      </c>
      <c r="AU169" s="1272">
        <f xml:space="preserve"> AU158*VLOOKUP('IV. LCOE, Baseline Energy Mix'!AU$13,'IX. Additional Data'!$C$17:$V$66,12, FALSE)</f>
        <v>0</v>
      </c>
      <c r="AV169" s="1272">
        <f xml:space="preserve"> AV158*VLOOKUP('IV. LCOE, Baseline Energy Mix'!AV$13,'IX. Additional Data'!$C$17:$V$66,12, FALSE)</f>
        <v>0</v>
      </c>
      <c r="AW169" s="1272">
        <f xml:space="preserve"> AW158*VLOOKUP('IV. LCOE, Baseline Energy Mix'!AW$13,'IX. Additional Data'!$C$17:$V$66,12, FALSE)</f>
        <v>0</v>
      </c>
      <c r="AX169" s="1272">
        <f xml:space="preserve"> AX158*VLOOKUP('IV. LCOE, Baseline Energy Mix'!AX$13,'IX. Additional Data'!$C$17:$V$66,12, FALSE)</f>
        <v>0</v>
      </c>
      <c r="AY169" s="1272">
        <f xml:space="preserve"> AY158*VLOOKUP('IV. LCOE, Baseline Energy Mix'!AY$13,'IX. Additional Data'!$C$17:$V$66,12, FALSE)</f>
        <v>0</v>
      </c>
      <c r="AZ169" s="1272">
        <f xml:space="preserve"> AZ158*VLOOKUP('IV. LCOE, Baseline Energy Mix'!AZ$13,'IX. Additional Data'!$C$17:$V$66,12, FALSE)</f>
        <v>0</v>
      </c>
      <c r="BA169" s="1272">
        <f xml:space="preserve"> BA158*VLOOKUP('IV. LCOE, Baseline Energy Mix'!BA$13,'IX. Additional Data'!$C$17:$V$66,12, FALSE)</f>
        <v>0</v>
      </c>
      <c r="BB169" s="1272">
        <f xml:space="preserve"> BB158*VLOOKUP('IV. LCOE, Baseline Energy Mix'!BB$13,'IX. Additional Data'!$C$17:$V$66,12, FALSE)</f>
        <v>0</v>
      </c>
      <c r="BC169" s="1272">
        <f xml:space="preserve"> BC158*VLOOKUP('IV. LCOE, Baseline Energy Mix'!BC$13,'IX. Additional Data'!$C$17:$V$66,12, FALSE)</f>
        <v>0</v>
      </c>
      <c r="BD169" s="1272">
        <f xml:space="preserve"> BD158*VLOOKUP('IV. LCOE, Baseline Energy Mix'!BD$13,'IX. Additional Data'!$C$17:$V$66,12, FALSE)</f>
        <v>0</v>
      </c>
      <c r="BE169" s="1273">
        <f xml:space="preserve"> BE158*VLOOKUP('IV. LCOE, Baseline Energy Mix'!BE$13,'IX. Additional Data'!$C$17:$V$66,12, FALSE)</f>
        <v>0</v>
      </c>
    </row>
    <row r="170" spans="2:57" outlineLevel="1" x14ac:dyDescent="0.25">
      <c r="B170" s="304"/>
      <c r="C170" s="305" t="s">
        <v>163</v>
      </c>
      <c r="D170" s="305"/>
      <c r="E170" s="308"/>
      <c r="F170" s="308"/>
      <c r="G170" s="305"/>
      <c r="H170" s="1272">
        <f xml:space="preserve"> H158*VLOOKUP('IV. LCOE, Baseline Energy Mix'!H$13,'IX. Additional Data'!$C$17:$V$66,18, FALSE)</f>
        <v>0</v>
      </c>
      <c r="I170" s="1272">
        <f xml:space="preserve"> I158*VLOOKUP('IV. LCOE, Baseline Energy Mix'!I$13,'IX. Additional Data'!$C$17:$V$66,18, FALSE)</f>
        <v>0</v>
      </c>
      <c r="J170" s="1272">
        <f xml:space="preserve"> J158*VLOOKUP('IV. LCOE, Baseline Energy Mix'!J$13,'IX. Additional Data'!$C$17:$V$66,18, FALSE)</f>
        <v>0</v>
      </c>
      <c r="K170" s="1272">
        <f xml:space="preserve"> K158*VLOOKUP('IV. LCOE, Baseline Energy Mix'!K$13,'IX. Additional Data'!$C$17:$V$66,18, FALSE)</f>
        <v>0</v>
      </c>
      <c r="L170" s="1272">
        <f xml:space="preserve"> L158*VLOOKUP('IV. LCOE, Baseline Energy Mix'!L$13,'IX. Additional Data'!$C$17:$V$66,18, FALSE)</f>
        <v>0</v>
      </c>
      <c r="M170" s="1272">
        <f xml:space="preserve"> M158*VLOOKUP('IV. LCOE, Baseline Energy Mix'!M$13,'IX. Additional Data'!$C$17:$V$66,18, FALSE)</f>
        <v>0</v>
      </c>
      <c r="N170" s="1272">
        <f xml:space="preserve"> N158*VLOOKUP('IV. LCOE, Baseline Energy Mix'!N$13,'IX. Additional Data'!$C$17:$V$66,18, FALSE)</f>
        <v>0</v>
      </c>
      <c r="O170" s="1272">
        <f xml:space="preserve"> O158*VLOOKUP('IV. LCOE, Baseline Energy Mix'!O$13,'IX. Additional Data'!$C$17:$V$66,18, FALSE)</f>
        <v>0</v>
      </c>
      <c r="P170" s="1272">
        <f xml:space="preserve"> P158*VLOOKUP('IV. LCOE, Baseline Energy Mix'!P$13,'IX. Additional Data'!$C$17:$V$66,18, FALSE)</f>
        <v>0</v>
      </c>
      <c r="Q170" s="1272">
        <f xml:space="preserve"> Q158*VLOOKUP('IV. LCOE, Baseline Energy Mix'!Q$13,'IX. Additional Data'!$C$17:$V$66,18, FALSE)</f>
        <v>0</v>
      </c>
      <c r="R170" s="1272">
        <f xml:space="preserve"> R158*VLOOKUP('IV. LCOE, Baseline Energy Mix'!R$13,'IX. Additional Data'!$C$17:$V$66,18, FALSE)</f>
        <v>0</v>
      </c>
      <c r="S170" s="1272">
        <f xml:space="preserve"> S158*VLOOKUP('IV. LCOE, Baseline Energy Mix'!S$13,'IX. Additional Data'!$C$17:$V$66,18, FALSE)</f>
        <v>0</v>
      </c>
      <c r="T170" s="1272">
        <f xml:space="preserve"> T158*VLOOKUP('IV. LCOE, Baseline Energy Mix'!T$13,'IX. Additional Data'!$C$17:$V$66,18, FALSE)</f>
        <v>0</v>
      </c>
      <c r="U170" s="1272">
        <f xml:space="preserve"> U158*VLOOKUP('IV. LCOE, Baseline Energy Mix'!U$13,'IX. Additional Data'!$C$17:$V$66,18, FALSE)</f>
        <v>0</v>
      </c>
      <c r="V170" s="1272">
        <f xml:space="preserve"> V158*VLOOKUP('IV. LCOE, Baseline Energy Mix'!V$13,'IX. Additional Data'!$C$17:$V$66,18, FALSE)</f>
        <v>0</v>
      </c>
      <c r="W170" s="1272">
        <f xml:space="preserve"> W158*VLOOKUP('IV. LCOE, Baseline Energy Mix'!W$13,'IX. Additional Data'!$C$17:$V$66,18, FALSE)</f>
        <v>0</v>
      </c>
      <c r="X170" s="1272">
        <f xml:space="preserve"> X158*VLOOKUP('IV. LCOE, Baseline Energy Mix'!X$13,'IX. Additional Data'!$C$17:$V$66,18, FALSE)</f>
        <v>0</v>
      </c>
      <c r="Y170" s="1272">
        <f xml:space="preserve"> Y158*VLOOKUP('IV. LCOE, Baseline Energy Mix'!Y$13,'IX. Additional Data'!$C$17:$V$66,18, FALSE)</f>
        <v>0</v>
      </c>
      <c r="Z170" s="1272">
        <f xml:space="preserve"> Z158*VLOOKUP('IV. LCOE, Baseline Energy Mix'!Z$13,'IX. Additional Data'!$C$17:$V$66,18, FALSE)</f>
        <v>0</v>
      </c>
      <c r="AA170" s="1272">
        <f xml:space="preserve"> AA158*VLOOKUP('IV. LCOE, Baseline Energy Mix'!AA$13,'IX. Additional Data'!$C$17:$V$66,18, FALSE)</f>
        <v>0</v>
      </c>
      <c r="AB170" s="1272">
        <f xml:space="preserve"> AB158*VLOOKUP('IV. LCOE, Baseline Energy Mix'!AB$13,'IX. Additional Data'!$C$17:$V$66,18, FALSE)</f>
        <v>0</v>
      </c>
      <c r="AC170" s="1272">
        <f xml:space="preserve"> AC158*VLOOKUP('IV. LCOE, Baseline Energy Mix'!AC$13,'IX. Additional Data'!$C$17:$V$66,18, FALSE)</f>
        <v>0</v>
      </c>
      <c r="AD170" s="1272">
        <f xml:space="preserve"> AD158*VLOOKUP('IV. LCOE, Baseline Energy Mix'!AD$13,'IX. Additional Data'!$C$17:$V$66,18, FALSE)</f>
        <v>0</v>
      </c>
      <c r="AE170" s="1272">
        <f xml:space="preserve"> AE158*VLOOKUP('IV. LCOE, Baseline Energy Mix'!AE$13,'IX. Additional Data'!$C$17:$V$66,18, FALSE)</f>
        <v>0</v>
      </c>
      <c r="AF170" s="1272">
        <f xml:space="preserve"> AF158*VLOOKUP('IV. LCOE, Baseline Energy Mix'!AF$13,'IX. Additional Data'!$C$17:$V$66,18, FALSE)</f>
        <v>0</v>
      </c>
      <c r="AG170" s="1272">
        <f xml:space="preserve"> AG158*VLOOKUP('IV. LCOE, Baseline Energy Mix'!AG$13,'IX. Additional Data'!$C$17:$V$66,18, FALSE)</f>
        <v>0</v>
      </c>
      <c r="AH170" s="1272">
        <f xml:space="preserve"> AH158*VLOOKUP('IV. LCOE, Baseline Energy Mix'!AH$13,'IX. Additional Data'!$C$17:$V$66,18, FALSE)</f>
        <v>0</v>
      </c>
      <c r="AI170" s="1272">
        <f xml:space="preserve"> AI158*VLOOKUP('IV. LCOE, Baseline Energy Mix'!AI$13,'IX. Additional Data'!$C$17:$V$66,18, FALSE)</f>
        <v>0</v>
      </c>
      <c r="AJ170" s="1272">
        <f xml:space="preserve"> AJ158*VLOOKUP('IV. LCOE, Baseline Energy Mix'!AJ$13,'IX. Additional Data'!$C$17:$V$66,18, FALSE)</f>
        <v>0</v>
      </c>
      <c r="AK170" s="1272">
        <f xml:space="preserve"> AK158*VLOOKUP('IV. LCOE, Baseline Energy Mix'!AK$13,'IX. Additional Data'!$C$17:$V$66,18, FALSE)</f>
        <v>0</v>
      </c>
      <c r="AL170" s="1272">
        <f xml:space="preserve"> AL158*VLOOKUP('IV. LCOE, Baseline Energy Mix'!AL$13,'IX. Additional Data'!$C$17:$V$66,18, FALSE)</f>
        <v>0</v>
      </c>
      <c r="AM170" s="1272">
        <f xml:space="preserve"> AM158*VLOOKUP('IV. LCOE, Baseline Energy Mix'!AM$13,'IX. Additional Data'!$C$17:$V$66,18, FALSE)</f>
        <v>0</v>
      </c>
      <c r="AN170" s="1272">
        <f xml:space="preserve"> AN158*VLOOKUP('IV. LCOE, Baseline Energy Mix'!AN$13,'IX. Additional Data'!$C$17:$V$66,18, FALSE)</f>
        <v>0</v>
      </c>
      <c r="AO170" s="1272">
        <f xml:space="preserve"> AO158*VLOOKUP('IV. LCOE, Baseline Energy Mix'!AO$13,'IX. Additional Data'!$C$17:$V$66,18, FALSE)</f>
        <v>0</v>
      </c>
      <c r="AP170" s="1272">
        <f xml:space="preserve"> AP158*VLOOKUP('IV. LCOE, Baseline Energy Mix'!AP$13,'IX. Additional Data'!$C$17:$V$66,18, FALSE)</f>
        <v>0</v>
      </c>
      <c r="AQ170" s="1272">
        <f xml:space="preserve"> AQ158*VLOOKUP('IV. LCOE, Baseline Energy Mix'!AQ$13,'IX. Additional Data'!$C$17:$V$66,18, FALSE)</f>
        <v>0</v>
      </c>
      <c r="AR170" s="1272">
        <f xml:space="preserve"> AR158*VLOOKUP('IV. LCOE, Baseline Energy Mix'!AR$13,'IX. Additional Data'!$C$17:$V$66,18, FALSE)</f>
        <v>0</v>
      </c>
      <c r="AS170" s="1272">
        <f xml:space="preserve"> AS158*VLOOKUP('IV. LCOE, Baseline Energy Mix'!AS$13,'IX. Additional Data'!$C$17:$V$66,18, FALSE)</f>
        <v>0</v>
      </c>
      <c r="AT170" s="1272">
        <f xml:space="preserve"> AT158*VLOOKUP('IV. LCOE, Baseline Energy Mix'!AT$13,'IX. Additional Data'!$C$17:$V$66,18, FALSE)</f>
        <v>0</v>
      </c>
      <c r="AU170" s="1272">
        <f xml:space="preserve"> AU158*VLOOKUP('IV. LCOE, Baseline Energy Mix'!AU$13,'IX. Additional Data'!$C$17:$V$66,18, FALSE)</f>
        <v>0</v>
      </c>
      <c r="AV170" s="1272">
        <f xml:space="preserve"> AV158*VLOOKUP('IV. LCOE, Baseline Energy Mix'!AV$13,'IX. Additional Data'!$C$17:$V$66,18, FALSE)</f>
        <v>0</v>
      </c>
      <c r="AW170" s="1272">
        <f xml:space="preserve"> AW158*VLOOKUP('IV. LCOE, Baseline Energy Mix'!AW$13,'IX. Additional Data'!$C$17:$V$66,18, FALSE)</f>
        <v>0</v>
      </c>
      <c r="AX170" s="1272">
        <f xml:space="preserve"> AX158*VLOOKUP('IV. LCOE, Baseline Energy Mix'!AX$13,'IX. Additional Data'!$C$17:$V$66,18, FALSE)</f>
        <v>0</v>
      </c>
      <c r="AY170" s="1272">
        <f xml:space="preserve"> AY158*VLOOKUP('IV. LCOE, Baseline Energy Mix'!AY$13,'IX. Additional Data'!$C$17:$V$66,18, FALSE)</f>
        <v>0</v>
      </c>
      <c r="AZ170" s="1272">
        <f xml:space="preserve"> AZ158*VLOOKUP('IV. LCOE, Baseline Energy Mix'!AZ$13,'IX. Additional Data'!$C$17:$V$66,18, FALSE)</f>
        <v>0</v>
      </c>
      <c r="BA170" s="1272">
        <f xml:space="preserve"> BA158*VLOOKUP('IV. LCOE, Baseline Energy Mix'!BA$13,'IX. Additional Data'!$C$17:$V$66,18, FALSE)</f>
        <v>0</v>
      </c>
      <c r="BB170" s="1272">
        <f xml:space="preserve"> BB158*VLOOKUP('IV. LCOE, Baseline Energy Mix'!BB$13,'IX. Additional Data'!$C$17:$V$66,18, FALSE)</f>
        <v>0</v>
      </c>
      <c r="BC170" s="1272">
        <f xml:space="preserve"> BC158*VLOOKUP('IV. LCOE, Baseline Energy Mix'!BC$13,'IX. Additional Data'!$C$17:$V$66,18, FALSE)</f>
        <v>0</v>
      </c>
      <c r="BD170" s="1272">
        <f xml:space="preserve"> BD158*VLOOKUP('IV. LCOE, Baseline Energy Mix'!BD$13,'IX. Additional Data'!$C$17:$V$66,18, FALSE)</f>
        <v>0</v>
      </c>
      <c r="BE170" s="1273">
        <f xml:space="preserve"> BE158*VLOOKUP('IV. LCOE, Baseline Energy Mix'!BE$13,'IX. Additional Data'!$C$17:$V$66,18, FALSE)</f>
        <v>0</v>
      </c>
    </row>
    <row r="171" spans="2:57" outlineLevel="1" x14ac:dyDescent="0.25">
      <c r="B171" s="304"/>
      <c r="C171" s="305"/>
      <c r="D171" s="305"/>
      <c r="E171" s="308"/>
      <c r="F171" s="308"/>
      <c r="G171" s="305"/>
      <c r="H171" s="1266"/>
      <c r="I171" s="1266"/>
      <c r="J171" s="1266"/>
      <c r="K171" s="1266"/>
      <c r="L171" s="1266"/>
      <c r="M171" s="1266"/>
      <c r="N171" s="1266"/>
      <c r="O171" s="1266"/>
      <c r="P171" s="1266"/>
      <c r="Q171" s="1266"/>
      <c r="R171" s="1266"/>
      <c r="S171" s="1266"/>
      <c r="T171" s="1266"/>
      <c r="U171" s="1266"/>
      <c r="V171" s="1266"/>
      <c r="W171" s="1266"/>
      <c r="X171" s="1266"/>
      <c r="Y171" s="1266"/>
      <c r="Z171" s="1266"/>
      <c r="AA171" s="1266"/>
      <c r="AB171" s="1266"/>
      <c r="AC171" s="1266"/>
      <c r="AD171" s="1266"/>
      <c r="AE171" s="1266"/>
      <c r="AF171" s="1266"/>
      <c r="AG171" s="1266"/>
      <c r="AH171" s="1266"/>
      <c r="AI171" s="1266"/>
      <c r="AJ171" s="1266"/>
      <c r="AK171" s="1266"/>
      <c r="AL171" s="1266"/>
      <c r="AM171" s="1266"/>
      <c r="AN171" s="1266"/>
      <c r="AO171" s="1266"/>
      <c r="AP171" s="1266"/>
      <c r="AQ171" s="1266"/>
      <c r="AR171" s="1266"/>
      <c r="AS171" s="1266"/>
      <c r="AT171" s="1266"/>
      <c r="AU171" s="1266"/>
      <c r="AV171" s="1266"/>
      <c r="AW171" s="1266"/>
      <c r="AX171" s="1266"/>
      <c r="AY171" s="1266"/>
      <c r="AZ171" s="1266"/>
      <c r="BA171" s="1266"/>
      <c r="BB171" s="1266"/>
      <c r="BC171" s="1266"/>
      <c r="BD171" s="1266"/>
      <c r="BE171" s="1267"/>
    </row>
    <row r="172" spans="2:57" x14ac:dyDescent="0.25">
      <c r="B172" s="304" t="s">
        <v>138</v>
      </c>
      <c r="C172" s="305"/>
      <c r="D172" s="305"/>
      <c r="E172" s="308"/>
      <c r="F172" s="308" t="s">
        <v>631</v>
      </c>
      <c r="G172" s="305"/>
      <c r="H172" s="1266" t="e">
        <f>H166*H160*H158/'II. Inputs, Baseline Energy Mix'!$Q$91</f>
        <v>#DIV/0!</v>
      </c>
      <c r="I172" s="1266" t="e">
        <f>I166*I160*I158/'II. Inputs, Baseline Energy Mix'!$Q$91</f>
        <v>#DIV/0!</v>
      </c>
      <c r="J172" s="1266" t="e">
        <f>J166*J160*J158/'II. Inputs, Baseline Energy Mix'!$Q$91</f>
        <v>#DIV/0!</v>
      </c>
      <c r="K172" s="1266" t="e">
        <f>K166*K160*K158/'II. Inputs, Baseline Energy Mix'!$Q$91</f>
        <v>#DIV/0!</v>
      </c>
      <c r="L172" s="1266" t="e">
        <f>L166*L160*L158/'II. Inputs, Baseline Energy Mix'!$Q$91</f>
        <v>#DIV/0!</v>
      </c>
      <c r="M172" s="1266" t="e">
        <f>M166*M160*M158/'II. Inputs, Baseline Energy Mix'!$Q$91</f>
        <v>#DIV/0!</v>
      </c>
      <c r="N172" s="1266" t="e">
        <f>N166*N160*N158/'II. Inputs, Baseline Energy Mix'!$Q$91</f>
        <v>#DIV/0!</v>
      </c>
      <c r="O172" s="1266" t="e">
        <f>O166*O160*O158/'II. Inputs, Baseline Energy Mix'!$Q$91</f>
        <v>#DIV/0!</v>
      </c>
      <c r="P172" s="1266" t="e">
        <f>P166*P160*P158/'II. Inputs, Baseline Energy Mix'!$Q$91</f>
        <v>#DIV/0!</v>
      </c>
      <c r="Q172" s="1266" t="e">
        <f>Q166*Q160*Q158/'II. Inputs, Baseline Energy Mix'!$Q$91</f>
        <v>#DIV/0!</v>
      </c>
      <c r="R172" s="1266" t="e">
        <f>R166*R160*R158/'II. Inputs, Baseline Energy Mix'!$Q$91</f>
        <v>#DIV/0!</v>
      </c>
      <c r="S172" s="1266" t="e">
        <f>S166*S160*S158/'II. Inputs, Baseline Energy Mix'!$Q$91</f>
        <v>#DIV/0!</v>
      </c>
      <c r="T172" s="1266" t="e">
        <f>T166*T160*T158/'II. Inputs, Baseline Energy Mix'!$Q$91</f>
        <v>#DIV/0!</v>
      </c>
      <c r="U172" s="1266" t="e">
        <f>U166*U160*U158/'II. Inputs, Baseline Energy Mix'!$Q$91</f>
        <v>#DIV/0!</v>
      </c>
      <c r="V172" s="1266" t="e">
        <f>V166*V160*V158/'II. Inputs, Baseline Energy Mix'!$Q$91</f>
        <v>#DIV/0!</v>
      </c>
      <c r="W172" s="1266" t="e">
        <f>W166*W160*W158/'II. Inputs, Baseline Energy Mix'!$Q$91</f>
        <v>#DIV/0!</v>
      </c>
      <c r="X172" s="1266" t="e">
        <f>X166*X160*X158/'II. Inputs, Baseline Energy Mix'!$Q$91</f>
        <v>#DIV/0!</v>
      </c>
      <c r="Y172" s="1266" t="e">
        <f>Y166*Y160*Y158/'II. Inputs, Baseline Energy Mix'!$Q$91</f>
        <v>#DIV/0!</v>
      </c>
      <c r="Z172" s="1266" t="e">
        <f>Z166*Z160*Z158/'II. Inputs, Baseline Energy Mix'!$Q$91</f>
        <v>#DIV/0!</v>
      </c>
      <c r="AA172" s="1266" t="e">
        <f>AA166*AA160*AA158/'II. Inputs, Baseline Energy Mix'!$Q$91</f>
        <v>#DIV/0!</v>
      </c>
      <c r="AB172" s="1266" t="e">
        <f>AB166*AB160*AB158/'II. Inputs, Baseline Energy Mix'!$Q$91</f>
        <v>#DIV/0!</v>
      </c>
      <c r="AC172" s="1266" t="e">
        <f>AC166*AC160*AC158/'II. Inputs, Baseline Energy Mix'!$Q$91</f>
        <v>#DIV/0!</v>
      </c>
      <c r="AD172" s="1266" t="e">
        <f>AD166*AD160*AD158/'II. Inputs, Baseline Energy Mix'!$Q$91</f>
        <v>#DIV/0!</v>
      </c>
      <c r="AE172" s="1266" t="e">
        <f>AE166*AE160*AE158/'II. Inputs, Baseline Energy Mix'!$Q$91</f>
        <v>#DIV/0!</v>
      </c>
      <c r="AF172" s="1266" t="e">
        <f>AF166*AF160*AF158/'II. Inputs, Baseline Energy Mix'!$Q$91</f>
        <v>#DIV/0!</v>
      </c>
      <c r="AG172" s="1266" t="e">
        <f>AG166*AG160*AG158/'II. Inputs, Baseline Energy Mix'!$Q$91</f>
        <v>#DIV/0!</v>
      </c>
      <c r="AH172" s="1266" t="e">
        <f>AH166*AH160*AH158/'II. Inputs, Baseline Energy Mix'!$Q$91</f>
        <v>#DIV/0!</v>
      </c>
      <c r="AI172" s="1266" t="e">
        <f>AI166*AI160*AI158/'II. Inputs, Baseline Energy Mix'!$Q$91</f>
        <v>#DIV/0!</v>
      </c>
      <c r="AJ172" s="1266" t="e">
        <f>AJ166*AJ160*AJ158/'II. Inputs, Baseline Energy Mix'!$Q$91</f>
        <v>#DIV/0!</v>
      </c>
      <c r="AK172" s="1266" t="e">
        <f>AK166*AK160*AK158/'II. Inputs, Baseline Energy Mix'!$Q$91</f>
        <v>#DIV/0!</v>
      </c>
      <c r="AL172" s="1266" t="e">
        <f>AL166*AL160*AL158/'II. Inputs, Baseline Energy Mix'!$Q$91</f>
        <v>#DIV/0!</v>
      </c>
      <c r="AM172" s="1266" t="e">
        <f>AM166*AM160*AM158/'II. Inputs, Baseline Energy Mix'!$Q$91</f>
        <v>#DIV/0!</v>
      </c>
      <c r="AN172" s="1266" t="e">
        <f>AN166*AN160*AN158/'II. Inputs, Baseline Energy Mix'!$Q$91</f>
        <v>#DIV/0!</v>
      </c>
      <c r="AO172" s="1266" t="e">
        <f>AO166*AO160*AO158/'II. Inputs, Baseline Energy Mix'!$Q$91</f>
        <v>#DIV/0!</v>
      </c>
      <c r="AP172" s="1266" t="e">
        <f>AP166*AP160*AP158/'II. Inputs, Baseline Energy Mix'!$Q$91</f>
        <v>#DIV/0!</v>
      </c>
      <c r="AQ172" s="1266" t="e">
        <f>AQ166*AQ160*AQ158/'II. Inputs, Baseline Energy Mix'!$Q$91</f>
        <v>#DIV/0!</v>
      </c>
      <c r="AR172" s="1266" t="e">
        <f>AR166*AR160*AR158/'II. Inputs, Baseline Energy Mix'!$Q$91</f>
        <v>#DIV/0!</v>
      </c>
      <c r="AS172" s="1266" t="e">
        <f>AS166*AS160*AS158/'II. Inputs, Baseline Energy Mix'!$Q$91</f>
        <v>#DIV/0!</v>
      </c>
      <c r="AT172" s="1266" t="e">
        <f>AT166*AT160*AT158/'II. Inputs, Baseline Energy Mix'!$Q$91</f>
        <v>#DIV/0!</v>
      </c>
      <c r="AU172" s="1266" t="e">
        <f>AU166*AU160*AU158/'II. Inputs, Baseline Energy Mix'!$Q$91</f>
        <v>#DIV/0!</v>
      </c>
      <c r="AV172" s="1266" t="e">
        <f>AV166*AV160*AV158/'II. Inputs, Baseline Energy Mix'!$Q$91</f>
        <v>#DIV/0!</v>
      </c>
      <c r="AW172" s="1266" t="e">
        <f>AW166*AW160*AW158/'II. Inputs, Baseline Energy Mix'!$Q$91</f>
        <v>#DIV/0!</v>
      </c>
      <c r="AX172" s="1266" t="e">
        <f>AX166*AX160*AX158/'II. Inputs, Baseline Energy Mix'!$Q$91</f>
        <v>#DIV/0!</v>
      </c>
      <c r="AY172" s="1266" t="e">
        <f>AY166*AY160*AY158/'II. Inputs, Baseline Energy Mix'!$Q$91</f>
        <v>#DIV/0!</v>
      </c>
      <c r="AZ172" s="1266" t="e">
        <f>AZ166*AZ160*AZ158/'II. Inputs, Baseline Energy Mix'!$Q$91</f>
        <v>#DIV/0!</v>
      </c>
      <c r="BA172" s="1266" t="e">
        <f>BA166*BA160*BA158/'II. Inputs, Baseline Energy Mix'!$Q$91</f>
        <v>#DIV/0!</v>
      </c>
      <c r="BB172" s="1266" t="e">
        <f>BB166*BB160*BB158/'II. Inputs, Baseline Energy Mix'!$Q$91</f>
        <v>#DIV/0!</v>
      </c>
      <c r="BC172" s="1266" t="e">
        <f>BC166*BC160*BC158/'II. Inputs, Baseline Energy Mix'!$Q$91</f>
        <v>#DIV/0!</v>
      </c>
      <c r="BD172" s="1266" t="e">
        <f>BD166*BD160*BD158/'II. Inputs, Baseline Energy Mix'!$Q$91</f>
        <v>#DIV/0!</v>
      </c>
      <c r="BE172" s="1267" t="e">
        <f>BE166*BE160*BE158/'II. Inputs, Baseline Energy Mix'!$Q$91</f>
        <v>#DIV/0!</v>
      </c>
    </row>
    <row r="173" spans="2:57" x14ac:dyDescent="0.25">
      <c r="B173" s="304"/>
      <c r="C173" s="305"/>
      <c r="D173" s="305"/>
      <c r="E173" s="308"/>
      <c r="F173" s="308"/>
      <c r="G173" s="305"/>
      <c r="H173" s="1266"/>
      <c r="I173" s="1268"/>
      <c r="J173" s="1268"/>
      <c r="K173" s="1268"/>
      <c r="L173" s="1268"/>
      <c r="M173" s="1268"/>
      <c r="N173" s="1268"/>
      <c r="O173" s="1268"/>
      <c r="P173" s="1268"/>
      <c r="Q173" s="1268"/>
      <c r="R173" s="1268"/>
      <c r="S173" s="1268"/>
      <c r="T173" s="1268"/>
      <c r="U173" s="1268"/>
      <c r="V173" s="1268"/>
      <c r="W173" s="1268"/>
      <c r="X173" s="1268"/>
      <c r="Y173" s="1268"/>
      <c r="Z173" s="1268"/>
      <c r="AA173" s="1268"/>
      <c r="AB173" s="1268"/>
      <c r="AC173" s="1268"/>
      <c r="AD173" s="1268"/>
      <c r="AE173" s="1268"/>
      <c r="AF173" s="1268"/>
      <c r="AG173" s="1268"/>
      <c r="AH173" s="1268"/>
      <c r="AI173" s="1268"/>
      <c r="AJ173" s="1268"/>
      <c r="AK173" s="1268"/>
      <c r="AL173" s="1268"/>
      <c r="AM173" s="1268"/>
      <c r="AN173" s="1268"/>
      <c r="AO173" s="1268"/>
      <c r="AP173" s="1268"/>
      <c r="AQ173" s="1268"/>
      <c r="AR173" s="1268"/>
      <c r="AS173" s="1268"/>
      <c r="AT173" s="1268"/>
      <c r="AU173" s="1268"/>
      <c r="AV173" s="1268"/>
      <c r="AW173" s="1268"/>
      <c r="AX173" s="1268"/>
      <c r="AY173" s="1268"/>
      <c r="AZ173" s="1268"/>
      <c r="BA173" s="1268"/>
      <c r="BB173" s="1268"/>
      <c r="BC173" s="1268"/>
      <c r="BD173" s="1268"/>
      <c r="BE173" s="1269"/>
    </row>
    <row r="174" spans="2:57" x14ac:dyDescent="0.25">
      <c r="B174" s="304" t="s">
        <v>101</v>
      </c>
      <c r="C174" s="305"/>
      <c r="D174" s="305"/>
      <c r="E174" s="308"/>
      <c r="F174" s="308" t="s">
        <v>631</v>
      </c>
      <c r="G174" s="305"/>
      <c r="H174" s="1268">
        <f>H818</f>
        <v>0</v>
      </c>
      <c r="I174" s="1268">
        <f t="shared" ref="I174:BE174" si="57">I818</f>
        <v>0</v>
      </c>
      <c r="J174" s="1268">
        <f t="shared" si="57"/>
        <v>0</v>
      </c>
      <c r="K174" s="1268">
        <f t="shared" si="57"/>
        <v>0</v>
      </c>
      <c r="L174" s="1268">
        <f t="shared" si="57"/>
        <v>0</v>
      </c>
      <c r="M174" s="1268">
        <f t="shared" si="57"/>
        <v>0</v>
      </c>
      <c r="N174" s="1268">
        <f t="shared" si="57"/>
        <v>0</v>
      </c>
      <c r="O174" s="1268">
        <f t="shared" si="57"/>
        <v>0</v>
      </c>
      <c r="P174" s="1268">
        <f t="shared" si="57"/>
        <v>0</v>
      </c>
      <c r="Q174" s="1268">
        <f t="shared" si="57"/>
        <v>0</v>
      </c>
      <c r="R174" s="1268">
        <f t="shared" si="57"/>
        <v>0</v>
      </c>
      <c r="S174" s="1268">
        <f t="shared" si="57"/>
        <v>0</v>
      </c>
      <c r="T174" s="1268">
        <f t="shared" si="57"/>
        <v>0</v>
      </c>
      <c r="U174" s="1268">
        <f t="shared" si="57"/>
        <v>0</v>
      </c>
      <c r="V174" s="1268">
        <f t="shared" si="57"/>
        <v>0</v>
      </c>
      <c r="W174" s="1268">
        <f t="shared" si="57"/>
        <v>0</v>
      </c>
      <c r="X174" s="1268">
        <f t="shared" si="57"/>
        <v>0</v>
      </c>
      <c r="Y174" s="1268">
        <f t="shared" si="57"/>
        <v>0</v>
      </c>
      <c r="Z174" s="1268">
        <f t="shared" si="57"/>
        <v>0</v>
      </c>
      <c r="AA174" s="1268">
        <f t="shared" si="57"/>
        <v>0</v>
      </c>
      <c r="AB174" s="1268">
        <f t="shared" si="57"/>
        <v>0</v>
      </c>
      <c r="AC174" s="1268">
        <f t="shared" si="57"/>
        <v>0</v>
      </c>
      <c r="AD174" s="1268">
        <f t="shared" si="57"/>
        <v>0</v>
      </c>
      <c r="AE174" s="1268">
        <f t="shared" si="57"/>
        <v>0</v>
      </c>
      <c r="AF174" s="1268">
        <f t="shared" si="57"/>
        <v>0</v>
      </c>
      <c r="AG174" s="1268">
        <f t="shared" si="57"/>
        <v>0</v>
      </c>
      <c r="AH174" s="1268">
        <f t="shared" si="57"/>
        <v>0</v>
      </c>
      <c r="AI174" s="1268">
        <f t="shared" si="57"/>
        <v>0</v>
      </c>
      <c r="AJ174" s="1268">
        <f t="shared" si="57"/>
        <v>0</v>
      </c>
      <c r="AK174" s="1268">
        <f t="shared" si="57"/>
        <v>0</v>
      </c>
      <c r="AL174" s="1268">
        <f t="shared" si="57"/>
        <v>0</v>
      </c>
      <c r="AM174" s="1268">
        <f t="shared" si="57"/>
        <v>0</v>
      </c>
      <c r="AN174" s="1268">
        <f t="shared" si="57"/>
        <v>0</v>
      </c>
      <c r="AO174" s="1268">
        <f t="shared" si="57"/>
        <v>0</v>
      </c>
      <c r="AP174" s="1268">
        <f t="shared" si="57"/>
        <v>0</v>
      </c>
      <c r="AQ174" s="1268">
        <f t="shared" si="57"/>
        <v>0</v>
      </c>
      <c r="AR174" s="1268">
        <f t="shared" si="57"/>
        <v>0</v>
      </c>
      <c r="AS174" s="1268">
        <f t="shared" si="57"/>
        <v>0</v>
      </c>
      <c r="AT174" s="1268">
        <f t="shared" si="57"/>
        <v>0</v>
      </c>
      <c r="AU174" s="1268">
        <f t="shared" si="57"/>
        <v>0</v>
      </c>
      <c r="AV174" s="1268">
        <f t="shared" si="57"/>
        <v>0</v>
      </c>
      <c r="AW174" s="1268">
        <f t="shared" si="57"/>
        <v>0</v>
      </c>
      <c r="AX174" s="1268">
        <f t="shared" si="57"/>
        <v>0</v>
      </c>
      <c r="AY174" s="1268">
        <f t="shared" si="57"/>
        <v>0</v>
      </c>
      <c r="AZ174" s="1268">
        <f t="shared" si="57"/>
        <v>0</v>
      </c>
      <c r="BA174" s="1268">
        <f t="shared" si="57"/>
        <v>0</v>
      </c>
      <c r="BB174" s="1268">
        <f t="shared" si="57"/>
        <v>0</v>
      </c>
      <c r="BC174" s="1268">
        <f t="shared" si="57"/>
        <v>0</v>
      </c>
      <c r="BD174" s="1268">
        <f t="shared" si="57"/>
        <v>0</v>
      </c>
      <c r="BE174" s="1269">
        <f t="shared" si="57"/>
        <v>0</v>
      </c>
    </row>
    <row r="175" spans="2:57" x14ac:dyDescent="0.25">
      <c r="B175" s="304"/>
      <c r="C175" s="305"/>
      <c r="D175" s="305"/>
      <c r="E175" s="308"/>
      <c r="F175" s="308"/>
      <c r="G175" s="305"/>
      <c r="H175" s="1268"/>
      <c r="I175" s="1268"/>
      <c r="J175" s="1268"/>
      <c r="K175" s="1268"/>
      <c r="L175" s="1268"/>
      <c r="M175" s="1268"/>
      <c r="N175" s="1268"/>
      <c r="O175" s="1268"/>
      <c r="P175" s="1268"/>
      <c r="Q175" s="1268"/>
      <c r="R175" s="1268"/>
      <c r="S175" s="1268"/>
      <c r="T175" s="1268"/>
      <c r="U175" s="1268"/>
      <c r="V175" s="1268"/>
      <c r="W175" s="1268"/>
      <c r="X175" s="1268"/>
      <c r="Y175" s="1268"/>
      <c r="Z175" s="1268"/>
      <c r="AA175" s="1268"/>
      <c r="AB175" s="1268"/>
      <c r="AC175" s="1268"/>
      <c r="AD175" s="1268"/>
      <c r="AE175" s="1268"/>
      <c r="AF175" s="1268"/>
      <c r="AG175" s="1268"/>
      <c r="AH175" s="1268"/>
      <c r="AI175" s="1268"/>
      <c r="AJ175" s="1268"/>
      <c r="AK175" s="1268"/>
      <c r="AL175" s="1268"/>
      <c r="AM175" s="1268"/>
      <c r="AN175" s="1268"/>
      <c r="AO175" s="1268"/>
      <c r="AP175" s="1268"/>
      <c r="AQ175" s="1268"/>
      <c r="AR175" s="1268"/>
      <c r="AS175" s="1268"/>
      <c r="AT175" s="1268"/>
      <c r="AU175" s="1268"/>
      <c r="AV175" s="1268"/>
      <c r="AW175" s="1268"/>
      <c r="AX175" s="1268"/>
      <c r="AY175" s="1268"/>
      <c r="AZ175" s="1268"/>
      <c r="BA175" s="1268"/>
      <c r="BB175" s="1268"/>
      <c r="BC175" s="1268"/>
      <c r="BD175" s="1268"/>
      <c r="BE175" s="1269"/>
    </row>
    <row r="176" spans="2:57" x14ac:dyDescent="0.25">
      <c r="B176" s="304" t="s">
        <v>257</v>
      </c>
      <c r="C176" s="305"/>
      <c r="D176" s="305"/>
      <c r="E176" s="308"/>
      <c r="F176" s="308" t="s">
        <v>631</v>
      </c>
      <c r="G176" s="305"/>
      <c r="H176" s="1268">
        <f>H539</f>
        <v>0</v>
      </c>
      <c r="I176" s="1268">
        <f t="shared" ref="I176:BE176" si="58">I539</f>
        <v>0</v>
      </c>
      <c r="J176" s="1268">
        <f t="shared" si="58"/>
        <v>0</v>
      </c>
      <c r="K176" s="1268">
        <f t="shared" si="58"/>
        <v>0</v>
      </c>
      <c r="L176" s="1268">
        <f t="shared" si="58"/>
        <v>0</v>
      </c>
      <c r="M176" s="1268">
        <f t="shared" si="58"/>
        <v>0</v>
      </c>
      <c r="N176" s="1268">
        <f t="shared" si="58"/>
        <v>0</v>
      </c>
      <c r="O176" s="1268">
        <f t="shared" si="58"/>
        <v>0</v>
      </c>
      <c r="P176" s="1268">
        <f t="shared" si="58"/>
        <v>0</v>
      </c>
      <c r="Q176" s="1268">
        <f t="shared" si="58"/>
        <v>0</v>
      </c>
      <c r="R176" s="1268">
        <f t="shared" si="58"/>
        <v>0</v>
      </c>
      <c r="S176" s="1268">
        <f t="shared" si="58"/>
        <v>0</v>
      </c>
      <c r="T176" s="1268">
        <f t="shared" si="58"/>
        <v>0</v>
      </c>
      <c r="U176" s="1268">
        <f t="shared" si="58"/>
        <v>0</v>
      </c>
      <c r="V176" s="1268">
        <f t="shared" si="58"/>
        <v>0</v>
      </c>
      <c r="W176" s="1268">
        <f t="shared" si="58"/>
        <v>0</v>
      </c>
      <c r="X176" s="1268">
        <f t="shared" si="58"/>
        <v>0</v>
      </c>
      <c r="Y176" s="1268">
        <f t="shared" si="58"/>
        <v>0</v>
      </c>
      <c r="Z176" s="1268">
        <f t="shared" si="58"/>
        <v>0</v>
      </c>
      <c r="AA176" s="1268">
        <f t="shared" si="58"/>
        <v>0</v>
      </c>
      <c r="AB176" s="1268">
        <f t="shared" si="58"/>
        <v>0</v>
      </c>
      <c r="AC176" s="1268">
        <f t="shared" si="58"/>
        <v>0</v>
      </c>
      <c r="AD176" s="1268">
        <f t="shared" si="58"/>
        <v>0</v>
      </c>
      <c r="AE176" s="1268">
        <f t="shared" si="58"/>
        <v>0</v>
      </c>
      <c r="AF176" s="1268">
        <f t="shared" si="58"/>
        <v>0</v>
      </c>
      <c r="AG176" s="1268">
        <f t="shared" si="58"/>
        <v>0</v>
      </c>
      <c r="AH176" s="1268">
        <f t="shared" si="58"/>
        <v>0</v>
      </c>
      <c r="AI176" s="1268">
        <f t="shared" si="58"/>
        <v>0</v>
      </c>
      <c r="AJ176" s="1268">
        <f t="shared" si="58"/>
        <v>0</v>
      </c>
      <c r="AK176" s="1268">
        <f t="shared" si="58"/>
        <v>0</v>
      </c>
      <c r="AL176" s="1268">
        <f t="shared" si="58"/>
        <v>0</v>
      </c>
      <c r="AM176" s="1268">
        <f t="shared" si="58"/>
        <v>0</v>
      </c>
      <c r="AN176" s="1268">
        <f t="shared" si="58"/>
        <v>0</v>
      </c>
      <c r="AO176" s="1268">
        <f t="shared" si="58"/>
        <v>0</v>
      </c>
      <c r="AP176" s="1268">
        <f t="shared" si="58"/>
        <v>0</v>
      </c>
      <c r="AQ176" s="1268">
        <f t="shared" si="58"/>
        <v>0</v>
      </c>
      <c r="AR176" s="1268">
        <f t="shared" si="58"/>
        <v>0</v>
      </c>
      <c r="AS176" s="1268">
        <f t="shared" si="58"/>
        <v>0</v>
      </c>
      <c r="AT176" s="1268">
        <f t="shared" si="58"/>
        <v>0</v>
      </c>
      <c r="AU176" s="1268">
        <f t="shared" si="58"/>
        <v>0</v>
      </c>
      <c r="AV176" s="1268">
        <f t="shared" si="58"/>
        <v>0</v>
      </c>
      <c r="AW176" s="1268">
        <f t="shared" si="58"/>
        <v>0</v>
      </c>
      <c r="AX176" s="1268">
        <f t="shared" si="58"/>
        <v>0</v>
      </c>
      <c r="AY176" s="1268">
        <f t="shared" si="58"/>
        <v>0</v>
      </c>
      <c r="AZ176" s="1268">
        <f t="shared" si="58"/>
        <v>0</v>
      </c>
      <c r="BA176" s="1268">
        <f t="shared" si="58"/>
        <v>0</v>
      </c>
      <c r="BB176" s="1268">
        <f t="shared" si="58"/>
        <v>0</v>
      </c>
      <c r="BC176" s="1268">
        <f t="shared" si="58"/>
        <v>0</v>
      </c>
      <c r="BD176" s="1268">
        <f t="shared" si="58"/>
        <v>0</v>
      </c>
      <c r="BE176" s="1269">
        <f t="shared" si="58"/>
        <v>0</v>
      </c>
    </row>
    <row r="177" spans="2:57" x14ac:dyDescent="0.25">
      <c r="B177" s="304" t="s">
        <v>189</v>
      </c>
      <c r="C177" s="305"/>
      <c r="D177" s="305"/>
      <c r="E177" s="308"/>
      <c r="F177" s="308" t="s">
        <v>631</v>
      </c>
      <c r="G177" s="305"/>
      <c r="H177" s="1268">
        <f>H560</f>
        <v>0</v>
      </c>
      <c r="I177" s="1268">
        <f t="shared" ref="I177:BE177" si="59">I560</f>
        <v>0</v>
      </c>
      <c r="J177" s="1268">
        <f t="shared" si="59"/>
        <v>0</v>
      </c>
      <c r="K177" s="1268">
        <f t="shared" si="59"/>
        <v>0</v>
      </c>
      <c r="L177" s="1268">
        <f t="shared" si="59"/>
        <v>0</v>
      </c>
      <c r="M177" s="1268">
        <f t="shared" si="59"/>
        <v>0</v>
      </c>
      <c r="N177" s="1268">
        <f t="shared" si="59"/>
        <v>0</v>
      </c>
      <c r="O177" s="1268">
        <f t="shared" si="59"/>
        <v>0</v>
      </c>
      <c r="P177" s="1268">
        <f t="shared" si="59"/>
        <v>0</v>
      </c>
      <c r="Q177" s="1268">
        <f t="shared" si="59"/>
        <v>0</v>
      </c>
      <c r="R177" s="1268">
        <f t="shared" si="59"/>
        <v>0</v>
      </c>
      <c r="S177" s="1268">
        <f t="shared" si="59"/>
        <v>0</v>
      </c>
      <c r="T177" s="1268">
        <f t="shared" si="59"/>
        <v>0</v>
      </c>
      <c r="U177" s="1268">
        <f t="shared" si="59"/>
        <v>0</v>
      </c>
      <c r="V177" s="1268">
        <f t="shared" si="59"/>
        <v>0</v>
      </c>
      <c r="W177" s="1268">
        <f t="shared" si="59"/>
        <v>0</v>
      </c>
      <c r="X177" s="1268">
        <f t="shared" si="59"/>
        <v>0</v>
      </c>
      <c r="Y177" s="1268">
        <f t="shared" si="59"/>
        <v>0</v>
      </c>
      <c r="Z177" s="1268">
        <f t="shared" si="59"/>
        <v>0</v>
      </c>
      <c r="AA177" s="1268">
        <f t="shared" si="59"/>
        <v>0</v>
      </c>
      <c r="AB177" s="1268">
        <f t="shared" si="59"/>
        <v>0</v>
      </c>
      <c r="AC177" s="1268">
        <f t="shared" si="59"/>
        <v>0</v>
      </c>
      <c r="AD177" s="1268">
        <f t="shared" si="59"/>
        <v>0</v>
      </c>
      <c r="AE177" s="1268">
        <f t="shared" si="59"/>
        <v>0</v>
      </c>
      <c r="AF177" s="1268">
        <f t="shared" si="59"/>
        <v>0</v>
      </c>
      <c r="AG177" s="1268">
        <f t="shared" si="59"/>
        <v>0</v>
      </c>
      <c r="AH177" s="1268">
        <f t="shared" si="59"/>
        <v>0</v>
      </c>
      <c r="AI177" s="1268">
        <f t="shared" si="59"/>
        <v>0</v>
      </c>
      <c r="AJ177" s="1268">
        <f t="shared" si="59"/>
        <v>0</v>
      </c>
      <c r="AK177" s="1268">
        <f t="shared" si="59"/>
        <v>0</v>
      </c>
      <c r="AL177" s="1268">
        <f t="shared" si="59"/>
        <v>0</v>
      </c>
      <c r="AM177" s="1268">
        <f t="shared" si="59"/>
        <v>0</v>
      </c>
      <c r="AN177" s="1268">
        <f t="shared" si="59"/>
        <v>0</v>
      </c>
      <c r="AO177" s="1268">
        <f t="shared" si="59"/>
        <v>0</v>
      </c>
      <c r="AP177" s="1268">
        <f t="shared" si="59"/>
        <v>0</v>
      </c>
      <c r="AQ177" s="1268">
        <f t="shared" si="59"/>
        <v>0</v>
      </c>
      <c r="AR177" s="1268">
        <f t="shared" si="59"/>
        <v>0</v>
      </c>
      <c r="AS177" s="1268">
        <f t="shared" si="59"/>
        <v>0</v>
      </c>
      <c r="AT177" s="1268">
        <f t="shared" si="59"/>
        <v>0</v>
      </c>
      <c r="AU177" s="1268">
        <f t="shared" si="59"/>
        <v>0</v>
      </c>
      <c r="AV177" s="1268">
        <f t="shared" si="59"/>
        <v>0</v>
      </c>
      <c r="AW177" s="1268">
        <f t="shared" si="59"/>
        <v>0</v>
      </c>
      <c r="AX177" s="1268">
        <f t="shared" si="59"/>
        <v>0</v>
      </c>
      <c r="AY177" s="1268">
        <f t="shared" si="59"/>
        <v>0</v>
      </c>
      <c r="AZ177" s="1268">
        <f t="shared" si="59"/>
        <v>0</v>
      </c>
      <c r="BA177" s="1268">
        <f t="shared" si="59"/>
        <v>0</v>
      </c>
      <c r="BB177" s="1268">
        <f t="shared" si="59"/>
        <v>0</v>
      </c>
      <c r="BC177" s="1268">
        <f t="shared" si="59"/>
        <v>0</v>
      </c>
      <c r="BD177" s="1268">
        <f t="shared" si="59"/>
        <v>0</v>
      </c>
      <c r="BE177" s="1269">
        <f t="shared" si="59"/>
        <v>0</v>
      </c>
    </row>
    <row r="178" spans="2:57" x14ac:dyDescent="0.25">
      <c r="B178" s="304" t="s">
        <v>190</v>
      </c>
      <c r="C178" s="305"/>
      <c r="D178" s="305"/>
      <c r="E178" s="308"/>
      <c r="F178" s="308" t="s">
        <v>631</v>
      </c>
      <c r="G178" s="305"/>
      <c r="H178" s="1268">
        <f>H581</f>
        <v>0</v>
      </c>
      <c r="I178" s="1268">
        <f t="shared" ref="I178:BE178" si="60">I581</f>
        <v>0</v>
      </c>
      <c r="J178" s="1268">
        <f t="shared" si="60"/>
        <v>0</v>
      </c>
      <c r="K178" s="1268">
        <f t="shared" si="60"/>
        <v>0</v>
      </c>
      <c r="L178" s="1268">
        <f t="shared" si="60"/>
        <v>0</v>
      </c>
      <c r="M178" s="1268">
        <f t="shared" si="60"/>
        <v>0</v>
      </c>
      <c r="N178" s="1268">
        <f t="shared" si="60"/>
        <v>0</v>
      </c>
      <c r="O178" s="1268">
        <f t="shared" si="60"/>
        <v>0</v>
      </c>
      <c r="P178" s="1268">
        <f t="shared" si="60"/>
        <v>0</v>
      </c>
      <c r="Q178" s="1268">
        <f t="shared" si="60"/>
        <v>0</v>
      </c>
      <c r="R178" s="1268">
        <f t="shared" si="60"/>
        <v>0</v>
      </c>
      <c r="S178" s="1268">
        <f t="shared" si="60"/>
        <v>0</v>
      </c>
      <c r="T178" s="1268">
        <f t="shared" si="60"/>
        <v>0</v>
      </c>
      <c r="U178" s="1268">
        <f t="shared" si="60"/>
        <v>0</v>
      </c>
      <c r="V178" s="1268">
        <f t="shared" si="60"/>
        <v>0</v>
      </c>
      <c r="W178" s="1268">
        <f t="shared" si="60"/>
        <v>0</v>
      </c>
      <c r="X178" s="1268">
        <f t="shared" si="60"/>
        <v>0</v>
      </c>
      <c r="Y178" s="1268">
        <f t="shared" si="60"/>
        <v>0</v>
      </c>
      <c r="Z178" s="1268">
        <f t="shared" si="60"/>
        <v>0</v>
      </c>
      <c r="AA178" s="1268">
        <f t="shared" si="60"/>
        <v>0</v>
      </c>
      <c r="AB178" s="1268">
        <f t="shared" si="60"/>
        <v>0</v>
      </c>
      <c r="AC178" s="1268">
        <f t="shared" si="60"/>
        <v>0</v>
      </c>
      <c r="AD178" s="1268">
        <f t="shared" si="60"/>
        <v>0</v>
      </c>
      <c r="AE178" s="1268">
        <f t="shared" si="60"/>
        <v>0</v>
      </c>
      <c r="AF178" s="1268">
        <f t="shared" si="60"/>
        <v>0</v>
      </c>
      <c r="AG178" s="1268">
        <f t="shared" si="60"/>
        <v>0</v>
      </c>
      <c r="AH178" s="1268">
        <f t="shared" si="60"/>
        <v>0</v>
      </c>
      <c r="AI178" s="1268">
        <f t="shared" si="60"/>
        <v>0</v>
      </c>
      <c r="AJ178" s="1268">
        <f t="shared" si="60"/>
        <v>0</v>
      </c>
      <c r="AK178" s="1268">
        <f t="shared" si="60"/>
        <v>0</v>
      </c>
      <c r="AL178" s="1268">
        <f t="shared" si="60"/>
        <v>0</v>
      </c>
      <c r="AM178" s="1268">
        <f t="shared" si="60"/>
        <v>0</v>
      </c>
      <c r="AN178" s="1268">
        <f t="shared" si="60"/>
        <v>0</v>
      </c>
      <c r="AO178" s="1268">
        <f t="shared" si="60"/>
        <v>0</v>
      </c>
      <c r="AP178" s="1268">
        <f t="shared" si="60"/>
        <v>0</v>
      </c>
      <c r="AQ178" s="1268">
        <f t="shared" si="60"/>
        <v>0</v>
      </c>
      <c r="AR178" s="1268">
        <f t="shared" si="60"/>
        <v>0</v>
      </c>
      <c r="AS178" s="1268">
        <f t="shared" si="60"/>
        <v>0</v>
      </c>
      <c r="AT178" s="1268">
        <f t="shared" si="60"/>
        <v>0</v>
      </c>
      <c r="AU178" s="1268">
        <f t="shared" si="60"/>
        <v>0</v>
      </c>
      <c r="AV178" s="1268">
        <f t="shared" si="60"/>
        <v>0</v>
      </c>
      <c r="AW178" s="1268">
        <f t="shared" si="60"/>
        <v>0</v>
      </c>
      <c r="AX178" s="1268">
        <f t="shared" si="60"/>
        <v>0</v>
      </c>
      <c r="AY178" s="1268">
        <f t="shared" si="60"/>
        <v>0</v>
      </c>
      <c r="AZ178" s="1268">
        <f t="shared" si="60"/>
        <v>0</v>
      </c>
      <c r="BA178" s="1268">
        <f t="shared" si="60"/>
        <v>0</v>
      </c>
      <c r="BB178" s="1268">
        <f t="shared" si="60"/>
        <v>0</v>
      </c>
      <c r="BC178" s="1268">
        <f t="shared" si="60"/>
        <v>0</v>
      </c>
      <c r="BD178" s="1268">
        <f t="shared" si="60"/>
        <v>0</v>
      </c>
      <c r="BE178" s="1269">
        <f t="shared" si="60"/>
        <v>0</v>
      </c>
    </row>
    <row r="179" spans="2:57" x14ac:dyDescent="0.25">
      <c r="B179" s="304" t="s">
        <v>132</v>
      </c>
      <c r="C179" s="305"/>
      <c r="D179" s="305"/>
      <c r="E179" s="308"/>
      <c r="F179" s="308" t="s">
        <v>631</v>
      </c>
      <c r="G179" s="305"/>
      <c r="H179" s="1268">
        <f>(H550+H571+H592)</f>
        <v>0</v>
      </c>
      <c r="I179" s="1268">
        <f>(I550+I571+I592)</f>
        <v>0</v>
      </c>
      <c r="J179" s="1268">
        <f t="shared" ref="J179:BE179" si="61">(J550+J571+J592)</f>
        <v>0</v>
      </c>
      <c r="K179" s="1268">
        <f t="shared" si="61"/>
        <v>0</v>
      </c>
      <c r="L179" s="1268">
        <f t="shared" si="61"/>
        <v>0</v>
      </c>
      <c r="M179" s="1268">
        <f t="shared" si="61"/>
        <v>0</v>
      </c>
      <c r="N179" s="1268">
        <f t="shared" si="61"/>
        <v>0</v>
      </c>
      <c r="O179" s="1268">
        <f t="shared" si="61"/>
        <v>0</v>
      </c>
      <c r="P179" s="1268">
        <f t="shared" si="61"/>
        <v>0</v>
      </c>
      <c r="Q179" s="1268">
        <f t="shared" si="61"/>
        <v>0</v>
      </c>
      <c r="R179" s="1268">
        <f t="shared" si="61"/>
        <v>0</v>
      </c>
      <c r="S179" s="1268">
        <f t="shared" si="61"/>
        <v>0</v>
      </c>
      <c r="T179" s="1268">
        <f t="shared" si="61"/>
        <v>0</v>
      </c>
      <c r="U179" s="1268">
        <f t="shared" si="61"/>
        <v>0</v>
      </c>
      <c r="V179" s="1268">
        <f t="shared" si="61"/>
        <v>0</v>
      </c>
      <c r="W179" s="1268">
        <f t="shared" si="61"/>
        <v>0</v>
      </c>
      <c r="X179" s="1268">
        <f t="shared" si="61"/>
        <v>0</v>
      </c>
      <c r="Y179" s="1268">
        <f t="shared" si="61"/>
        <v>0</v>
      </c>
      <c r="Z179" s="1268">
        <f t="shared" si="61"/>
        <v>0</v>
      </c>
      <c r="AA179" s="1268">
        <f t="shared" si="61"/>
        <v>0</v>
      </c>
      <c r="AB179" s="1268">
        <f t="shared" si="61"/>
        <v>0</v>
      </c>
      <c r="AC179" s="1268">
        <f t="shared" si="61"/>
        <v>0</v>
      </c>
      <c r="AD179" s="1268">
        <f t="shared" si="61"/>
        <v>0</v>
      </c>
      <c r="AE179" s="1268">
        <f t="shared" si="61"/>
        <v>0</v>
      </c>
      <c r="AF179" s="1268">
        <f t="shared" si="61"/>
        <v>0</v>
      </c>
      <c r="AG179" s="1268">
        <f t="shared" si="61"/>
        <v>0</v>
      </c>
      <c r="AH179" s="1268">
        <f t="shared" si="61"/>
        <v>0</v>
      </c>
      <c r="AI179" s="1268">
        <f t="shared" si="61"/>
        <v>0</v>
      </c>
      <c r="AJ179" s="1268">
        <f t="shared" si="61"/>
        <v>0</v>
      </c>
      <c r="AK179" s="1268">
        <f t="shared" si="61"/>
        <v>0</v>
      </c>
      <c r="AL179" s="1268">
        <f t="shared" si="61"/>
        <v>0</v>
      </c>
      <c r="AM179" s="1268">
        <f t="shared" si="61"/>
        <v>0</v>
      </c>
      <c r="AN179" s="1268">
        <f t="shared" si="61"/>
        <v>0</v>
      </c>
      <c r="AO179" s="1268">
        <f t="shared" si="61"/>
        <v>0</v>
      </c>
      <c r="AP179" s="1268">
        <f t="shared" si="61"/>
        <v>0</v>
      </c>
      <c r="AQ179" s="1268">
        <f t="shared" si="61"/>
        <v>0</v>
      </c>
      <c r="AR179" s="1268">
        <f t="shared" si="61"/>
        <v>0</v>
      </c>
      <c r="AS179" s="1268">
        <f t="shared" si="61"/>
        <v>0</v>
      </c>
      <c r="AT179" s="1268">
        <f t="shared" si="61"/>
        <v>0</v>
      </c>
      <c r="AU179" s="1268">
        <f t="shared" si="61"/>
        <v>0</v>
      </c>
      <c r="AV179" s="1268">
        <f t="shared" si="61"/>
        <v>0</v>
      </c>
      <c r="AW179" s="1268">
        <f t="shared" si="61"/>
        <v>0</v>
      </c>
      <c r="AX179" s="1268">
        <f t="shared" si="61"/>
        <v>0</v>
      </c>
      <c r="AY179" s="1268">
        <f t="shared" si="61"/>
        <v>0</v>
      </c>
      <c r="AZ179" s="1268">
        <f t="shared" si="61"/>
        <v>0</v>
      </c>
      <c r="BA179" s="1268">
        <f t="shared" si="61"/>
        <v>0</v>
      </c>
      <c r="BB179" s="1268">
        <f t="shared" si="61"/>
        <v>0</v>
      </c>
      <c r="BC179" s="1268">
        <f t="shared" si="61"/>
        <v>0</v>
      </c>
      <c r="BD179" s="1268">
        <f t="shared" si="61"/>
        <v>0</v>
      </c>
      <c r="BE179" s="1269">
        <f t="shared" si="61"/>
        <v>0</v>
      </c>
    </row>
    <row r="180" spans="2:57" x14ac:dyDescent="0.25">
      <c r="B180" s="304" t="s">
        <v>191</v>
      </c>
      <c r="C180" s="305"/>
      <c r="D180" s="305"/>
      <c r="E180" s="308"/>
      <c r="F180" s="308" t="s">
        <v>631</v>
      </c>
      <c r="G180" s="305"/>
      <c r="H180" s="1268">
        <f>(H572+H573)</f>
        <v>0</v>
      </c>
      <c r="I180" s="1268">
        <f>(I573)</f>
        <v>0</v>
      </c>
      <c r="J180" s="1268">
        <f t="shared" ref="J180:BE180" si="62">(J573)</f>
        <v>0</v>
      </c>
      <c r="K180" s="1268">
        <f t="shared" si="62"/>
        <v>0</v>
      </c>
      <c r="L180" s="1268">
        <f t="shared" si="62"/>
        <v>0</v>
      </c>
      <c r="M180" s="1268">
        <f t="shared" si="62"/>
        <v>0</v>
      </c>
      <c r="N180" s="1268">
        <f t="shared" si="62"/>
        <v>0</v>
      </c>
      <c r="O180" s="1268">
        <f t="shared" si="62"/>
        <v>0</v>
      </c>
      <c r="P180" s="1268">
        <f t="shared" si="62"/>
        <v>0</v>
      </c>
      <c r="Q180" s="1268">
        <f t="shared" si="62"/>
        <v>0</v>
      </c>
      <c r="R180" s="1268">
        <f t="shared" si="62"/>
        <v>0</v>
      </c>
      <c r="S180" s="1268">
        <f t="shared" si="62"/>
        <v>0</v>
      </c>
      <c r="T180" s="1268">
        <f t="shared" si="62"/>
        <v>0</v>
      </c>
      <c r="U180" s="1268">
        <f t="shared" si="62"/>
        <v>0</v>
      </c>
      <c r="V180" s="1268">
        <f t="shared" si="62"/>
        <v>0</v>
      </c>
      <c r="W180" s="1268">
        <f t="shared" si="62"/>
        <v>0</v>
      </c>
      <c r="X180" s="1268">
        <f t="shared" si="62"/>
        <v>0</v>
      </c>
      <c r="Y180" s="1268">
        <f t="shared" si="62"/>
        <v>0</v>
      </c>
      <c r="Z180" s="1268">
        <f t="shared" si="62"/>
        <v>0</v>
      </c>
      <c r="AA180" s="1268">
        <f t="shared" si="62"/>
        <v>0</v>
      </c>
      <c r="AB180" s="1268">
        <f t="shared" si="62"/>
        <v>0</v>
      </c>
      <c r="AC180" s="1268">
        <f t="shared" si="62"/>
        <v>0</v>
      </c>
      <c r="AD180" s="1268">
        <f t="shared" si="62"/>
        <v>0</v>
      </c>
      <c r="AE180" s="1268">
        <f t="shared" si="62"/>
        <v>0</v>
      </c>
      <c r="AF180" s="1268">
        <f t="shared" si="62"/>
        <v>0</v>
      </c>
      <c r="AG180" s="1268">
        <f t="shared" si="62"/>
        <v>0</v>
      </c>
      <c r="AH180" s="1268">
        <f t="shared" si="62"/>
        <v>0</v>
      </c>
      <c r="AI180" s="1268">
        <f t="shared" si="62"/>
        <v>0</v>
      </c>
      <c r="AJ180" s="1268">
        <f t="shared" si="62"/>
        <v>0</v>
      </c>
      <c r="AK180" s="1268">
        <f t="shared" si="62"/>
        <v>0</v>
      </c>
      <c r="AL180" s="1268">
        <f t="shared" si="62"/>
        <v>0</v>
      </c>
      <c r="AM180" s="1268">
        <f t="shared" si="62"/>
        <v>0</v>
      </c>
      <c r="AN180" s="1268">
        <f t="shared" si="62"/>
        <v>0</v>
      </c>
      <c r="AO180" s="1268">
        <f t="shared" si="62"/>
        <v>0</v>
      </c>
      <c r="AP180" s="1268">
        <f t="shared" si="62"/>
        <v>0</v>
      </c>
      <c r="AQ180" s="1268">
        <f t="shared" si="62"/>
        <v>0</v>
      </c>
      <c r="AR180" s="1268">
        <f t="shared" si="62"/>
        <v>0</v>
      </c>
      <c r="AS180" s="1268">
        <f t="shared" si="62"/>
        <v>0</v>
      </c>
      <c r="AT180" s="1268">
        <f t="shared" si="62"/>
        <v>0</v>
      </c>
      <c r="AU180" s="1268">
        <f t="shared" si="62"/>
        <v>0</v>
      </c>
      <c r="AV180" s="1268">
        <f t="shared" si="62"/>
        <v>0</v>
      </c>
      <c r="AW180" s="1268">
        <f t="shared" si="62"/>
        <v>0</v>
      </c>
      <c r="AX180" s="1268">
        <f t="shared" si="62"/>
        <v>0</v>
      </c>
      <c r="AY180" s="1268">
        <f t="shared" si="62"/>
        <v>0</v>
      </c>
      <c r="AZ180" s="1268">
        <f t="shared" si="62"/>
        <v>0</v>
      </c>
      <c r="BA180" s="1268">
        <f t="shared" si="62"/>
        <v>0</v>
      </c>
      <c r="BB180" s="1268">
        <f t="shared" si="62"/>
        <v>0</v>
      </c>
      <c r="BC180" s="1268">
        <f t="shared" si="62"/>
        <v>0</v>
      </c>
      <c r="BD180" s="1268">
        <f t="shared" si="62"/>
        <v>0</v>
      </c>
      <c r="BE180" s="1269">
        <f t="shared" si="62"/>
        <v>0</v>
      </c>
    </row>
    <row r="181" spans="2:57" x14ac:dyDescent="0.25">
      <c r="B181" s="304" t="s">
        <v>134</v>
      </c>
      <c r="C181" s="305"/>
      <c r="D181" s="305"/>
      <c r="E181" s="308"/>
      <c r="F181" s="308" t="s">
        <v>631</v>
      </c>
      <c r="G181" s="305"/>
      <c r="H181" s="1268">
        <f>(H602+H603)</f>
        <v>0</v>
      </c>
      <c r="I181" s="1268">
        <f>(+I603)</f>
        <v>0</v>
      </c>
      <c r="J181" s="1268">
        <f t="shared" ref="J181:BE181" si="63">(+J603)</f>
        <v>0</v>
      </c>
      <c r="K181" s="1268">
        <f t="shared" si="63"/>
        <v>0</v>
      </c>
      <c r="L181" s="1268">
        <f t="shared" si="63"/>
        <v>0</v>
      </c>
      <c r="M181" s="1268">
        <f t="shared" si="63"/>
        <v>0</v>
      </c>
      <c r="N181" s="1268">
        <f t="shared" si="63"/>
        <v>0</v>
      </c>
      <c r="O181" s="1268">
        <f t="shared" si="63"/>
        <v>0</v>
      </c>
      <c r="P181" s="1268">
        <f t="shared" si="63"/>
        <v>0</v>
      </c>
      <c r="Q181" s="1268">
        <f t="shared" si="63"/>
        <v>0</v>
      </c>
      <c r="R181" s="1268">
        <f t="shared" si="63"/>
        <v>0</v>
      </c>
      <c r="S181" s="1268">
        <f t="shared" si="63"/>
        <v>0</v>
      </c>
      <c r="T181" s="1268">
        <f t="shared" si="63"/>
        <v>0</v>
      </c>
      <c r="U181" s="1268">
        <f t="shared" si="63"/>
        <v>0</v>
      </c>
      <c r="V181" s="1268">
        <f t="shared" si="63"/>
        <v>0</v>
      </c>
      <c r="W181" s="1268">
        <f t="shared" si="63"/>
        <v>0</v>
      </c>
      <c r="X181" s="1268">
        <f t="shared" si="63"/>
        <v>0</v>
      </c>
      <c r="Y181" s="1268">
        <f t="shared" si="63"/>
        <v>0</v>
      </c>
      <c r="Z181" s="1268">
        <f t="shared" si="63"/>
        <v>0</v>
      </c>
      <c r="AA181" s="1268">
        <f t="shared" si="63"/>
        <v>0</v>
      </c>
      <c r="AB181" s="1268">
        <f t="shared" si="63"/>
        <v>0</v>
      </c>
      <c r="AC181" s="1268">
        <f t="shared" si="63"/>
        <v>0</v>
      </c>
      <c r="AD181" s="1268">
        <f t="shared" si="63"/>
        <v>0</v>
      </c>
      <c r="AE181" s="1268">
        <f t="shared" si="63"/>
        <v>0</v>
      </c>
      <c r="AF181" s="1268">
        <f t="shared" si="63"/>
        <v>0</v>
      </c>
      <c r="AG181" s="1268">
        <f t="shared" si="63"/>
        <v>0</v>
      </c>
      <c r="AH181" s="1268">
        <f t="shared" si="63"/>
        <v>0</v>
      </c>
      <c r="AI181" s="1268">
        <f t="shared" si="63"/>
        <v>0</v>
      </c>
      <c r="AJ181" s="1268">
        <f t="shared" si="63"/>
        <v>0</v>
      </c>
      <c r="AK181" s="1268">
        <f t="shared" si="63"/>
        <v>0</v>
      </c>
      <c r="AL181" s="1268">
        <f t="shared" si="63"/>
        <v>0</v>
      </c>
      <c r="AM181" s="1268">
        <f t="shared" si="63"/>
        <v>0</v>
      </c>
      <c r="AN181" s="1268">
        <f t="shared" si="63"/>
        <v>0</v>
      </c>
      <c r="AO181" s="1268">
        <f t="shared" si="63"/>
        <v>0</v>
      </c>
      <c r="AP181" s="1268">
        <f t="shared" si="63"/>
        <v>0</v>
      </c>
      <c r="AQ181" s="1268">
        <f t="shared" si="63"/>
        <v>0</v>
      </c>
      <c r="AR181" s="1268">
        <f t="shared" si="63"/>
        <v>0</v>
      </c>
      <c r="AS181" s="1268">
        <f t="shared" si="63"/>
        <v>0</v>
      </c>
      <c r="AT181" s="1268">
        <f t="shared" si="63"/>
        <v>0</v>
      </c>
      <c r="AU181" s="1268">
        <f t="shared" si="63"/>
        <v>0</v>
      </c>
      <c r="AV181" s="1268">
        <f t="shared" si="63"/>
        <v>0</v>
      </c>
      <c r="AW181" s="1268">
        <f t="shared" si="63"/>
        <v>0</v>
      </c>
      <c r="AX181" s="1268">
        <f t="shared" si="63"/>
        <v>0</v>
      </c>
      <c r="AY181" s="1268">
        <f t="shared" si="63"/>
        <v>0</v>
      </c>
      <c r="AZ181" s="1268">
        <f t="shared" si="63"/>
        <v>0</v>
      </c>
      <c r="BA181" s="1268">
        <f t="shared" si="63"/>
        <v>0</v>
      </c>
      <c r="BB181" s="1268">
        <f t="shared" si="63"/>
        <v>0</v>
      </c>
      <c r="BC181" s="1268">
        <f t="shared" si="63"/>
        <v>0</v>
      </c>
      <c r="BD181" s="1268">
        <f t="shared" si="63"/>
        <v>0</v>
      </c>
      <c r="BE181" s="1269">
        <f t="shared" si="63"/>
        <v>0</v>
      </c>
    </row>
    <row r="182" spans="2:57" x14ac:dyDescent="0.25">
      <c r="B182" s="304"/>
      <c r="C182" s="305"/>
      <c r="D182" s="305"/>
      <c r="E182" s="308"/>
      <c r="F182" s="308"/>
      <c r="G182" s="305"/>
      <c r="H182" s="1268"/>
      <c r="I182" s="1268"/>
      <c r="J182" s="1268"/>
      <c r="K182" s="1268"/>
      <c r="L182" s="1268"/>
      <c r="M182" s="1268"/>
      <c r="N182" s="1268"/>
      <c r="O182" s="1268"/>
      <c r="P182" s="1268"/>
      <c r="Q182" s="1268"/>
      <c r="R182" s="1268"/>
      <c r="S182" s="1268"/>
      <c r="T182" s="1268"/>
      <c r="U182" s="1268"/>
      <c r="V182" s="1268"/>
      <c r="W182" s="1268"/>
      <c r="X182" s="1268"/>
      <c r="Y182" s="1268"/>
      <c r="Z182" s="1268"/>
      <c r="AA182" s="1268"/>
      <c r="AB182" s="1268"/>
      <c r="AC182" s="1268"/>
      <c r="AD182" s="1268"/>
      <c r="AE182" s="1268"/>
      <c r="AF182" s="1268"/>
      <c r="AG182" s="1268"/>
      <c r="AH182" s="1268"/>
      <c r="AI182" s="1268"/>
      <c r="AJ182" s="1268"/>
      <c r="AK182" s="1268"/>
      <c r="AL182" s="1268"/>
      <c r="AM182" s="1268"/>
      <c r="AN182" s="1268"/>
      <c r="AO182" s="1268"/>
      <c r="AP182" s="1268"/>
      <c r="AQ182" s="1268"/>
      <c r="AR182" s="1268"/>
      <c r="AS182" s="1268"/>
      <c r="AT182" s="1268"/>
      <c r="AU182" s="1268"/>
      <c r="AV182" s="1268"/>
      <c r="AW182" s="1268"/>
      <c r="AX182" s="1268"/>
      <c r="AY182" s="1268"/>
      <c r="AZ182" s="1268"/>
      <c r="BA182" s="1268"/>
      <c r="BB182" s="1268"/>
      <c r="BC182" s="1268"/>
      <c r="BD182" s="1268"/>
      <c r="BE182" s="1269"/>
    </row>
    <row r="183" spans="2:57" x14ac:dyDescent="0.25">
      <c r="B183" s="304"/>
      <c r="C183" s="305"/>
      <c r="D183" s="305"/>
      <c r="E183" s="308"/>
      <c r="F183" s="308"/>
      <c r="G183" s="305"/>
      <c r="H183" s="1268"/>
      <c r="I183" s="1268"/>
      <c r="J183" s="1268"/>
      <c r="K183" s="1268"/>
      <c r="L183" s="1268"/>
      <c r="M183" s="1268"/>
      <c r="N183" s="1268"/>
      <c r="O183" s="1268"/>
      <c r="P183" s="1268"/>
      <c r="Q183" s="1268"/>
      <c r="R183" s="1268"/>
      <c r="S183" s="1268"/>
      <c r="T183" s="1268"/>
      <c r="U183" s="1268"/>
      <c r="V183" s="1268"/>
      <c r="W183" s="1268"/>
      <c r="X183" s="1268"/>
      <c r="Y183" s="1268"/>
      <c r="Z183" s="1268"/>
      <c r="AA183" s="1268"/>
      <c r="AB183" s="1268"/>
      <c r="AC183" s="1268"/>
      <c r="AD183" s="1268"/>
      <c r="AE183" s="1268"/>
      <c r="AF183" s="1268"/>
      <c r="AG183" s="1268"/>
      <c r="AH183" s="1268"/>
      <c r="AI183" s="1268"/>
      <c r="AJ183" s="1268"/>
      <c r="AK183" s="1268"/>
      <c r="AL183" s="1268"/>
      <c r="AM183" s="1268"/>
      <c r="AN183" s="1268"/>
      <c r="AO183" s="1268"/>
      <c r="AP183" s="1268"/>
      <c r="AQ183" s="1268"/>
      <c r="AR183" s="1268"/>
      <c r="AS183" s="1268"/>
      <c r="AT183" s="1268"/>
      <c r="AU183" s="1268"/>
      <c r="AV183" s="1268"/>
      <c r="AW183" s="1268"/>
      <c r="AX183" s="1268"/>
      <c r="AY183" s="1268"/>
      <c r="AZ183" s="1268"/>
      <c r="BA183" s="1268"/>
      <c r="BB183" s="1268"/>
      <c r="BC183" s="1268"/>
      <c r="BD183" s="1268"/>
      <c r="BE183" s="1269"/>
    </row>
    <row r="184" spans="2:57" x14ac:dyDescent="0.25">
      <c r="B184" s="316" t="s">
        <v>133</v>
      </c>
      <c r="C184" s="305"/>
      <c r="D184" s="305"/>
      <c r="E184" s="308"/>
      <c r="F184" s="308"/>
      <c r="G184" s="305"/>
      <c r="H184" s="1268"/>
      <c r="I184" s="1268"/>
      <c r="J184" s="1268"/>
      <c r="K184" s="1268"/>
      <c r="L184" s="1268"/>
      <c r="M184" s="1268"/>
      <c r="N184" s="1268"/>
      <c r="O184" s="1268"/>
      <c r="P184" s="1268"/>
      <c r="Q184" s="1268"/>
      <c r="R184" s="1268"/>
      <c r="S184" s="1268"/>
      <c r="T184" s="1268"/>
      <c r="U184" s="1268"/>
      <c r="V184" s="1268"/>
      <c r="W184" s="1268"/>
      <c r="X184" s="1268"/>
      <c r="Y184" s="1268"/>
      <c r="Z184" s="1268"/>
      <c r="AA184" s="1268"/>
      <c r="AB184" s="1268"/>
      <c r="AC184" s="1268"/>
      <c r="AD184" s="1268"/>
      <c r="AE184" s="1268"/>
      <c r="AF184" s="1268"/>
      <c r="AG184" s="1268"/>
      <c r="AH184" s="1268"/>
      <c r="AI184" s="1268"/>
      <c r="AJ184" s="1268"/>
      <c r="AK184" s="1268"/>
      <c r="AL184" s="1268"/>
      <c r="AM184" s="1268"/>
      <c r="AN184" s="1268"/>
      <c r="AO184" s="1268"/>
      <c r="AP184" s="1268"/>
      <c r="AQ184" s="1268"/>
      <c r="AR184" s="1268"/>
      <c r="AS184" s="1268"/>
      <c r="AT184" s="1268"/>
      <c r="AU184" s="1268"/>
      <c r="AV184" s="1268"/>
      <c r="AW184" s="1268"/>
      <c r="AX184" s="1268"/>
      <c r="AY184" s="1268"/>
      <c r="AZ184" s="1268"/>
      <c r="BA184" s="1268"/>
      <c r="BB184" s="1268"/>
      <c r="BC184" s="1268"/>
      <c r="BD184" s="1268"/>
      <c r="BE184" s="1269"/>
    </row>
    <row r="185" spans="2:57" x14ac:dyDescent="0.25">
      <c r="B185" s="304"/>
      <c r="C185" s="305"/>
      <c r="D185" s="305"/>
      <c r="E185" s="308"/>
      <c r="F185" s="308"/>
      <c r="G185" s="305"/>
      <c r="H185" s="1268"/>
      <c r="I185" s="1268"/>
      <c r="J185" s="1268"/>
      <c r="K185" s="1268"/>
      <c r="L185" s="1268"/>
      <c r="M185" s="1268"/>
      <c r="N185" s="1268"/>
      <c r="O185" s="1268"/>
      <c r="P185" s="1268"/>
      <c r="Q185" s="1268"/>
      <c r="R185" s="1268"/>
      <c r="S185" s="1268"/>
      <c r="T185" s="1268"/>
      <c r="U185" s="1268"/>
      <c r="V185" s="1268"/>
      <c r="W185" s="1268"/>
      <c r="X185" s="1268"/>
      <c r="Y185" s="1268"/>
      <c r="Z185" s="1268"/>
      <c r="AA185" s="1268"/>
      <c r="AB185" s="1268"/>
      <c r="AC185" s="1268"/>
      <c r="AD185" s="1268"/>
      <c r="AE185" s="1268"/>
      <c r="AF185" s="1268"/>
      <c r="AG185" s="1268"/>
      <c r="AH185" s="1268"/>
      <c r="AI185" s="1268"/>
      <c r="AJ185" s="1268"/>
      <c r="AK185" s="1268"/>
      <c r="AL185" s="1268"/>
      <c r="AM185" s="1268"/>
      <c r="AN185" s="1268"/>
      <c r="AO185" s="1268"/>
      <c r="AP185" s="1268"/>
      <c r="AQ185" s="1268"/>
      <c r="AR185" s="1268"/>
      <c r="AS185" s="1268"/>
      <c r="AT185" s="1268"/>
      <c r="AU185" s="1268"/>
      <c r="AV185" s="1268"/>
      <c r="AW185" s="1268"/>
      <c r="AX185" s="1268"/>
      <c r="AY185" s="1268"/>
      <c r="AZ185" s="1268"/>
      <c r="BA185" s="1268"/>
      <c r="BB185" s="1268"/>
      <c r="BC185" s="1268"/>
      <c r="BD185" s="1268"/>
      <c r="BE185" s="1269"/>
    </row>
    <row r="186" spans="2:57" x14ac:dyDescent="0.25">
      <c r="B186" s="304" t="str">
        <f>B164</f>
        <v>Operations &amp; Maintenance Expenses, excluding fuel cost</v>
      </c>
      <c r="C186" s="305"/>
      <c r="D186" s="305"/>
      <c r="E186" s="308"/>
      <c r="F186" s="308" t="s">
        <v>631</v>
      </c>
      <c r="G186" s="305"/>
      <c r="H186" s="1268">
        <f>-H164</f>
        <v>0</v>
      </c>
      <c r="I186" s="1268">
        <f t="shared" ref="I186:BE186" si="64">-I164</f>
        <v>0</v>
      </c>
      <c r="J186" s="1268">
        <f t="shared" si="64"/>
        <v>0</v>
      </c>
      <c r="K186" s="1268">
        <f t="shared" si="64"/>
        <v>0</v>
      </c>
      <c r="L186" s="1268">
        <f t="shared" si="64"/>
        <v>0</v>
      </c>
      <c r="M186" s="1268">
        <f t="shared" si="64"/>
        <v>0</v>
      </c>
      <c r="N186" s="1268">
        <f t="shared" si="64"/>
        <v>0</v>
      </c>
      <c r="O186" s="1268">
        <f t="shared" si="64"/>
        <v>0</v>
      </c>
      <c r="P186" s="1268">
        <f t="shared" si="64"/>
        <v>0</v>
      </c>
      <c r="Q186" s="1268">
        <f t="shared" si="64"/>
        <v>0</v>
      </c>
      <c r="R186" s="1268">
        <f t="shared" si="64"/>
        <v>0</v>
      </c>
      <c r="S186" s="1268">
        <f t="shared" si="64"/>
        <v>0</v>
      </c>
      <c r="T186" s="1268">
        <f t="shared" si="64"/>
        <v>0</v>
      </c>
      <c r="U186" s="1268">
        <f t="shared" si="64"/>
        <v>0</v>
      </c>
      <c r="V186" s="1268">
        <f t="shared" si="64"/>
        <v>0</v>
      </c>
      <c r="W186" s="1268">
        <f t="shared" si="64"/>
        <v>0</v>
      </c>
      <c r="X186" s="1268">
        <f t="shared" si="64"/>
        <v>0</v>
      </c>
      <c r="Y186" s="1268">
        <f t="shared" si="64"/>
        <v>0</v>
      </c>
      <c r="Z186" s="1268">
        <f t="shared" si="64"/>
        <v>0</v>
      </c>
      <c r="AA186" s="1268">
        <f t="shared" si="64"/>
        <v>0</v>
      </c>
      <c r="AB186" s="1268">
        <f t="shared" si="64"/>
        <v>0</v>
      </c>
      <c r="AC186" s="1268">
        <f t="shared" si="64"/>
        <v>0</v>
      </c>
      <c r="AD186" s="1268">
        <f t="shared" si="64"/>
        <v>0</v>
      </c>
      <c r="AE186" s="1268">
        <f t="shared" si="64"/>
        <v>0</v>
      </c>
      <c r="AF186" s="1268">
        <f t="shared" si="64"/>
        <v>0</v>
      </c>
      <c r="AG186" s="1268">
        <f t="shared" si="64"/>
        <v>0</v>
      </c>
      <c r="AH186" s="1268">
        <f t="shared" si="64"/>
        <v>0</v>
      </c>
      <c r="AI186" s="1268">
        <f t="shared" si="64"/>
        <v>0</v>
      </c>
      <c r="AJ186" s="1268">
        <f t="shared" si="64"/>
        <v>0</v>
      </c>
      <c r="AK186" s="1268">
        <f t="shared" si="64"/>
        <v>0</v>
      </c>
      <c r="AL186" s="1268">
        <f t="shared" si="64"/>
        <v>0</v>
      </c>
      <c r="AM186" s="1268">
        <f t="shared" si="64"/>
        <v>0</v>
      </c>
      <c r="AN186" s="1268">
        <f t="shared" si="64"/>
        <v>0</v>
      </c>
      <c r="AO186" s="1268">
        <f t="shared" si="64"/>
        <v>0</v>
      </c>
      <c r="AP186" s="1268">
        <f t="shared" si="64"/>
        <v>0</v>
      </c>
      <c r="AQ186" s="1268">
        <f t="shared" si="64"/>
        <v>0</v>
      </c>
      <c r="AR186" s="1268">
        <f t="shared" si="64"/>
        <v>0</v>
      </c>
      <c r="AS186" s="1268">
        <f t="shared" si="64"/>
        <v>0</v>
      </c>
      <c r="AT186" s="1268">
        <f t="shared" si="64"/>
        <v>0</v>
      </c>
      <c r="AU186" s="1268">
        <f t="shared" si="64"/>
        <v>0</v>
      </c>
      <c r="AV186" s="1268">
        <f t="shared" si="64"/>
        <v>0</v>
      </c>
      <c r="AW186" s="1268">
        <f t="shared" si="64"/>
        <v>0</v>
      </c>
      <c r="AX186" s="1268">
        <f t="shared" si="64"/>
        <v>0</v>
      </c>
      <c r="AY186" s="1268">
        <f t="shared" si="64"/>
        <v>0</v>
      </c>
      <c r="AZ186" s="1268">
        <f t="shared" si="64"/>
        <v>0</v>
      </c>
      <c r="BA186" s="1268">
        <f t="shared" si="64"/>
        <v>0</v>
      </c>
      <c r="BB186" s="1268">
        <f t="shared" si="64"/>
        <v>0</v>
      </c>
      <c r="BC186" s="1268">
        <f t="shared" si="64"/>
        <v>0</v>
      </c>
      <c r="BD186" s="1268">
        <f t="shared" si="64"/>
        <v>0</v>
      </c>
      <c r="BE186" s="1269">
        <f t="shared" si="64"/>
        <v>0</v>
      </c>
    </row>
    <row r="187" spans="2:57" x14ac:dyDescent="0.25">
      <c r="B187" s="304" t="s">
        <v>41</v>
      </c>
      <c r="C187" s="305"/>
      <c r="D187" s="305"/>
      <c r="E187" s="308"/>
      <c r="F187" s="308" t="s">
        <v>631</v>
      </c>
      <c r="G187" s="305"/>
      <c r="H187" s="1268" t="e">
        <f>-H172</f>
        <v>#DIV/0!</v>
      </c>
      <c r="I187" s="1268" t="e">
        <f t="shared" ref="I187:BE187" si="65">-I172</f>
        <v>#DIV/0!</v>
      </c>
      <c r="J187" s="1268" t="e">
        <f t="shared" si="65"/>
        <v>#DIV/0!</v>
      </c>
      <c r="K187" s="1268" t="e">
        <f t="shared" si="65"/>
        <v>#DIV/0!</v>
      </c>
      <c r="L187" s="1268" t="e">
        <f t="shared" si="65"/>
        <v>#DIV/0!</v>
      </c>
      <c r="M187" s="1268" t="e">
        <f t="shared" si="65"/>
        <v>#DIV/0!</v>
      </c>
      <c r="N187" s="1268" t="e">
        <f t="shared" si="65"/>
        <v>#DIV/0!</v>
      </c>
      <c r="O187" s="1268" t="e">
        <f t="shared" si="65"/>
        <v>#DIV/0!</v>
      </c>
      <c r="P187" s="1268" t="e">
        <f t="shared" si="65"/>
        <v>#DIV/0!</v>
      </c>
      <c r="Q187" s="1268" t="e">
        <f t="shared" si="65"/>
        <v>#DIV/0!</v>
      </c>
      <c r="R187" s="1268" t="e">
        <f t="shared" si="65"/>
        <v>#DIV/0!</v>
      </c>
      <c r="S187" s="1268" t="e">
        <f t="shared" si="65"/>
        <v>#DIV/0!</v>
      </c>
      <c r="T187" s="1268" t="e">
        <f t="shared" si="65"/>
        <v>#DIV/0!</v>
      </c>
      <c r="U187" s="1268" t="e">
        <f t="shared" si="65"/>
        <v>#DIV/0!</v>
      </c>
      <c r="V187" s="1268" t="e">
        <f t="shared" si="65"/>
        <v>#DIV/0!</v>
      </c>
      <c r="W187" s="1268" t="e">
        <f t="shared" si="65"/>
        <v>#DIV/0!</v>
      </c>
      <c r="X187" s="1268" t="e">
        <f t="shared" si="65"/>
        <v>#DIV/0!</v>
      </c>
      <c r="Y187" s="1268" t="e">
        <f t="shared" si="65"/>
        <v>#DIV/0!</v>
      </c>
      <c r="Z187" s="1268" t="e">
        <f t="shared" si="65"/>
        <v>#DIV/0!</v>
      </c>
      <c r="AA187" s="1268" t="e">
        <f t="shared" si="65"/>
        <v>#DIV/0!</v>
      </c>
      <c r="AB187" s="1268" t="e">
        <f t="shared" si="65"/>
        <v>#DIV/0!</v>
      </c>
      <c r="AC187" s="1268" t="e">
        <f t="shared" si="65"/>
        <v>#DIV/0!</v>
      </c>
      <c r="AD187" s="1268" t="e">
        <f t="shared" si="65"/>
        <v>#DIV/0!</v>
      </c>
      <c r="AE187" s="1268" t="e">
        <f t="shared" si="65"/>
        <v>#DIV/0!</v>
      </c>
      <c r="AF187" s="1268" t="e">
        <f t="shared" si="65"/>
        <v>#DIV/0!</v>
      </c>
      <c r="AG187" s="1268" t="e">
        <f t="shared" si="65"/>
        <v>#DIV/0!</v>
      </c>
      <c r="AH187" s="1268" t="e">
        <f t="shared" si="65"/>
        <v>#DIV/0!</v>
      </c>
      <c r="AI187" s="1268" t="e">
        <f t="shared" si="65"/>
        <v>#DIV/0!</v>
      </c>
      <c r="AJ187" s="1268" t="e">
        <f t="shared" si="65"/>
        <v>#DIV/0!</v>
      </c>
      <c r="AK187" s="1268" t="e">
        <f t="shared" si="65"/>
        <v>#DIV/0!</v>
      </c>
      <c r="AL187" s="1268" t="e">
        <f t="shared" si="65"/>
        <v>#DIV/0!</v>
      </c>
      <c r="AM187" s="1268" t="e">
        <f t="shared" si="65"/>
        <v>#DIV/0!</v>
      </c>
      <c r="AN187" s="1268" t="e">
        <f t="shared" si="65"/>
        <v>#DIV/0!</v>
      </c>
      <c r="AO187" s="1268" t="e">
        <f t="shared" si="65"/>
        <v>#DIV/0!</v>
      </c>
      <c r="AP187" s="1268" t="e">
        <f t="shared" si="65"/>
        <v>#DIV/0!</v>
      </c>
      <c r="AQ187" s="1268" t="e">
        <f t="shared" si="65"/>
        <v>#DIV/0!</v>
      </c>
      <c r="AR187" s="1268" t="e">
        <f t="shared" si="65"/>
        <v>#DIV/0!</v>
      </c>
      <c r="AS187" s="1268" t="e">
        <f t="shared" si="65"/>
        <v>#DIV/0!</v>
      </c>
      <c r="AT187" s="1268" t="e">
        <f t="shared" si="65"/>
        <v>#DIV/0!</v>
      </c>
      <c r="AU187" s="1268" t="e">
        <f t="shared" si="65"/>
        <v>#DIV/0!</v>
      </c>
      <c r="AV187" s="1268" t="e">
        <f t="shared" si="65"/>
        <v>#DIV/0!</v>
      </c>
      <c r="AW187" s="1268" t="e">
        <f t="shared" si="65"/>
        <v>#DIV/0!</v>
      </c>
      <c r="AX187" s="1268" t="e">
        <f t="shared" si="65"/>
        <v>#DIV/0!</v>
      </c>
      <c r="AY187" s="1268" t="e">
        <f t="shared" si="65"/>
        <v>#DIV/0!</v>
      </c>
      <c r="AZ187" s="1268" t="e">
        <f t="shared" si="65"/>
        <v>#DIV/0!</v>
      </c>
      <c r="BA187" s="1268" t="e">
        <f t="shared" si="65"/>
        <v>#DIV/0!</v>
      </c>
      <c r="BB187" s="1268" t="e">
        <f t="shared" si="65"/>
        <v>#DIV/0!</v>
      </c>
      <c r="BC187" s="1268" t="e">
        <f t="shared" si="65"/>
        <v>#DIV/0!</v>
      </c>
      <c r="BD187" s="1268" t="e">
        <f t="shared" si="65"/>
        <v>#DIV/0!</v>
      </c>
      <c r="BE187" s="1269" t="e">
        <f t="shared" si="65"/>
        <v>#DIV/0!</v>
      </c>
    </row>
    <row r="188" spans="2:57" x14ac:dyDescent="0.25">
      <c r="B188" s="304" t="str">
        <f>B179</f>
        <v xml:space="preserve">Front-end Fees </v>
      </c>
      <c r="C188" s="305"/>
      <c r="D188" s="305"/>
      <c r="E188" s="308"/>
      <c r="F188" s="308" t="s">
        <v>631</v>
      </c>
      <c r="G188" s="305"/>
      <c r="H188" s="1268">
        <f>-H179</f>
        <v>0</v>
      </c>
      <c r="I188" s="1268">
        <f t="shared" ref="I188:BE188" si="66">-I179</f>
        <v>0</v>
      </c>
      <c r="J188" s="1268">
        <f t="shared" si="66"/>
        <v>0</v>
      </c>
      <c r="K188" s="1268">
        <f t="shared" si="66"/>
        <v>0</v>
      </c>
      <c r="L188" s="1268">
        <f t="shared" si="66"/>
        <v>0</v>
      </c>
      <c r="M188" s="1268">
        <f t="shared" si="66"/>
        <v>0</v>
      </c>
      <c r="N188" s="1268">
        <f t="shared" si="66"/>
        <v>0</v>
      </c>
      <c r="O188" s="1268">
        <f t="shared" si="66"/>
        <v>0</v>
      </c>
      <c r="P188" s="1268">
        <f t="shared" si="66"/>
        <v>0</v>
      </c>
      <c r="Q188" s="1268">
        <f t="shared" si="66"/>
        <v>0</v>
      </c>
      <c r="R188" s="1268">
        <f t="shared" si="66"/>
        <v>0</v>
      </c>
      <c r="S188" s="1268">
        <f t="shared" si="66"/>
        <v>0</v>
      </c>
      <c r="T188" s="1268">
        <f t="shared" si="66"/>
        <v>0</v>
      </c>
      <c r="U188" s="1268">
        <f t="shared" si="66"/>
        <v>0</v>
      </c>
      <c r="V188" s="1268">
        <f t="shared" si="66"/>
        <v>0</v>
      </c>
      <c r="W188" s="1268">
        <f t="shared" si="66"/>
        <v>0</v>
      </c>
      <c r="X188" s="1268">
        <f t="shared" si="66"/>
        <v>0</v>
      </c>
      <c r="Y188" s="1268">
        <f t="shared" si="66"/>
        <v>0</v>
      </c>
      <c r="Z188" s="1268">
        <f t="shared" si="66"/>
        <v>0</v>
      </c>
      <c r="AA188" s="1268">
        <f t="shared" si="66"/>
        <v>0</v>
      </c>
      <c r="AB188" s="1268">
        <f t="shared" si="66"/>
        <v>0</v>
      </c>
      <c r="AC188" s="1268">
        <f t="shared" si="66"/>
        <v>0</v>
      </c>
      <c r="AD188" s="1268">
        <f t="shared" si="66"/>
        <v>0</v>
      </c>
      <c r="AE188" s="1268">
        <f t="shared" si="66"/>
        <v>0</v>
      </c>
      <c r="AF188" s="1268">
        <f t="shared" si="66"/>
        <v>0</v>
      </c>
      <c r="AG188" s="1268">
        <f t="shared" si="66"/>
        <v>0</v>
      </c>
      <c r="AH188" s="1268">
        <f t="shared" si="66"/>
        <v>0</v>
      </c>
      <c r="AI188" s="1268">
        <f t="shared" si="66"/>
        <v>0</v>
      </c>
      <c r="AJ188" s="1268">
        <f t="shared" si="66"/>
        <v>0</v>
      </c>
      <c r="AK188" s="1268">
        <f t="shared" si="66"/>
        <v>0</v>
      </c>
      <c r="AL188" s="1268">
        <f t="shared" si="66"/>
        <v>0</v>
      </c>
      <c r="AM188" s="1268">
        <f t="shared" si="66"/>
        <v>0</v>
      </c>
      <c r="AN188" s="1268">
        <f t="shared" si="66"/>
        <v>0</v>
      </c>
      <c r="AO188" s="1268">
        <f t="shared" si="66"/>
        <v>0</v>
      </c>
      <c r="AP188" s="1268">
        <f t="shared" si="66"/>
        <v>0</v>
      </c>
      <c r="AQ188" s="1268">
        <f t="shared" si="66"/>
        <v>0</v>
      </c>
      <c r="AR188" s="1268">
        <f t="shared" si="66"/>
        <v>0</v>
      </c>
      <c r="AS188" s="1268">
        <f t="shared" si="66"/>
        <v>0</v>
      </c>
      <c r="AT188" s="1268">
        <f t="shared" si="66"/>
        <v>0</v>
      </c>
      <c r="AU188" s="1268">
        <f t="shared" si="66"/>
        <v>0</v>
      </c>
      <c r="AV188" s="1268">
        <f t="shared" si="66"/>
        <v>0</v>
      </c>
      <c r="AW188" s="1268">
        <f t="shared" si="66"/>
        <v>0</v>
      </c>
      <c r="AX188" s="1268">
        <f t="shared" si="66"/>
        <v>0</v>
      </c>
      <c r="AY188" s="1268">
        <f t="shared" si="66"/>
        <v>0</v>
      </c>
      <c r="AZ188" s="1268">
        <f t="shared" si="66"/>
        <v>0</v>
      </c>
      <c r="BA188" s="1268">
        <f t="shared" si="66"/>
        <v>0</v>
      </c>
      <c r="BB188" s="1268">
        <f t="shared" si="66"/>
        <v>0</v>
      </c>
      <c r="BC188" s="1268">
        <f t="shared" si="66"/>
        <v>0</v>
      </c>
      <c r="BD188" s="1268">
        <f t="shared" si="66"/>
        <v>0</v>
      </c>
      <c r="BE188" s="1269">
        <f t="shared" si="66"/>
        <v>0</v>
      </c>
    </row>
    <row r="189" spans="2:57" x14ac:dyDescent="0.25">
      <c r="B189" s="304" t="str">
        <f>B180</f>
        <v xml:space="preserve">Public Guarantee Fees </v>
      </c>
      <c r="C189" s="305"/>
      <c r="D189" s="305"/>
      <c r="E189" s="308"/>
      <c r="F189" s="308" t="s">
        <v>631</v>
      </c>
      <c r="G189" s="305"/>
      <c r="H189" s="1268">
        <f>-H180</f>
        <v>0</v>
      </c>
      <c r="I189" s="1268">
        <f t="shared" ref="I189:BE189" si="67">-I180</f>
        <v>0</v>
      </c>
      <c r="J189" s="1268">
        <f t="shared" si="67"/>
        <v>0</v>
      </c>
      <c r="K189" s="1268">
        <f t="shared" si="67"/>
        <v>0</v>
      </c>
      <c r="L189" s="1268">
        <f t="shared" si="67"/>
        <v>0</v>
      </c>
      <c r="M189" s="1268">
        <f t="shared" si="67"/>
        <v>0</v>
      </c>
      <c r="N189" s="1268">
        <f t="shared" si="67"/>
        <v>0</v>
      </c>
      <c r="O189" s="1268">
        <f t="shared" si="67"/>
        <v>0</v>
      </c>
      <c r="P189" s="1268">
        <f t="shared" si="67"/>
        <v>0</v>
      </c>
      <c r="Q189" s="1268">
        <f t="shared" si="67"/>
        <v>0</v>
      </c>
      <c r="R189" s="1268">
        <f t="shared" si="67"/>
        <v>0</v>
      </c>
      <c r="S189" s="1268">
        <f t="shared" si="67"/>
        <v>0</v>
      </c>
      <c r="T189" s="1268">
        <f t="shared" si="67"/>
        <v>0</v>
      </c>
      <c r="U189" s="1268">
        <f t="shared" si="67"/>
        <v>0</v>
      </c>
      <c r="V189" s="1268">
        <f t="shared" si="67"/>
        <v>0</v>
      </c>
      <c r="W189" s="1268">
        <f t="shared" si="67"/>
        <v>0</v>
      </c>
      <c r="X189" s="1268">
        <f t="shared" si="67"/>
        <v>0</v>
      </c>
      <c r="Y189" s="1268">
        <f t="shared" si="67"/>
        <v>0</v>
      </c>
      <c r="Z189" s="1268">
        <f t="shared" si="67"/>
        <v>0</v>
      </c>
      <c r="AA189" s="1268">
        <f t="shared" si="67"/>
        <v>0</v>
      </c>
      <c r="AB189" s="1268">
        <f t="shared" si="67"/>
        <v>0</v>
      </c>
      <c r="AC189" s="1268">
        <f t="shared" si="67"/>
        <v>0</v>
      </c>
      <c r="AD189" s="1268">
        <f t="shared" si="67"/>
        <v>0</v>
      </c>
      <c r="AE189" s="1268">
        <f t="shared" si="67"/>
        <v>0</v>
      </c>
      <c r="AF189" s="1268">
        <f t="shared" si="67"/>
        <v>0</v>
      </c>
      <c r="AG189" s="1268">
        <f t="shared" si="67"/>
        <v>0</v>
      </c>
      <c r="AH189" s="1268">
        <f t="shared" si="67"/>
        <v>0</v>
      </c>
      <c r="AI189" s="1268">
        <f t="shared" si="67"/>
        <v>0</v>
      </c>
      <c r="AJ189" s="1268">
        <f t="shared" si="67"/>
        <v>0</v>
      </c>
      <c r="AK189" s="1268">
        <f t="shared" si="67"/>
        <v>0</v>
      </c>
      <c r="AL189" s="1268">
        <f t="shared" si="67"/>
        <v>0</v>
      </c>
      <c r="AM189" s="1268">
        <f t="shared" si="67"/>
        <v>0</v>
      </c>
      <c r="AN189" s="1268">
        <f t="shared" si="67"/>
        <v>0</v>
      </c>
      <c r="AO189" s="1268">
        <f t="shared" si="67"/>
        <v>0</v>
      </c>
      <c r="AP189" s="1268">
        <f t="shared" si="67"/>
        <v>0</v>
      </c>
      <c r="AQ189" s="1268">
        <f t="shared" si="67"/>
        <v>0</v>
      </c>
      <c r="AR189" s="1268">
        <f t="shared" si="67"/>
        <v>0</v>
      </c>
      <c r="AS189" s="1268">
        <f t="shared" si="67"/>
        <v>0</v>
      </c>
      <c r="AT189" s="1268">
        <f t="shared" si="67"/>
        <v>0</v>
      </c>
      <c r="AU189" s="1268">
        <f t="shared" si="67"/>
        <v>0</v>
      </c>
      <c r="AV189" s="1268">
        <f t="shared" si="67"/>
        <v>0</v>
      </c>
      <c r="AW189" s="1268">
        <f t="shared" si="67"/>
        <v>0</v>
      </c>
      <c r="AX189" s="1268">
        <f t="shared" si="67"/>
        <v>0</v>
      </c>
      <c r="AY189" s="1268">
        <f t="shared" si="67"/>
        <v>0</v>
      </c>
      <c r="AZ189" s="1268">
        <f t="shared" si="67"/>
        <v>0</v>
      </c>
      <c r="BA189" s="1268">
        <f t="shared" si="67"/>
        <v>0</v>
      </c>
      <c r="BB189" s="1268">
        <f t="shared" si="67"/>
        <v>0</v>
      </c>
      <c r="BC189" s="1268">
        <f t="shared" si="67"/>
        <v>0</v>
      </c>
      <c r="BD189" s="1268">
        <f t="shared" si="67"/>
        <v>0</v>
      </c>
      <c r="BE189" s="1269">
        <f t="shared" si="67"/>
        <v>0</v>
      </c>
    </row>
    <row r="190" spans="2:57" x14ac:dyDescent="0.25">
      <c r="B190" s="304" t="str">
        <f>B181</f>
        <v>Political Risk Insurance - Fees &amp; Annual Premium Payments</v>
      </c>
      <c r="C190" s="305"/>
      <c r="D190" s="305"/>
      <c r="E190" s="308"/>
      <c r="F190" s="308" t="s">
        <v>631</v>
      </c>
      <c r="G190" s="305"/>
      <c r="H190" s="1268">
        <f>-H181</f>
        <v>0</v>
      </c>
      <c r="I190" s="1268">
        <f t="shared" ref="I190:BE190" si="68">-I181</f>
        <v>0</v>
      </c>
      <c r="J190" s="1268">
        <f t="shared" si="68"/>
        <v>0</v>
      </c>
      <c r="K190" s="1268">
        <f t="shared" si="68"/>
        <v>0</v>
      </c>
      <c r="L190" s="1268">
        <f t="shared" si="68"/>
        <v>0</v>
      </c>
      <c r="M190" s="1268">
        <f t="shared" si="68"/>
        <v>0</v>
      </c>
      <c r="N190" s="1268">
        <f t="shared" si="68"/>
        <v>0</v>
      </c>
      <c r="O190" s="1268">
        <f t="shared" si="68"/>
        <v>0</v>
      </c>
      <c r="P190" s="1268">
        <f t="shared" si="68"/>
        <v>0</v>
      </c>
      <c r="Q190" s="1268">
        <f t="shared" si="68"/>
        <v>0</v>
      </c>
      <c r="R190" s="1268">
        <f t="shared" si="68"/>
        <v>0</v>
      </c>
      <c r="S190" s="1268">
        <f t="shared" si="68"/>
        <v>0</v>
      </c>
      <c r="T190" s="1268">
        <f t="shared" si="68"/>
        <v>0</v>
      </c>
      <c r="U190" s="1268">
        <f t="shared" si="68"/>
        <v>0</v>
      </c>
      <c r="V190" s="1268">
        <f t="shared" si="68"/>
        <v>0</v>
      </c>
      <c r="W190" s="1268">
        <f t="shared" si="68"/>
        <v>0</v>
      </c>
      <c r="X190" s="1268">
        <f t="shared" si="68"/>
        <v>0</v>
      </c>
      <c r="Y190" s="1268">
        <f t="shared" si="68"/>
        <v>0</v>
      </c>
      <c r="Z190" s="1268">
        <f t="shared" si="68"/>
        <v>0</v>
      </c>
      <c r="AA190" s="1268">
        <f t="shared" si="68"/>
        <v>0</v>
      </c>
      <c r="AB190" s="1268">
        <f t="shared" si="68"/>
        <v>0</v>
      </c>
      <c r="AC190" s="1268">
        <f t="shared" si="68"/>
        <v>0</v>
      </c>
      <c r="AD190" s="1268">
        <f t="shared" si="68"/>
        <v>0</v>
      </c>
      <c r="AE190" s="1268">
        <f t="shared" si="68"/>
        <v>0</v>
      </c>
      <c r="AF190" s="1268">
        <f t="shared" si="68"/>
        <v>0</v>
      </c>
      <c r="AG190" s="1268">
        <f t="shared" si="68"/>
        <v>0</v>
      </c>
      <c r="AH190" s="1268">
        <f t="shared" si="68"/>
        <v>0</v>
      </c>
      <c r="AI190" s="1268">
        <f t="shared" si="68"/>
        <v>0</v>
      </c>
      <c r="AJ190" s="1268">
        <f t="shared" si="68"/>
        <v>0</v>
      </c>
      <c r="AK190" s="1268">
        <f t="shared" si="68"/>
        <v>0</v>
      </c>
      <c r="AL190" s="1268">
        <f t="shared" si="68"/>
        <v>0</v>
      </c>
      <c r="AM190" s="1268">
        <f t="shared" si="68"/>
        <v>0</v>
      </c>
      <c r="AN190" s="1268">
        <f t="shared" si="68"/>
        <v>0</v>
      </c>
      <c r="AO190" s="1268">
        <f t="shared" si="68"/>
        <v>0</v>
      </c>
      <c r="AP190" s="1268">
        <f t="shared" si="68"/>
        <v>0</v>
      </c>
      <c r="AQ190" s="1268">
        <f t="shared" si="68"/>
        <v>0</v>
      </c>
      <c r="AR190" s="1268">
        <f t="shared" si="68"/>
        <v>0</v>
      </c>
      <c r="AS190" s="1268">
        <f t="shared" si="68"/>
        <v>0</v>
      </c>
      <c r="AT190" s="1268">
        <f t="shared" si="68"/>
        <v>0</v>
      </c>
      <c r="AU190" s="1268">
        <f t="shared" si="68"/>
        <v>0</v>
      </c>
      <c r="AV190" s="1268">
        <f t="shared" si="68"/>
        <v>0</v>
      </c>
      <c r="AW190" s="1268">
        <f t="shared" si="68"/>
        <v>0</v>
      </c>
      <c r="AX190" s="1268">
        <f t="shared" si="68"/>
        <v>0</v>
      </c>
      <c r="AY190" s="1268">
        <f t="shared" si="68"/>
        <v>0</v>
      </c>
      <c r="AZ190" s="1268">
        <f t="shared" si="68"/>
        <v>0</v>
      </c>
      <c r="BA190" s="1268">
        <f t="shared" si="68"/>
        <v>0</v>
      </c>
      <c r="BB190" s="1268">
        <f t="shared" si="68"/>
        <v>0</v>
      </c>
      <c r="BC190" s="1268">
        <f t="shared" si="68"/>
        <v>0</v>
      </c>
      <c r="BD190" s="1268">
        <f t="shared" si="68"/>
        <v>0</v>
      </c>
      <c r="BE190" s="1269">
        <f t="shared" si="68"/>
        <v>0</v>
      </c>
    </row>
    <row r="191" spans="2:57" x14ac:dyDescent="0.25">
      <c r="B191" s="304" t="s">
        <v>102</v>
      </c>
      <c r="C191" s="305"/>
      <c r="D191" s="305"/>
      <c r="E191" s="308"/>
      <c r="F191" s="308" t="s">
        <v>631</v>
      </c>
      <c r="G191" s="305"/>
      <c r="H191" s="1268">
        <f>-(H541+H562+H583)</f>
        <v>0</v>
      </c>
      <c r="I191" s="1268">
        <f t="shared" ref="I191:BE191" si="69">-(I541+I562+I583)</f>
        <v>0</v>
      </c>
      <c r="J191" s="1268">
        <f t="shared" si="69"/>
        <v>0</v>
      </c>
      <c r="K191" s="1268">
        <f t="shared" si="69"/>
        <v>0</v>
      </c>
      <c r="L191" s="1268">
        <f t="shared" si="69"/>
        <v>0</v>
      </c>
      <c r="M191" s="1268">
        <f t="shared" si="69"/>
        <v>0</v>
      </c>
      <c r="N191" s="1268">
        <f t="shared" si="69"/>
        <v>0</v>
      </c>
      <c r="O191" s="1268">
        <f t="shared" si="69"/>
        <v>0</v>
      </c>
      <c r="P191" s="1268">
        <f t="shared" si="69"/>
        <v>0</v>
      </c>
      <c r="Q191" s="1268">
        <f t="shared" si="69"/>
        <v>0</v>
      </c>
      <c r="R191" s="1268">
        <f t="shared" si="69"/>
        <v>0</v>
      </c>
      <c r="S191" s="1268">
        <f t="shared" si="69"/>
        <v>0</v>
      </c>
      <c r="T191" s="1268">
        <f t="shared" si="69"/>
        <v>0</v>
      </c>
      <c r="U191" s="1268">
        <f t="shared" si="69"/>
        <v>0</v>
      </c>
      <c r="V191" s="1268">
        <f t="shared" si="69"/>
        <v>0</v>
      </c>
      <c r="W191" s="1268">
        <f t="shared" si="69"/>
        <v>0</v>
      </c>
      <c r="X191" s="1268">
        <f t="shared" si="69"/>
        <v>0</v>
      </c>
      <c r="Y191" s="1268">
        <f t="shared" si="69"/>
        <v>0</v>
      </c>
      <c r="Z191" s="1268">
        <f t="shared" si="69"/>
        <v>0</v>
      </c>
      <c r="AA191" s="1268">
        <f t="shared" si="69"/>
        <v>0</v>
      </c>
      <c r="AB191" s="1268">
        <f t="shared" si="69"/>
        <v>0</v>
      </c>
      <c r="AC191" s="1268">
        <f t="shared" si="69"/>
        <v>0</v>
      </c>
      <c r="AD191" s="1268">
        <f t="shared" si="69"/>
        <v>0</v>
      </c>
      <c r="AE191" s="1268">
        <f t="shared" si="69"/>
        <v>0</v>
      </c>
      <c r="AF191" s="1268">
        <f t="shared" si="69"/>
        <v>0</v>
      </c>
      <c r="AG191" s="1268">
        <f t="shared" si="69"/>
        <v>0</v>
      </c>
      <c r="AH191" s="1268">
        <f t="shared" si="69"/>
        <v>0</v>
      </c>
      <c r="AI191" s="1268">
        <f t="shared" si="69"/>
        <v>0</v>
      </c>
      <c r="AJ191" s="1268">
        <f t="shared" si="69"/>
        <v>0</v>
      </c>
      <c r="AK191" s="1268">
        <f t="shared" si="69"/>
        <v>0</v>
      </c>
      <c r="AL191" s="1268">
        <f t="shared" si="69"/>
        <v>0</v>
      </c>
      <c r="AM191" s="1268">
        <f t="shared" si="69"/>
        <v>0</v>
      </c>
      <c r="AN191" s="1268">
        <f t="shared" si="69"/>
        <v>0</v>
      </c>
      <c r="AO191" s="1268">
        <f t="shared" si="69"/>
        <v>0</v>
      </c>
      <c r="AP191" s="1268">
        <f t="shared" si="69"/>
        <v>0</v>
      </c>
      <c r="AQ191" s="1268">
        <f t="shared" si="69"/>
        <v>0</v>
      </c>
      <c r="AR191" s="1268">
        <f t="shared" si="69"/>
        <v>0</v>
      </c>
      <c r="AS191" s="1268">
        <f t="shared" si="69"/>
        <v>0</v>
      </c>
      <c r="AT191" s="1268">
        <f t="shared" si="69"/>
        <v>0</v>
      </c>
      <c r="AU191" s="1268">
        <f t="shared" si="69"/>
        <v>0</v>
      </c>
      <c r="AV191" s="1268">
        <f t="shared" si="69"/>
        <v>0</v>
      </c>
      <c r="AW191" s="1268">
        <f t="shared" si="69"/>
        <v>0</v>
      </c>
      <c r="AX191" s="1268">
        <f t="shared" si="69"/>
        <v>0</v>
      </c>
      <c r="AY191" s="1268">
        <f t="shared" si="69"/>
        <v>0</v>
      </c>
      <c r="AZ191" s="1268">
        <f t="shared" si="69"/>
        <v>0</v>
      </c>
      <c r="BA191" s="1268">
        <f t="shared" si="69"/>
        <v>0</v>
      </c>
      <c r="BB191" s="1268">
        <f t="shared" si="69"/>
        <v>0</v>
      </c>
      <c r="BC191" s="1268">
        <f t="shared" si="69"/>
        <v>0</v>
      </c>
      <c r="BD191" s="1268">
        <f t="shared" si="69"/>
        <v>0</v>
      </c>
      <c r="BE191" s="1268">
        <f t="shared" si="69"/>
        <v>0</v>
      </c>
    </row>
    <row r="192" spans="2:57" x14ac:dyDescent="0.25">
      <c r="B192" s="317" t="s">
        <v>103</v>
      </c>
      <c r="C192" s="312"/>
      <c r="D192" s="312"/>
      <c r="E192" s="313"/>
      <c r="F192" s="313" t="s">
        <v>631</v>
      </c>
      <c r="G192" s="312"/>
      <c r="H192" s="1270" t="e">
        <f>(H164+H172+H174+H179+H180+H181+H176+H177+H178)*'II. Inputs, Baseline Energy Mix'!$Q$19</f>
        <v>#DIV/0!</v>
      </c>
      <c r="I192" s="1270" t="e">
        <f>(I164+I172+I174+I179+I180+I181+I176+I177+I178)*'II. Inputs, Baseline Energy Mix'!$P$19</f>
        <v>#DIV/0!</v>
      </c>
      <c r="J192" s="1270" t="e">
        <f>(J164+J172+J174+J179+J180+J181+J176+J177+J178)*'II. Inputs, Baseline Energy Mix'!$P$19</f>
        <v>#DIV/0!</v>
      </c>
      <c r="K192" s="1270" t="e">
        <f>(K164+K172+K174+K179+K180+K181+K176+K177+K178)*'II. Inputs, Baseline Energy Mix'!$P$19</f>
        <v>#DIV/0!</v>
      </c>
      <c r="L192" s="1270" t="e">
        <f>(L164+L172+L174+L179+L180+L181+L176+L177+L178)*'II. Inputs, Baseline Energy Mix'!$P$19</f>
        <v>#DIV/0!</v>
      </c>
      <c r="M192" s="1270" t="e">
        <f>(M164+M172+M174+M179+M180+M181+M176+M177+M178)*'II. Inputs, Baseline Energy Mix'!$P$19</f>
        <v>#DIV/0!</v>
      </c>
      <c r="N192" s="1270" t="e">
        <f>(N164+N172+N174+N179+N180+N181+N176+N177+N178)*'II. Inputs, Baseline Energy Mix'!$P$19</f>
        <v>#DIV/0!</v>
      </c>
      <c r="O192" s="1270" t="e">
        <f>(O164+O172+O174+O179+O180+O181+O176+O177+O178)*'II. Inputs, Baseline Energy Mix'!$P$19</f>
        <v>#DIV/0!</v>
      </c>
      <c r="P192" s="1270" t="e">
        <f>(P164+P172+P174+P179+P180+P181+P176+P177+P178)*'II. Inputs, Baseline Energy Mix'!$P$19</f>
        <v>#DIV/0!</v>
      </c>
      <c r="Q192" s="1270" t="e">
        <f>(Q164+Q172+Q174+Q179+Q180+Q181+Q176+Q177+Q178)*'II. Inputs, Baseline Energy Mix'!$P$19</f>
        <v>#DIV/0!</v>
      </c>
      <c r="R192" s="1270" t="e">
        <f>(R164+R172+R174+R179+R180+R181+R176+R177+R178)*'II. Inputs, Baseline Energy Mix'!$P$19</f>
        <v>#DIV/0!</v>
      </c>
      <c r="S192" s="1270" t="e">
        <f>(S164+S172+S174+S179+S180+S181+S176+S177+S178)*'II. Inputs, Baseline Energy Mix'!$P$19</f>
        <v>#DIV/0!</v>
      </c>
      <c r="T192" s="1270" t="e">
        <f>(T164+T172+T174+T179+T180+T181+T176+T177+T178)*'II. Inputs, Baseline Energy Mix'!$P$19</f>
        <v>#DIV/0!</v>
      </c>
      <c r="U192" s="1270" t="e">
        <f>(U164+U172+U174+U179+U180+U181+U176+U177+U178)*'II. Inputs, Baseline Energy Mix'!$P$19</f>
        <v>#DIV/0!</v>
      </c>
      <c r="V192" s="1270" t="e">
        <f>(V164+V172+V174+V179+V180+V181+V176+V177+V178)*'II. Inputs, Baseline Energy Mix'!$P$19</f>
        <v>#DIV/0!</v>
      </c>
      <c r="W192" s="1270" t="e">
        <f>(W164+W172+W174+W179+W180+W181+W176+W177+W178)*'II. Inputs, Baseline Energy Mix'!$P$19</f>
        <v>#DIV/0!</v>
      </c>
      <c r="X192" s="1270" t="e">
        <f>(X164+X172+X174+X179+X180+X181+X176+X177+X178)*'II. Inputs, Baseline Energy Mix'!$P$19</f>
        <v>#DIV/0!</v>
      </c>
      <c r="Y192" s="1270" t="e">
        <f>(Y164+Y172+Y174+Y179+Y180+Y181+Y176+Y177+Y178)*'II. Inputs, Baseline Energy Mix'!$P$19</f>
        <v>#DIV/0!</v>
      </c>
      <c r="Z192" s="1270" t="e">
        <f>(Z164+Z172+Z174+Z179+Z180+Z181+Z176+Z177+Z178)*'II. Inputs, Baseline Energy Mix'!$P$19</f>
        <v>#DIV/0!</v>
      </c>
      <c r="AA192" s="1270" t="e">
        <f>(AA164+AA172+AA174+AA179+AA180+AA181+AA176+AA177+AA178)*'II. Inputs, Baseline Energy Mix'!$P$19</f>
        <v>#DIV/0!</v>
      </c>
      <c r="AB192" s="1270" t="e">
        <f>(AB164+AB172+AB174+AB179+AB180+AB181+AB176+AB177+AB178)*'II. Inputs, Baseline Energy Mix'!$P$19</f>
        <v>#DIV/0!</v>
      </c>
      <c r="AC192" s="1270" t="e">
        <f>(AC164+AC172+AC174+AC179+AC180+AC181+AC176+AC177+AC178)*'II. Inputs, Baseline Energy Mix'!$P$19</f>
        <v>#DIV/0!</v>
      </c>
      <c r="AD192" s="1270" t="e">
        <f>(AD164+AD172+AD174+AD179+AD180+AD181+AD176+AD177+AD178)*'II. Inputs, Baseline Energy Mix'!$P$19</f>
        <v>#DIV/0!</v>
      </c>
      <c r="AE192" s="1270" t="e">
        <f>(AE164+AE172+AE174+AE179+AE180+AE181+AE176+AE177+AE178)*'II. Inputs, Baseline Energy Mix'!$P$19</f>
        <v>#DIV/0!</v>
      </c>
      <c r="AF192" s="1270" t="e">
        <f>(AF164+AF172+AF174+AF179+AF180+AF181+AF176+AF177+AF178)*'II. Inputs, Baseline Energy Mix'!$P$19</f>
        <v>#DIV/0!</v>
      </c>
      <c r="AG192" s="1270" t="e">
        <f>(AG164+AG172+AG174+AG179+AG180+AG181+AG176+AG177+AG178)*'II. Inputs, Baseline Energy Mix'!$P$19</f>
        <v>#DIV/0!</v>
      </c>
      <c r="AH192" s="1270" t="e">
        <f>(AH164+AH172+AH174+AH179+AH180+AH181+AH176+AH177+AH178)*'II. Inputs, Baseline Energy Mix'!$P$19</f>
        <v>#DIV/0!</v>
      </c>
      <c r="AI192" s="1270" t="e">
        <f>(AI164+AI172+AI174+AI179+AI180+AI181+AI176+AI177+AI178)*'II. Inputs, Baseline Energy Mix'!$P$19</f>
        <v>#DIV/0!</v>
      </c>
      <c r="AJ192" s="1270" t="e">
        <f>(AJ164+AJ172+AJ174+AJ179+AJ180+AJ181+AJ176+AJ177+AJ178)*'II. Inputs, Baseline Energy Mix'!$P$19</f>
        <v>#DIV/0!</v>
      </c>
      <c r="AK192" s="1270" t="e">
        <f>(AK164+AK172+AK174+AK179+AK180+AK181+AK176+AK177+AK178)*'II. Inputs, Baseline Energy Mix'!$P$19</f>
        <v>#DIV/0!</v>
      </c>
      <c r="AL192" s="1270" t="e">
        <f>(AL164+AL172+AL174+AL179+AL180+AL181+AL176+AL177+AL178)*'II. Inputs, Baseline Energy Mix'!$P$19</f>
        <v>#DIV/0!</v>
      </c>
      <c r="AM192" s="1270" t="e">
        <f>(AM164+AM172+AM174+AM179+AM180+AM181+AM176+AM177+AM178)*'II. Inputs, Baseline Energy Mix'!$P$19</f>
        <v>#DIV/0!</v>
      </c>
      <c r="AN192" s="1270" t="e">
        <f>(AN164+AN172+AN174+AN179+AN180+AN181+AN176+AN177+AN178)*'II. Inputs, Baseline Energy Mix'!$P$19</f>
        <v>#DIV/0!</v>
      </c>
      <c r="AO192" s="1270" t="e">
        <f>(AO164+AO172+AO174+AO179+AO180+AO181+AO176+AO177+AO178)*'II. Inputs, Baseline Energy Mix'!$P$19</f>
        <v>#DIV/0!</v>
      </c>
      <c r="AP192" s="1270" t="e">
        <f>(AP164+AP172+AP174+AP179+AP180+AP181+AP176+AP177+AP178)*'II. Inputs, Baseline Energy Mix'!$P$19</f>
        <v>#DIV/0!</v>
      </c>
      <c r="AQ192" s="1270" t="e">
        <f>(AQ164+AQ172+AQ174+AQ179+AQ180+AQ181+AQ176+AQ177+AQ178)*'II. Inputs, Baseline Energy Mix'!$P$19</f>
        <v>#DIV/0!</v>
      </c>
      <c r="AR192" s="1270" t="e">
        <f>(AR164+AR172+AR174+AR179+AR180+AR181+AR176+AR177+AR178)*'II. Inputs, Baseline Energy Mix'!$P$19</f>
        <v>#DIV/0!</v>
      </c>
      <c r="AS192" s="1270" t="e">
        <f>(AS164+AS172+AS174+AS179+AS180+AS181+AS176+AS177+AS178)*'II. Inputs, Baseline Energy Mix'!$P$19</f>
        <v>#DIV/0!</v>
      </c>
      <c r="AT192" s="1270" t="e">
        <f>(AT164+AT172+AT174+AT179+AT180+AT181+AT176+AT177+AT178)*'II. Inputs, Baseline Energy Mix'!$P$19</f>
        <v>#DIV/0!</v>
      </c>
      <c r="AU192" s="1270" t="e">
        <f>(AU164+AU172+AU174+AU179+AU180+AU181+AU176+AU177+AU178)*'II. Inputs, Baseline Energy Mix'!$P$19</f>
        <v>#DIV/0!</v>
      </c>
      <c r="AV192" s="1270" t="e">
        <f>(AV164+AV172+AV174+AV179+AV180+AV181+AV176+AV177+AV178)*'II. Inputs, Baseline Energy Mix'!$P$19</f>
        <v>#DIV/0!</v>
      </c>
      <c r="AW192" s="1270" t="e">
        <f>(AW164+AW172+AW174+AW179+AW180+AW181+AW176+AW177+AW178)*'II. Inputs, Baseline Energy Mix'!$P$19</f>
        <v>#DIV/0!</v>
      </c>
      <c r="AX192" s="1270" t="e">
        <f>(AX164+AX172+AX174+AX179+AX180+AX181+AX176+AX177+AX178)*'II. Inputs, Baseline Energy Mix'!$P$19</f>
        <v>#DIV/0!</v>
      </c>
      <c r="AY192" s="1270" t="e">
        <f>(AY164+AY172+AY174+AY179+AY180+AY181+AY176+AY177+AY178)*'II. Inputs, Baseline Energy Mix'!$P$19</f>
        <v>#DIV/0!</v>
      </c>
      <c r="AZ192" s="1270" t="e">
        <f>(AZ164+AZ172+AZ174+AZ179+AZ180+AZ181+AZ176+AZ177+AZ178)*'II. Inputs, Baseline Energy Mix'!$P$19</f>
        <v>#DIV/0!</v>
      </c>
      <c r="BA192" s="1270" t="e">
        <f>(BA164+BA172+BA174+BA179+BA180+BA181+BA176+BA177+BA178)*'II. Inputs, Baseline Energy Mix'!$P$19</f>
        <v>#DIV/0!</v>
      </c>
      <c r="BB192" s="1270" t="e">
        <f>(BB164+BB172+BB174+BB179+BB180+BB181+BB176+BB177+BB178)*'II. Inputs, Baseline Energy Mix'!$P$19</f>
        <v>#DIV/0!</v>
      </c>
      <c r="BC192" s="1270" t="e">
        <f>(BC164+BC172+BC174+BC179+BC180+BC181+BC176+BC177+BC178)*'II. Inputs, Baseline Energy Mix'!$P$19</f>
        <v>#DIV/0!</v>
      </c>
      <c r="BD192" s="1270" t="e">
        <f>(BD164+BD172+BD174+BD179+BD180+BD181+BD176+BD177+BD178)*'II. Inputs, Baseline Energy Mix'!$P$19</f>
        <v>#DIV/0!</v>
      </c>
      <c r="BE192" s="1271" t="e">
        <f>(BE164+BE172+BE174+BE179+BE180+BE181+BE176+BE177+BE178)*'II. Inputs, Baseline Energy Mix'!$P$19</f>
        <v>#DIV/0!</v>
      </c>
    </row>
    <row r="193" spans="2:57" x14ac:dyDescent="0.25">
      <c r="B193" s="304" t="s">
        <v>104</v>
      </c>
      <c r="C193" s="305"/>
      <c r="D193" s="305"/>
      <c r="E193" s="308"/>
      <c r="F193" s="308" t="s">
        <v>631</v>
      </c>
      <c r="G193" s="1268">
        <f>-IF('II. Inputs, Baseline Energy Mix'!$Q$15&gt;0, 'II. Inputs, Baseline Energy Mix'!$Q$16*'II. Inputs, Baseline Energy Mix'!$Q$17*'II. Inputs, Baseline Energy Mix'!$Q$29,0)</f>
        <v>0</v>
      </c>
      <c r="H193" s="1268" t="e">
        <f t="shared" ref="H193:AM193" si="70">SUM(H186:H192)</f>
        <v>#DIV/0!</v>
      </c>
      <c r="I193" s="1268" t="e">
        <f t="shared" si="70"/>
        <v>#DIV/0!</v>
      </c>
      <c r="J193" s="1268" t="e">
        <f t="shared" si="70"/>
        <v>#DIV/0!</v>
      </c>
      <c r="K193" s="1268" t="e">
        <f t="shared" si="70"/>
        <v>#DIV/0!</v>
      </c>
      <c r="L193" s="1268" t="e">
        <f t="shared" si="70"/>
        <v>#DIV/0!</v>
      </c>
      <c r="M193" s="1268" t="e">
        <f t="shared" si="70"/>
        <v>#DIV/0!</v>
      </c>
      <c r="N193" s="1268" t="e">
        <f t="shared" si="70"/>
        <v>#DIV/0!</v>
      </c>
      <c r="O193" s="1268" t="e">
        <f t="shared" si="70"/>
        <v>#DIV/0!</v>
      </c>
      <c r="P193" s="1268" t="e">
        <f t="shared" si="70"/>
        <v>#DIV/0!</v>
      </c>
      <c r="Q193" s="1268" t="e">
        <f t="shared" si="70"/>
        <v>#DIV/0!</v>
      </c>
      <c r="R193" s="1268" t="e">
        <f t="shared" si="70"/>
        <v>#DIV/0!</v>
      </c>
      <c r="S193" s="1268" t="e">
        <f t="shared" si="70"/>
        <v>#DIV/0!</v>
      </c>
      <c r="T193" s="1268" t="e">
        <f t="shared" si="70"/>
        <v>#DIV/0!</v>
      </c>
      <c r="U193" s="1268" t="e">
        <f t="shared" si="70"/>
        <v>#DIV/0!</v>
      </c>
      <c r="V193" s="1268" t="e">
        <f t="shared" si="70"/>
        <v>#DIV/0!</v>
      </c>
      <c r="W193" s="1268" t="e">
        <f t="shared" si="70"/>
        <v>#DIV/0!</v>
      </c>
      <c r="X193" s="1268" t="e">
        <f t="shared" si="70"/>
        <v>#DIV/0!</v>
      </c>
      <c r="Y193" s="1268" t="e">
        <f t="shared" si="70"/>
        <v>#DIV/0!</v>
      </c>
      <c r="Z193" s="1268" t="e">
        <f t="shared" si="70"/>
        <v>#DIV/0!</v>
      </c>
      <c r="AA193" s="1268" t="e">
        <f t="shared" si="70"/>
        <v>#DIV/0!</v>
      </c>
      <c r="AB193" s="1268" t="e">
        <f t="shared" si="70"/>
        <v>#DIV/0!</v>
      </c>
      <c r="AC193" s="1268" t="e">
        <f t="shared" si="70"/>
        <v>#DIV/0!</v>
      </c>
      <c r="AD193" s="1268" t="e">
        <f t="shared" si="70"/>
        <v>#DIV/0!</v>
      </c>
      <c r="AE193" s="1268" t="e">
        <f t="shared" si="70"/>
        <v>#DIV/0!</v>
      </c>
      <c r="AF193" s="1268" t="e">
        <f t="shared" si="70"/>
        <v>#DIV/0!</v>
      </c>
      <c r="AG193" s="1268" t="e">
        <f t="shared" si="70"/>
        <v>#DIV/0!</v>
      </c>
      <c r="AH193" s="1268" t="e">
        <f t="shared" si="70"/>
        <v>#DIV/0!</v>
      </c>
      <c r="AI193" s="1268" t="e">
        <f t="shared" si="70"/>
        <v>#DIV/0!</v>
      </c>
      <c r="AJ193" s="1268" t="e">
        <f t="shared" si="70"/>
        <v>#DIV/0!</v>
      </c>
      <c r="AK193" s="1268" t="e">
        <f t="shared" si="70"/>
        <v>#DIV/0!</v>
      </c>
      <c r="AL193" s="1268" t="e">
        <f t="shared" si="70"/>
        <v>#DIV/0!</v>
      </c>
      <c r="AM193" s="1268" t="e">
        <f t="shared" si="70"/>
        <v>#DIV/0!</v>
      </c>
      <c r="AN193" s="1268" t="e">
        <f t="shared" ref="AN193:BE193" si="71">SUM(AN186:AN192)</f>
        <v>#DIV/0!</v>
      </c>
      <c r="AO193" s="1268" t="e">
        <f t="shared" si="71"/>
        <v>#DIV/0!</v>
      </c>
      <c r="AP193" s="1268" t="e">
        <f t="shared" si="71"/>
        <v>#DIV/0!</v>
      </c>
      <c r="AQ193" s="1268" t="e">
        <f t="shared" si="71"/>
        <v>#DIV/0!</v>
      </c>
      <c r="AR193" s="1268" t="e">
        <f t="shared" si="71"/>
        <v>#DIV/0!</v>
      </c>
      <c r="AS193" s="1268" t="e">
        <f t="shared" si="71"/>
        <v>#DIV/0!</v>
      </c>
      <c r="AT193" s="1268" t="e">
        <f t="shared" si="71"/>
        <v>#DIV/0!</v>
      </c>
      <c r="AU193" s="1268" t="e">
        <f t="shared" si="71"/>
        <v>#DIV/0!</v>
      </c>
      <c r="AV193" s="1268" t="e">
        <f t="shared" si="71"/>
        <v>#DIV/0!</v>
      </c>
      <c r="AW193" s="1268" t="e">
        <f t="shared" si="71"/>
        <v>#DIV/0!</v>
      </c>
      <c r="AX193" s="1268" t="e">
        <f t="shared" si="71"/>
        <v>#DIV/0!</v>
      </c>
      <c r="AY193" s="1268" t="e">
        <f t="shared" si="71"/>
        <v>#DIV/0!</v>
      </c>
      <c r="AZ193" s="1268" t="e">
        <f t="shared" si="71"/>
        <v>#DIV/0!</v>
      </c>
      <c r="BA193" s="1268" t="e">
        <f t="shared" si="71"/>
        <v>#DIV/0!</v>
      </c>
      <c r="BB193" s="1268" t="e">
        <f t="shared" si="71"/>
        <v>#DIV/0!</v>
      </c>
      <c r="BC193" s="1268" t="e">
        <f t="shared" si="71"/>
        <v>#DIV/0!</v>
      </c>
      <c r="BD193" s="1268" t="e">
        <f t="shared" si="71"/>
        <v>#DIV/0!</v>
      </c>
      <c r="BE193" s="1269" t="e">
        <f t="shared" si="71"/>
        <v>#DIV/0!</v>
      </c>
    </row>
    <row r="194" spans="2:57" x14ac:dyDescent="0.25">
      <c r="B194" s="304"/>
      <c r="C194" s="305"/>
      <c r="D194" s="305"/>
      <c r="E194" s="308"/>
      <c r="F194" s="305"/>
      <c r="G194" s="305"/>
      <c r="H194" s="305"/>
      <c r="I194" s="315"/>
      <c r="J194" s="305"/>
      <c r="K194" s="305"/>
      <c r="L194" s="305"/>
      <c r="M194" s="305"/>
      <c r="N194" s="305"/>
      <c r="O194" s="305"/>
      <c r="P194" s="305"/>
      <c r="Q194" s="305"/>
      <c r="R194" s="305"/>
      <c r="S194" s="305"/>
      <c r="T194" s="305"/>
      <c r="U194" s="305"/>
      <c r="V194" s="305"/>
      <c r="W194" s="305"/>
      <c r="X194" s="305"/>
      <c r="Y194" s="305"/>
      <c r="Z194" s="305"/>
      <c r="AA194" s="305"/>
      <c r="AB194" s="305"/>
      <c r="AC194" s="305"/>
      <c r="AD194" s="305"/>
      <c r="AE194" s="305"/>
      <c r="AF194" s="305"/>
      <c r="AG194" s="305"/>
      <c r="AH194" s="305"/>
      <c r="AI194" s="305"/>
      <c r="AJ194" s="305"/>
      <c r="AK194" s="305"/>
      <c r="AL194" s="305"/>
      <c r="AM194" s="305"/>
      <c r="AN194" s="305"/>
      <c r="AO194" s="305"/>
      <c r="AP194" s="305"/>
      <c r="AQ194" s="305"/>
      <c r="AR194" s="305"/>
      <c r="AS194" s="305"/>
      <c r="AT194" s="305"/>
      <c r="AU194" s="305"/>
      <c r="AV194" s="305"/>
      <c r="AW194" s="305"/>
      <c r="AX194" s="305"/>
      <c r="AY194" s="305"/>
      <c r="AZ194" s="305"/>
      <c r="BA194" s="305"/>
      <c r="BB194" s="305"/>
      <c r="BC194" s="305"/>
      <c r="BD194" s="305"/>
      <c r="BE194" s="306"/>
    </row>
    <row r="195" spans="2:57" x14ac:dyDescent="0.25">
      <c r="B195" s="304" t="s">
        <v>105</v>
      </c>
      <c r="C195" s="305"/>
      <c r="D195" s="305"/>
      <c r="E195" s="308"/>
      <c r="F195" s="305"/>
      <c r="G195" s="1131">
        <f>'II. Inputs, Baseline Energy Mix'!$Q$37</f>
        <v>0</v>
      </c>
      <c r="H195" s="305"/>
      <c r="I195" s="315"/>
      <c r="J195" s="305"/>
      <c r="K195" s="305"/>
      <c r="L195" s="305"/>
      <c r="M195" s="305"/>
      <c r="N195" s="305"/>
      <c r="O195" s="305"/>
      <c r="P195" s="305"/>
      <c r="Q195" s="305"/>
      <c r="R195" s="305"/>
      <c r="S195" s="305"/>
      <c r="T195" s="305"/>
      <c r="U195" s="305"/>
      <c r="V195" s="305"/>
      <c r="W195" s="305"/>
      <c r="X195" s="305"/>
      <c r="Y195" s="305"/>
      <c r="Z195" s="305"/>
      <c r="AA195" s="305"/>
      <c r="AB195" s="305"/>
      <c r="AC195" s="305"/>
      <c r="AD195" s="305"/>
      <c r="AE195" s="305"/>
      <c r="AF195" s="305"/>
      <c r="AG195" s="305"/>
      <c r="AH195" s="305"/>
      <c r="AI195" s="305"/>
      <c r="AJ195" s="305"/>
      <c r="AK195" s="305"/>
      <c r="AL195" s="305"/>
      <c r="AM195" s="305"/>
      <c r="AN195" s="305"/>
      <c r="AO195" s="305"/>
      <c r="AP195" s="305"/>
      <c r="AQ195" s="305"/>
      <c r="AR195" s="305"/>
      <c r="AS195" s="305"/>
      <c r="AT195" s="305"/>
      <c r="AU195" s="305"/>
      <c r="AV195" s="305"/>
      <c r="AW195" s="305"/>
      <c r="AX195" s="305"/>
      <c r="AY195" s="305"/>
      <c r="AZ195" s="305"/>
      <c r="BA195" s="305"/>
      <c r="BB195" s="305"/>
      <c r="BC195" s="305"/>
      <c r="BD195" s="305"/>
      <c r="BE195" s="306"/>
    </row>
    <row r="196" spans="2:57" x14ac:dyDescent="0.25">
      <c r="B196" s="304" t="s">
        <v>106</v>
      </c>
      <c r="C196" s="305"/>
      <c r="D196" s="305"/>
      <c r="E196" s="308"/>
      <c r="F196" s="305"/>
      <c r="G196" s="1274" t="e">
        <f>IF(G195="NA", "NA", NPV(G195,H193:BE193)+G193)</f>
        <v>#DIV/0!</v>
      </c>
      <c r="H196" s="305"/>
      <c r="I196" s="315"/>
      <c r="J196" s="305"/>
      <c r="K196" s="305"/>
      <c r="L196" s="305"/>
      <c r="M196" s="305"/>
      <c r="N196" s="305"/>
      <c r="O196" s="305"/>
      <c r="P196" s="305"/>
      <c r="Q196" s="305"/>
      <c r="R196" s="305"/>
      <c r="S196" s="305"/>
      <c r="T196" s="305"/>
      <c r="U196" s="305"/>
      <c r="V196" s="305"/>
      <c r="W196" s="305"/>
      <c r="X196" s="305"/>
      <c r="Y196" s="305"/>
      <c r="Z196" s="305"/>
      <c r="AA196" s="305"/>
      <c r="AB196" s="305"/>
      <c r="AC196" s="305"/>
      <c r="AD196" s="305"/>
      <c r="AE196" s="305"/>
      <c r="AF196" s="305"/>
      <c r="AG196" s="305"/>
      <c r="AH196" s="305"/>
      <c r="AI196" s="305"/>
      <c r="AJ196" s="305"/>
      <c r="AK196" s="305"/>
      <c r="AL196" s="305"/>
      <c r="AM196" s="305"/>
      <c r="AN196" s="305"/>
      <c r="AO196" s="305"/>
      <c r="AP196" s="305"/>
      <c r="AQ196" s="305"/>
      <c r="AR196" s="305"/>
      <c r="AS196" s="305"/>
      <c r="AT196" s="305"/>
      <c r="AU196" s="305"/>
      <c r="AV196" s="305"/>
      <c r="AW196" s="305"/>
      <c r="AX196" s="305"/>
      <c r="AY196" s="305"/>
      <c r="AZ196" s="305"/>
      <c r="BA196" s="305"/>
      <c r="BB196" s="305"/>
      <c r="BC196" s="305"/>
      <c r="BD196" s="305"/>
      <c r="BE196" s="306"/>
    </row>
    <row r="197" spans="2:57" x14ac:dyDescent="0.25">
      <c r="B197" s="304" t="s">
        <v>107</v>
      </c>
      <c r="C197" s="305"/>
      <c r="D197" s="305"/>
      <c r="E197" s="308"/>
      <c r="F197" s="305"/>
      <c r="G197" s="1274">
        <f>IF(G195="NA", "NA", -NPV(G195,H160:BE160))</f>
        <v>0</v>
      </c>
      <c r="H197" s="305"/>
      <c r="I197" s="315"/>
      <c r="J197" s="305"/>
      <c r="K197" s="305"/>
      <c r="L197" s="305"/>
      <c r="M197" s="305"/>
      <c r="N197" s="305"/>
      <c r="O197" s="305"/>
      <c r="P197" s="305"/>
      <c r="Q197" s="305"/>
      <c r="R197" s="305"/>
      <c r="S197" s="305"/>
      <c r="T197" s="305"/>
      <c r="U197" s="305"/>
      <c r="V197" s="305"/>
      <c r="W197" s="305"/>
      <c r="X197" s="305"/>
      <c r="Y197" s="305"/>
      <c r="Z197" s="305"/>
      <c r="AA197" s="305"/>
      <c r="AB197" s="305"/>
      <c r="AC197" s="305"/>
      <c r="AD197" s="305"/>
      <c r="AE197" s="305"/>
      <c r="AF197" s="305"/>
      <c r="AG197" s="305"/>
      <c r="AH197" s="305"/>
      <c r="AI197" s="305"/>
      <c r="AJ197" s="305"/>
      <c r="AK197" s="305"/>
      <c r="AL197" s="305"/>
      <c r="AM197" s="305"/>
      <c r="AN197" s="305"/>
      <c r="AO197" s="305"/>
      <c r="AP197" s="305"/>
      <c r="AQ197" s="305"/>
      <c r="AR197" s="305"/>
      <c r="AS197" s="305"/>
      <c r="AT197" s="305"/>
      <c r="AU197" s="305"/>
      <c r="AV197" s="305"/>
      <c r="AW197" s="305"/>
      <c r="AX197" s="305"/>
      <c r="AY197" s="305"/>
      <c r="AZ197" s="305"/>
      <c r="BA197" s="305"/>
      <c r="BB197" s="305"/>
      <c r="BC197" s="305"/>
      <c r="BD197" s="305"/>
      <c r="BE197" s="306"/>
    </row>
    <row r="198" spans="2:57" ht="13.8" thickBot="1" x14ac:dyDescent="0.3">
      <c r="B198" s="304" t="s">
        <v>108</v>
      </c>
      <c r="C198" s="305"/>
      <c r="D198" s="305"/>
      <c r="E198" s="308"/>
      <c r="F198" s="308" t="s">
        <v>633</v>
      </c>
      <c r="G198" s="1275" t="str">
        <f>IF(OR(G197=0,G195="NA"), "NA", G196/G197)</f>
        <v>NA</v>
      </c>
      <c r="H198" s="305"/>
      <c r="I198" s="315"/>
      <c r="J198" s="305"/>
      <c r="K198" s="305"/>
      <c r="L198" s="305"/>
      <c r="M198" s="305"/>
      <c r="N198" s="305"/>
      <c r="O198" s="305"/>
      <c r="P198" s="305"/>
      <c r="Q198" s="305"/>
      <c r="R198" s="305"/>
      <c r="S198" s="305"/>
      <c r="T198" s="305"/>
      <c r="U198" s="305"/>
      <c r="V198" s="305"/>
      <c r="W198" s="305"/>
      <c r="X198" s="305"/>
      <c r="Y198" s="305"/>
      <c r="Z198" s="305"/>
      <c r="AA198" s="305"/>
      <c r="AB198" s="305"/>
      <c r="AC198" s="305"/>
      <c r="AD198" s="305"/>
      <c r="AE198" s="305"/>
      <c r="AF198" s="305"/>
      <c r="AG198" s="305"/>
      <c r="AH198" s="305"/>
      <c r="AI198" s="305"/>
      <c r="AJ198" s="305"/>
      <c r="AK198" s="305"/>
      <c r="AL198" s="305"/>
      <c r="AM198" s="305"/>
      <c r="AN198" s="305"/>
      <c r="AO198" s="305"/>
      <c r="AP198" s="305"/>
      <c r="AQ198" s="305"/>
      <c r="AR198" s="305"/>
      <c r="AS198" s="305"/>
      <c r="AT198" s="305"/>
      <c r="AU198" s="305"/>
      <c r="AV198" s="305"/>
      <c r="AW198" s="305"/>
      <c r="AX198" s="305"/>
      <c r="AY198" s="305"/>
      <c r="AZ198" s="305"/>
      <c r="BA198" s="305"/>
      <c r="BB198" s="305"/>
      <c r="BC198" s="305"/>
      <c r="BD198" s="305"/>
      <c r="BE198" s="306"/>
    </row>
    <row r="199" spans="2:57" ht="13.8" thickBot="1" x14ac:dyDescent="0.3">
      <c r="B199" s="318" t="s">
        <v>109</v>
      </c>
      <c r="C199" s="319"/>
      <c r="D199" s="319"/>
      <c r="E199" s="320"/>
      <c r="F199" s="320" t="s">
        <v>632</v>
      </c>
      <c r="G199" s="1276" t="str">
        <f>IF(G198="NA", "NA", $G$198/(1-'II. Inputs, Baseline Energy Mix'!$Q$19))</f>
        <v>NA</v>
      </c>
      <c r="H199" s="305"/>
      <c r="I199" s="315"/>
      <c r="J199" s="305"/>
      <c r="K199" s="305"/>
      <c r="L199" s="305"/>
      <c r="M199" s="305"/>
      <c r="N199" s="305"/>
      <c r="O199" s="305"/>
      <c r="P199" s="305"/>
      <c r="Q199" s="305"/>
      <c r="R199" s="305"/>
      <c r="S199" s="305"/>
      <c r="T199" s="305"/>
      <c r="U199" s="305"/>
      <c r="V199" s="305"/>
      <c r="W199" s="305"/>
      <c r="X199" s="305"/>
      <c r="Y199" s="305"/>
      <c r="Z199" s="305"/>
      <c r="AA199" s="305"/>
      <c r="AB199" s="305"/>
      <c r="AC199" s="305"/>
      <c r="AD199" s="305"/>
      <c r="AE199" s="305"/>
      <c r="AF199" s="305"/>
      <c r="AG199" s="305"/>
      <c r="AH199" s="305"/>
      <c r="AI199" s="305"/>
      <c r="AJ199" s="305"/>
      <c r="AK199" s="305"/>
      <c r="AL199" s="305"/>
      <c r="AM199" s="305"/>
      <c r="AN199" s="305"/>
      <c r="AO199" s="305"/>
      <c r="AP199" s="305"/>
      <c r="AQ199" s="305"/>
      <c r="AR199" s="305"/>
      <c r="AS199" s="305"/>
      <c r="AT199" s="305"/>
      <c r="AU199" s="305"/>
      <c r="AV199" s="305"/>
      <c r="AW199" s="305"/>
      <c r="AX199" s="305"/>
      <c r="AY199" s="305"/>
      <c r="AZ199" s="305"/>
      <c r="BA199" s="305"/>
      <c r="BB199" s="305"/>
      <c r="BC199" s="305"/>
      <c r="BD199" s="305"/>
      <c r="BE199" s="306"/>
    </row>
    <row r="200" spans="2:57" ht="13.8" thickBot="1" x14ac:dyDescent="0.3">
      <c r="B200" s="321"/>
      <c r="C200" s="322"/>
      <c r="D200" s="322"/>
      <c r="E200" s="323"/>
      <c r="F200" s="323"/>
      <c r="G200" s="324"/>
      <c r="H200" s="325"/>
      <c r="I200" s="326"/>
      <c r="J200" s="325"/>
      <c r="K200" s="325"/>
      <c r="L200" s="325"/>
      <c r="M200" s="325"/>
      <c r="N200" s="325"/>
      <c r="O200" s="325"/>
      <c r="P200" s="325"/>
      <c r="Q200" s="325"/>
      <c r="R200" s="325"/>
      <c r="S200" s="325"/>
      <c r="T200" s="325"/>
      <c r="U200" s="325"/>
      <c r="V200" s="325"/>
      <c r="W200" s="325"/>
      <c r="X200" s="325"/>
      <c r="Y200" s="325"/>
      <c r="Z200" s="325"/>
      <c r="AA200" s="325"/>
      <c r="AB200" s="325"/>
      <c r="AC200" s="325"/>
      <c r="AD200" s="325"/>
      <c r="AE200" s="325"/>
      <c r="AF200" s="325"/>
      <c r="AG200" s="325"/>
      <c r="AH200" s="325"/>
      <c r="AI200" s="325"/>
      <c r="AJ200" s="325"/>
      <c r="AK200" s="325"/>
      <c r="AL200" s="325"/>
      <c r="AM200" s="325"/>
      <c r="AN200" s="325"/>
      <c r="AO200" s="325"/>
      <c r="AP200" s="325"/>
      <c r="AQ200" s="325"/>
      <c r="AR200" s="325"/>
      <c r="AS200" s="325"/>
      <c r="AT200" s="325"/>
      <c r="AU200" s="325"/>
      <c r="AV200" s="325"/>
      <c r="AW200" s="325"/>
      <c r="AX200" s="325"/>
      <c r="AY200" s="325"/>
      <c r="AZ200" s="325"/>
      <c r="BA200" s="325"/>
      <c r="BB200" s="325"/>
      <c r="BC200" s="325"/>
      <c r="BD200" s="325"/>
      <c r="BE200" s="327"/>
    </row>
    <row r="201" spans="2:57" x14ac:dyDescent="0.25">
      <c r="B201" s="43"/>
      <c r="C201" s="43"/>
      <c r="D201" s="43"/>
      <c r="E201" s="208"/>
      <c r="F201" s="208"/>
      <c r="G201" s="328"/>
      <c r="I201" s="250"/>
    </row>
    <row r="202" spans="2:57" x14ac:dyDescent="0.25">
      <c r="B202" s="214" t="s">
        <v>58</v>
      </c>
      <c r="C202" s="215"/>
      <c r="D202" s="215"/>
      <c r="E202" s="216"/>
      <c r="F202" s="215"/>
      <c r="G202" s="216">
        <v>0</v>
      </c>
      <c r="H202" s="216">
        <v>1</v>
      </c>
      <c r="I202" s="216">
        <v>2</v>
      </c>
      <c r="J202" s="216">
        <v>3</v>
      </c>
      <c r="K202" s="216">
        <v>4</v>
      </c>
      <c r="L202" s="216">
        <v>5</v>
      </c>
      <c r="M202" s="216">
        <v>6</v>
      </c>
      <c r="N202" s="216">
        <v>7</v>
      </c>
      <c r="O202" s="216">
        <v>8</v>
      </c>
      <c r="P202" s="216">
        <v>9</v>
      </c>
      <c r="Q202" s="216">
        <v>10</v>
      </c>
      <c r="R202" s="216">
        <v>11</v>
      </c>
      <c r="S202" s="216">
        <v>12</v>
      </c>
      <c r="T202" s="216">
        <v>13</v>
      </c>
      <c r="U202" s="216">
        <v>14</v>
      </c>
      <c r="V202" s="216">
        <v>15</v>
      </c>
      <c r="W202" s="216">
        <v>16</v>
      </c>
      <c r="X202" s="216">
        <v>17</v>
      </c>
      <c r="Y202" s="216">
        <v>18</v>
      </c>
      <c r="Z202" s="216">
        <v>19</v>
      </c>
      <c r="AA202" s="216">
        <v>20</v>
      </c>
      <c r="AB202" s="216">
        <v>21</v>
      </c>
      <c r="AC202" s="216">
        <v>22</v>
      </c>
      <c r="AD202" s="216">
        <v>23</v>
      </c>
      <c r="AE202" s="216">
        <v>24</v>
      </c>
      <c r="AF202" s="216">
        <v>25</v>
      </c>
      <c r="AG202" s="216">
        <v>26</v>
      </c>
      <c r="AH202" s="216">
        <v>27</v>
      </c>
      <c r="AI202" s="216">
        <v>28</v>
      </c>
      <c r="AJ202" s="216">
        <v>29</v>
      </c>
      <c r="AK202" s="216">
        <v>30</v>
      </c>
      <c r="AL202" s="216">
        <v>31</v>
      </c>
      <c r="AM202" s="216">
        <v>32</v>
      </c>
      <c r="AN202" s="216">
        <v>33</v>
      </c>
      <c r="AO202" s="216">
        <v>34</v>
      </c>
      <c r="AP202" s="216">
        <v>35</v>
      </c>
      <c r="AQ202" s="216">
        <v>36</v>
      </c>
      <c r="AR202" s="216">
        <v>37</v>
      </c>
      <c r="AS202" s="216">
        <v>38</v>
      </c>
      <c r="AT202" s="216">
        <v>39</v>
      </c>
      <c r="AU202" s="216">
        <v>40</v>
      </c>
      <c r="AV202" s="216">
        <v>41</v>
      </c>
      <c r="AW202" s="216">
        <v>42</v>
      </c>
      <c r="AX202" s="216">
        <v>43</v>
      </c>
      <c r="AY202" s="216">
        <v>44</v>
      </c>
      <c r="AZ202" s="216">
        <v>45</v>
      </c>
      <c r="BA202" s="216">
        <v>46</v>
      </c>
      <c r="BB202" s="216">
        <v>47</v>
      </c>
      <c r="BC202" s="216">
        <v>48</v>
      </c>
      <c r="BD202" s="216">
        <v>49</v>
      </c>
      <c r="BE202" s="216">
        <v>50</v>
      </c>
    </row>
    <row r="203" spans="2:57" ht="13.8" thickBot="1" x14ac:dyDescent="0.3">
      <c r="B203" s="1070"/>
      <c r="C203" s="43"/>
      <c r="D203" s="43"/>
      <c r="E203" s="208"/>
      <c r="F203" s="43"/>
      <c r="G203" s="208"/>
      <c r="H203" s="208"/>
      <c r="I203" s="208"/>
      <c r="J203" s="208"/>
      <c r="K203" s="208"/>
      <c r="L203" s="208"/>
      <c r="M203" s="208"/>
      <c r="N203" s="208"/>
      <c r="O203" s="208"/>
      <c r="P203" s="208"/>
      <c r="Q203" s="208"/>
      <c r="R203" s="208"/>
      <c r="S203" s="208"/>
      <c r="T203" s="208"/>
      <c r="U203" s="208"/>
      <c r="V203" s="208"/>
      <c r="W203" s="208"/>
      <c r="X203" s="208"/>
      <c r="Y203" s="208"/>
      <c r="Z203" s="208"/>
      <c r="AA203" s="208"/>
      <c r="AB203" s="208"/>
      <c r="AC203" s="208"/>
      <c r="AD203" s="208"/>
      <c r="AE203" s="208"/>
      <c r="AF203" s="208"/>
      <c r="AG203" s="208"/>
      <c r="AH203" s="208"/>
      <c r="AI203" s="208"/>
      <c r="AJ203" s="208"/>
      <c r="AK203" s="208"/>
      <c r="AL203" s="208"/>
      <c r="AM203" s="208"/>
      <c r="AN203" s="208"/>
      <c r="AO203" s="208"/>
      <c r="AP203" s="208"/>
      <c r="AQ203" s="208"/>
      <c r="AR203" s="208"/>
      <c r="AS203" s="208"/>
      <c r="AT203" s="208"/>
      <c r="AU203" s="208"/>
      <c r="AV203" s="208"/>
      <c r="AW203" s="208"/>
      <c r="AX203" s="208"/>
      <c r="AY203" s="208"/>
      <c r="AZ203" s="208"/>
      <c r="BA203" s="208"/>
      <c r="BB203" s="208"/>
      <c r="BC203" s="208"/>
      <c r="BD203" s="208"/>
      <c r="BE203" s="208"/>
    </row>
    <row r="204" spans="2:57" s="36" customFormat="1" x14ac:dyDescent="0.25">
      <c r="B204" s="329" t="s">
        <v>167</v>
      </c>
      <c r="C204" s="330"/>
      <c r="D204" s="330"/>
      <c r="E204" s="330"/>
      <c r="F204" s="330"/>
      <c r="G204" s="330"/>
      <c r="H204" s="330"/>
      <c r="I204" s="330"/>
      <c r="J204" s="330"/>
      <c r="K204" s="330"/>
      <c r="L204" s="330"/>
      <c r="M204" s="330"/>
      <c r="N204" s="330"/>
      <c r="O204" s="330"/>
      <c r="P204" s="330"/>
      <c r="Q204" s="330"/>
      <c r="R204" s="330"/>
      <c r="S204" s="330"/>
      <c r="T204" s="330"/>
      <c r="U204" s="330"/>
      <c r="V204" s="330"/>
      <c r="W204" s="330"/>
      <c r="X204" s="330"/>
      <c r="Y204" s="330"/>
      <c r="Z204" s="330"/>
      <c r="AA204" s="330"/>
      <c r="AB204" s="330"/>
      <c r="AC204" s="330"/>
      <c r="AD204" s="330"/>
      <c r="AE204" s="330"/>
      <c r="AF204" s="330"/>
      <c r="AG204" s="330"/>
      <c r="AH204" s="330"/>
      <c r="AI204" s="330"/>
      <c r="AJ204" s="330"/>
      <c r="AK204" s="330"/>
      <c r="AL204" s="330"/>
      <c r="AM204" s="330"/>
      <c r="AN204" s="330"/>
      <c r="AO204" s="330"/>
      <c r="AP204" s="330"/>
      <c r="AQ204" s="330"/>
      <c r="AR204" s="330"/>
      <c r="AS204" s="330"/>
      <c r="AT204" s="330"/>
      <c r="AU204" s="330"/>
      <c r="AV204" s="330"/>
      <c r="AW204" s="330"/>
      <c r="AX204" s="330"/>
      <c r="AY204" s="330"/>
      <c r="AZ204" s="330"/>
      <c r="BA204" s="330"/>
      <c r="BB204" s="330"/>
      <c r="BC204" s="330"/>
      <c r="BD204" s="330"/>
      <c r="BE204" s="331"/>
    </row>
    <row r="205" spans="2:57" x14ac:dyDescent="0.25">
      <c r="B205" s="332"/>
      <c r="C205" s="333"/>
      <c r="D205" s="333"/>
      <c r="E205" s="333"/>
      <c r="F205" s="333"/>
      <c r="G205" s="333"/>
      <c r="H205" s="333"/>
      <c r="I205" s="333"/>
      <c r="J205" s="333"/>
      <c r="K205" s="333"/>
      <c r="L205" s="333"/>
      <c r="M205" s="333"/>
      <c r="N205" s="333"/>
      <c r="O205" s="333"/>
      <c r="P205" s="333"/>
      <c r="Q205" s="333"/>
      <c r="R205" s="333"/>
      <c r="S205" s="333"/>
      <c r="T205" s="333"/>
      <c r="U205" s="333"/>
      <c r="V205" s="333"/>
      <c r="W205" s="333"/>
      <c r="X205" s="333"/>
      <c r="Y205" s="333"/>
      <c r="Z205" s="333"/>
      <c r="AA205" s="333"/>
      <c r="AB205" s="333"/>
      <c r="AC205" s="333"/>
      <c r="AD205" s="333"/>
      <c r="AE205" s="333"/>
      <c r="AF205" s="333"/>
      <c r="AG205" s="333"/>
      <c r="AH205" s="333"/>
      <c r="AI205" s="333"/>
      <c r="AJ205" s="333"/>
      <c r="AK205" s="333"/>
      <c r="AL205" s="333"/>
      <c r="AM205" s="333"/>
      <c r="AN205" s="333"/>
      <c r="AO205" s="333"/>
      <c r="AP205" s="333"/>
      <c r="AQ205" s="333"/>
      <c r="AR205" s="333"/>
      <c r="AS205" s="333"/>
      <c r="AT205" s="333"/>
      <c r="AU205" s="333"/>
      <c r="AV205" s="333"/>
      <c r="AW205" s="333"/>
      <c r="AX205" s="333"/>
      <c r="AY205" s="333"/>
      <c r="AZ205" s="333"/>
      <c r="BA205" s="333"/>
      <c r="BB205" s="333"/>
      <c r="BC205" s="333"/>
      <c r="BD205" s="333"/>
      <c r="BE205" s="334"/>
    </row>
    <row r="206" spans="2:57" x14ac:dyDescent="0.25">
      <c r="B206" s="332" t="s">
        <v>136</v>
      </c>
      <c r="C206" s="333"/>
      <c r="D206" s="333"/>
      <c r="E206" s="333"/>
      <c r="F206" s="333"/>
      <c r="G206" s="333"/>
      <c r="H206" s="335">
        <f>IF(H$13&gt;'II. Inputs, Baseline Energy Mix'!$R$18,0,1)</f>
        <v>0</v>
      </c>
      <c r="I206" s="333">
        <f>IF(I$13&gt;'II. Inputs, Baseline Energy Mix'!$R$18,0,1)</f>
        <v>0</v>
      </c>
      <c r="J206" s="333">
        <f>IF(J$13&gt;'II. Inputs, Baseline Energy Mix'!$R$18,0,1)</f>
        <v>0</v>
      </c>
      <c r="K206" s="333">
        <f>IF(K$13&gt;'II. Inputs, Baseline Energy Mix'!$R$18,0,1)</f>
        <v>0</v>
      </c>
      <c r="L206" s="333">
        <f>IF(L$13&gt;'II. Inputs, Baseline Energy Mix'!$R$18,0,1)</f>
        <v>0</v>
      </c>
      <c r="M206" s="333">
        <f>IF(M$13&gt;'II. Inputs, Baseline Energy Mix'!$R$18,0,1)</f>
        <v>0</v>
      </c>
      <c r="N206" s="333">
        <f>IF(N$13&gt;'II. Inputs, Baseline Energy Mix'!$R$18,0,1)</f>
        <v>0</v>
      </c>
      <c r="O206" s="333">
        <f>IF(O$13&gt;'II. Inputs, Baseline Energy Mix'!$R$18,0,1)</f>
        <v>0</v>
      </c>
      <c r="P206" s="333">
        <f>IF(P$13&gt;'II. Inputs, Baseline Energy Mix'!$R$18,0,1)</f>
        <v>0</v>
      </c>
      <c r="Q206" s="333">
        <f>IF(Q$13&gt;'II. Inputs, Baseline Energy Mix'!$R$18,0,1)</f>
        <v>0</v>
      </c>
      <c r="R206" s="333">
        <f>IF(R$13&gt;'II. Inputs, Baseline Energy Mix'!$R$18,0,1)</f>
        <v>0</v>
      </c>
      <c r="S206" s="333">
        <f>IF(S$13&gt;'II. Inputs, Baseline Energy Mix'!$R$18,0,1)</f>
        <v>0</v>
      </c>
      <c r="T206" s="333">
        <f>IF(T$13&gt;'II. Inputs, Baseline Energy Mix'!$R$18,0,1)</f>
        <v>0</v>
      </c>
      <c r="U206" s="333">
        <f>IF(U$13&gt;'II. Inputs, Baseline Energy Mix'!$R$18,0,1)</f>
        <v>0</v>
      </c>
      <c r="V206" s="333">
        <f>IF(V$13&gt;'II. Inputs, Baseline Energy Mix'!$R$18,0,1)</f>
        <v>0</v>
      </c>
      <c r="W206" s="333">
        <f>IF(W$13&gt;'II. Inputs, Baseline Energy Mix'!$R$18,0,1)</f>
        <v>0</v>
      </c>
      <c r="X206" s="333">
        <f>IF(X$13&gt;'II. Inputs, Baseline Energy Mix'!$R$18,0,1)</f>
        <v>0</v>
      </c>
      <c r="Y206" s="333">
        <f>IF(Y$13&gt;'II. Inputs, Baseline Energy Mix'!$R$18,0,1)</f>
        <v>0</v>
      </c>
      <c r="Z206" s="333">
        <f>IF(Z$13&gt;'II. Inputs, Baseline Energy Mix'!$R$18,0,1)</f>
        <v>0</v>
      </c>
      <c r="AA206" s="333">
        <f>IF(AA$13&gt;'II. Inputs, Baseline Energy Mix'!$R$18,0,1)</f>
        <v>0</v>
      </c>
      <c r="AB206" s="333">
        <f>IF(AB$13&gt;'II. Inputs, Baseline Energy Mix'!$R$18,0,1)</f>
        <v>0</v>
      </c>
      <c r="AC206" s="333">
        <f>IF(AC$13&gt;'II. Inputs, Baseline Energy Mix'!$R$18,0,1)</f>
        <v>0</v>
      </c>
      <c r="AD206" s="333">
        <f>IF(AD$13&gt;'II. Inputs, Baseline Energy Mix'!$R$18,0,1)</f>
        <v>0</v>
      </c>
      <c r="AE206" s="333">
        <f>IF(AE$13&gt;'II. Inputs, Baseline Energy Mix'!$R$18,0,1)</f>
        <v>0</v>
      </c>
      <c r="AF206" s="333">
        <f>IF(AF$13&gt;'II. Inputs, Baseline Energy Mix'!$R$18,0,1)</f>
        <v>0</v>
      </c>
      <c r="AG206" s="333">
        <f>IF(AG$13&gt;'II. Inputs, Baseline Energy Mix'!$R$18,0,1)</f>
        <v>0</v>
      </c>
      <c r="AH206" s="333">
        <f>IF(AH$13&gt;'II. Inputs, Baseline Energy Mix'!$R$18,0,1)</f>
        <v>0</v>
      </c>
      <c r="AI206" s="333">
        <f>IF(AI$13&gt;'II. Inputs, Baseline Energy Mix'!$R$18,0,1)</f>
        <v>0</v>
      </c>
      <c r="AJ206" s="333">
        <f>IF(AJ$13&gt;'II. Inputs, Baseline Energy Mix'!$R$18,0,1)</f>
        <v>0</v>
      </c>
      <c r="AK206" s="333">
        <f>IF(AK$13&gt;'II. Inputs, Baseline Energy Mix'!$R$18,0,1)</f>
        <v>0</v>
      </c>
      <c r="AL206" s="333">
        <f>IF(AL$13&gt;'II. Inputs, Baseline Energy Mix'!$R$18,0,1)</f>
        <v>0</v>
      </c>
      <c r="AM206" s="333">
        <f>IF(AM$13&gt;'II. Inputs, Baseline Energy Mix'!$R$18,0,1)</f>
        <v>0</v>
      </c>
      <c r="AN206" s="333">
        <f>IF(AN$13&gt;'II. Inputs, Baseline Energy Mix'!$R$18,0,1)</f>
        <v>0</v>
      </c>
      <c r="AO206" s="333">
        <f>IF(AO$13&gt;'II. Inputs, Baseline Energy Mix'!$R$18,0,1)</f>
        <v>0</v>
      </c>
      <c r="AP206" s="333">
        <f>IF(AP$13&gt;'II. Inputs, Baseline Energy Mix'!$R$18,0,1)</f>
        <v>0</v>
      </c>
      <c r="AQ206" s="333">
        <f>IF(AQ$13&gt;'II. Inputs, Baseline Energy Mix'!$R$18,0,1)</f>
        <v>0</v>
      </c>
      <c r="AR206" s="333">
        <f>IF(AR$13&gt;'II. Inputs, Baseline Energy Mix'!$R$18,0,1)</f>
        <v>0</v>
      </c>
      <c r="AS206" s="333">
        <f>IF(AS$13&gt;'II. Inputs, Baseline Energy Mix'!$R$18,0,1)</f>
        <v>0</v>
      </c>
      <c r="AT206" s="333">
        <f>IF(AT$13&gt;'II. Inputs, Baseline Energy Mix'!$R$18,0,1)</f>
        <v>0</v>
      </c>
      <c r="AU206" s="333">
        <f>IF(AU$13&gt;'II. Inputs, Baseline Energy Mix'!$R$18,0,1)</f>
        <v>0</v>
      </c>
      <c r="AV206" s="333">
        <f>IF(AV$13&gt;'II. Inputs, Baseline Energy Mix'!$R$18,0,1)</f>
        <v>0</v>
      </c>
      <c r="AW206" s="333">
        <f>IF(AW$13&gt;'II. Inputs, Baseline Energy Mix'!$R$18,0,1)</f>
        <v>0</v>
      </c>
      <c r="AX206" s="333">
        <f>IF(AX$13&gt;'II. Inputs, Baseline Energy Mix'!$R$18,0,1)</f>
        <v>0</v>
      </c>
      <c r="AY206" s="333">
        <f>IF(AY$13&gt;'II. Inputs, Baseline Energy Mix'!$R$18,0,1)</f>
        <v>0</v>
      </c>
      <c r="AZ206" s="333">
        <f>IF(AZ$13&gt;'II. Inputs, Baseline Energy Mix'!$R$18,0,1)</f>
        <v>0</v>
      </c>
      <c r="BA206" s="333">
        <f>IF(BA$13&gt;'II. Inputs, Baseline Energy Mix'!$R$18,0,1)</f>
        <v>0</v>
      </c>
      <c r="BB206" s="333">
        <f>IF(BB$13&gt;'II. Inputs, Baseline Energy Mix'!$R$18,0,1)</f>
        <v>0</v>
      </c>
      <c r="BC206" s="333">
        <f>IF(BC$13&gt;'II. Inputs, Baseline Energy Mix'!$R$18,0,1)</f>
        <v>0</v>
      </c>
      <c r="BD206" s="333">
        <f>IF(BD$13&gt;'II. Inputs, Baseline Energy Mix'!$R$18,0,1)</f>
        <v>0</v>
      </c>
      <c r="BE206" s="334">
        <f>IF(BE$13&gt;'II. Inputs, Baseline Energy Mix'!$R$18,0,1)</f>
        <v>0</v>
      </c>
    </row>
    <row r="207" spans="2:57" x14ac:dyDescent="0.25">
      <c r="B207" s="332"/>
      <c r="C207" s="333"/>
      <c r="D207" s="333"/>
      <c r="E207" s="333"/>
      <c r="F207" s="333"/>
      <c r="G207" s="333"/>
      <c r="H207" s="335"/>
      <c r="I207" s="333"/>
      <c r="J207" s="333"/>
      <c r="K207" s="333"/>
      <c r="L207" s="333"/>
      <c r="M207" s="333"/>
      <c r="N207" s="333"/>
      <c r="O207" s="333"/>
      <c r="P207" s="333"/>
      <c r="Q207" s="333"/>
      <c r="R207" s="333"/>
      <c r="S207" s="333"/>
      <c r="T207" s="333"/>
      <c r="U207" s="333"/>
      <c r="V207" s="333"/>
      <c r="W207" s="333"/>
      <c r="X207" s="333"/>
      <c r="Y207" s="333"/>
      <c r="Z207" s="333"/>
      <c r="AA207" s="333"/>
      <c r="AB207" s="333"/>
      <c r="AC207" s="333"/>
      <c r="AD207" s="333"/>
      <c r="AE207" s="333"/>
      <c r="AF207" s="333"/>
      <c r="AG207" s="333"/>
      <c r="AH207" s="333"/>
      <c r="AI207" s="333"/>
      <c r="AJ207" s="333"/>
      <c r="AK207" s="333"/>
      <c r="AL207" s="333"/>
      <c r="AM207" s="333"/>
      <c r="AN207" s="333"/>
      <c r="AO207" s="333"/>
      <c r="AP207" s="333"/>
      <c r="AQ207" s="333"/>
      <c r="AR207" s="333"/>
      <c r="AS207" s="333"/>
      <c r="AT207" s="333"/>
      <c r="AU207" s="333"/>
      <c r="AV207" s="333"/>
      <c r="AW207" s="333"/>
      <c r="AX207" s="333"/>
      <c r="AY207" s="333"/>
      <c r="AZ207" s="333"/>
      <c r="BA207" s="333"/>
      <c r="BB207" s="333"/>
      <c r="BC207" s="333"/>
      <c r="BD207" s="333"/>
      <c r="BE207" s="334"/>
    </row>
    <row r="208" spans="2:57" x14ac:dyDescent="0.25">
      <c r="B208" s="332" t="s">
        <v>97</v>
      </c>
      <c r="C208" s="333"/>
      <c r="D208" s="333"/>
      <c r="E208" s="333"/>
      <c r="F208" s="336" t="s">
        <v>98</v>
      </c>
      <c r="G208" s="333"/>
      <c r="H208" s="337">
        <f>IF('II. Inputs, Baseline Energy Mix'!$R$15=0,0,'II. Inputs, Baseline Energy Mix'!$R$92*'II. Inputs, Baseline Energy Mix'!$R$16*H206)</f>
        <v>0</v>
      </c>
      <c r="I208" s="337">
        <f>IF('II. Inputs, Baseline Energy Mix'!$R$15=0,0,'II. Inputs, Baseline Energy Mix'!$R$92*'II. Inputs, Baseline Energy Mix'!$R$16*I206)</f>
        <v>0</v>
      </c>
      <c r="J208" s="337">
        <f>IF('II. Inputs, Baseline Energy Mix'!$R$15=0,0,'II. Inputs, Baseline Energy Mix'!$R$92*'II. Inputs, Baseline Energy Mix'!$R$16*J206)</f>
        <v>0</v>
      </c>
      <c r="K208" s="337">
        <f>IF('II. Inputs, Baseline Energy Mix'!$R$15=0,0,'II. Inputs, Baseline Energy Mix'!$R$92*'II. Inputs, Baseline Energy Mix'!$R$16*K206)</f>
        <v>0</v>
      </c>
      <c r="L208" s="337">
        <f>IF('II. Inputs, Baseline Energy Mix'!$R$15=0,0,'II. Inputs, Baseline Energy Mix'!$R$92*'II. Inputs, Baseline Energy Mix'!$R$16*L206)</f>
        <v>0</v>
      </c>
      <c r="M208" s="337">
        <f>IF('II. Inputs, Baseline Energy Mix'!$R$15=0,0,'II. Inputs, Baseline Energy Mix'!$R$92*'II. Inputs, Baseline Energy Mix'!$R$16*M206)</f>
        <v>0</v>
      </c>
      <c r="N208" s="337">
        <f>IF('II. Inputs, Baseline Energy Mix'!$R$15=0,0,'II. Inputs, Baseline Energy Mix'!$R$92*'II. Inputs, Baseline Energy Mix'!$R$16*N206)</f>
        <v>0</v>
      </c>
      <c r="O208" s="337">
        <f>IF('II. Inputs, Baseline Energy Mix'!$R$15=0,0,'II. Inputs, Baseline Energy Mix'!$R$92*'II. Inputs, Baseline Energy Mix'!$R$16*O206)</f>
        <v>0</v>
      </c>
      <c r="P208" s="337">
        <f>IF('II. Inputs, Baseline Energy Mix'!$R$15=0,0,'II. Inputs, Baseline Energy Mix'!$R$92*'II. Inputs, Baseline Energy Mix'!$R$16*P206)</f>
        <v>0</v>
      </c>
      <c r="Q208" s="337">
        <f>IF('II. Inputs, Baseline Energy Mix'!$R$15=0,0,'II. Inputs, Baseline Energy Mix'!$R$92*'II. Inputs, Baseline Energy Mix'!$R$16*Q206)</f>
        <v>0</v>
      </c>
      <c r="R208" s="337">
        <f>IF('II. Inputs, Baseline Energy Mix'!$R$15=0,0,'II. Inputs, Baseline Energy Mix'!$R$92*'II. Inputs, Baseline Energy Mix'!$R$16*R206)</f>
        <v>0</v>
      </c>
      <c r="S208" s="337">
        <f>IF('II. Inputs, Baseline Energy Mix'!$R$15=0,0,'II. Inputs, Baseline Energy Mix'!$R$92*'II. Inputs, Baseline Energy Mix'!$R$16*S206)</f>
        <v>0</v>
      </c>
      <c r="T208" s="337">
        <f>IF('II. Inputs, Baseline Energy Mix'!$R$15=0,0,'II. Inputs, Baseline Energy Mix'!$R$92*'II. Inputs, Baseline Energy Mix'!$R$16*T206)</f>
        <v>0</v>
      </c>
      <c r="U208" s="337">
        <f>IF('II. Inputs, Baseline Energy Mix'!$R$15=0,0,'II. Inputs, Baseline Energy Mix'!$R$92*'II. Inputs, Baseline Energy Mix'!$R$16*U206)</f>
        <v>0</v>
      </c>
      <c r="V208" s="337">
        <f>IF('II. Inputs, Baseline Energy Mix'!$R$15=0,0,'II. Inputs, Baseline Energy Mix'!$R$92*'II. Inputs, Baseline Energy Mix'!$R$16*V206)</f>
        <v>0</v>
      </c>
      <c r="W208" s="337">
        <f>IF('II. Inputs, Baseline Energy Mix'!$R$15=0,0,'II. Inputs, Baseline Energy Mix'!$R$92*'II. Inputs, Baseline Energy Mix'!$R$16*W206)</f>
        <v>0</v>
      </c>
      <c r="X208" s="337">
        <f>IF('II. Inputs, Baseline Energy Mix'!$R$15=0,0,'II. Inputs, Baseline Energy Mix'!$R$92*'II. Inputs, Baseline Energy Mix'!$R$16*X206)</f>
        <v>0</v>
      </c>
      <c r="Y208" s="337">
        <f>IF('II. Inputs, Baseline Energy Mix'!$R$15=0,0,'II. Inputs, Baseline Energy Mix'!$R$92*'II. Inputs, Baseline Energy Mix'!$R$16*Y206)</f>
        <v>0</v>
      </c>
      <c r="Z208" s="337">
        <f>IF('II. Inputs, Baseline Energy Mix'!$R$15=0,0,'II. Inputs, Baseline Energy Mix'!$R$92*'II. Inputs, Baseline Energy Mix'!$R$16*Z206)</f>
        <v>0</v>
      </c>
      <c r="AA208" s="337">
        <f>IF('II. Inputs, Baseline Energy Mix'!$R$15=0,0,'II. Inputs, Baseline Energy Mix'!$R$92*'II. Inputs, Baseline Energy Mix'!$R$16*AA206)</f>
        <v>0</v>
      </c>
      <c r="AB208" s="337">
        <f>IF('II. Inputs, Baseline Energy Mix'!$R$15=0,0,'II. Inputs, Baseline Energy Mix'!$R$92*'II. Inputs, Baseline Energy Mix'!$R$16*AB206)</f>
        <v>0</v>
      </c>
      <c r="AC208" s="337">
        <f>IF('II. Inputs, Baseline Energy Mix'!$R$15=0,0,'II. Inputs, Baseline Energy Mix'!$R$92*'II. Inputs, Baseline Energy Mix'!$R$16*AC206)</f>
        <v>0</v>
      </c>
      <c r="AD208" s="337">
        <f>IF('II. Inputs, Baseline Energy Mix'!$R$15=0,0,'II. Inputs, Baseline Energy Mix'!$R$92*'II. Inputs, Baseline Energy Mix'!$R$16*AD206)</f>
        <v>0</v>
      </c>
      <c r="AE208" s="337">
        <f>IF('II. Inputs, Baseline Energy Mix'!$R$15=0,0,'II. Inputs, Baseline Energy Mix'!$R$92*'II. Inputs, Baseline Energy Mix'!$R$16*AE206)</f>
        <v>0</v>
      </c>
      <c r="AF208" s="337">
        <f>IF('II. Inputs, Baseline Energy Mix'!$R$15=0,0,'II. Inputs, Baseline Energy Mix'!$R$92*'II. Inputs, Baseline Energy Mix'!$R$16*AF206)</f>
        <v>0</v>
      </c>
      <c r="AG208" s="337">
        <f>IF('II. Inputs, Baseline Energy Mix'!$R$15=0,0,'II. Inputs, Baseline Energy Mix'!$R$92*'II. Inputs, Baseline Energy Mix'!$R$16*AG206)</f>
        <v>0</v>
      </c>
      <c r="AH208" s="337">
        <f>IF('II. Inputs, Baseline Energy Mix'!$R$15=0,0,'II. Inputs, Baseline Energy Mix'!$R$92*'II. Inputs, Baseline Energy Mix'!$R$16*AH206)</f>
        <v>0</v>
      </c>
      <c r="AI208" s="337">
        <f>IF('II. Inputs, Baseline Energy Mix'!$R$15=0,0,'II. Inputs, Baseline Energy Mix'!$R$92*'II. Inputs, Baseline Energy Mix'!$R$16*AI206)</f>
        <v>0</v>
      </c>
      <c r="AJ208" s="337">
        <f>IF('II. Inputs, Baseline Energy Mix'!$R$15=0,0,'II. Inputs, Baseline Energy Mix'!$R$92*'II. Inputs, Baseline Energy Mix'!$R$16*AJ206)</f>
        <v>0</v>
      </c>
      <c r="AK208" s="337">
        <f>IF('II. Inputs, Baseline Energy Mix'!$R$15=0,0,'II. Inputs, Baseline Energy Mix'!$R$92*'II. Inputs, Baseline Energy Mix'!$R$16*AK206)</f>
        <v>0</v>
      </c>
      <c r="AL208" s="337">
        <f>IF('II. Inputs, Baseline Energy Mix'!$R$15=0,0,'II. Inputs, Baseline Energy Mix'!$R$92*'II. Inputs, Baseline Energy Mix'!$R$16*AL206)</f>
        <v>0</v>
      </c>
      <c r="AM208" s="337">
        <f>IF('II. Inputs, Baseline Energy Mix'!$R$15=0,0,'II. Inputs, Baseline Energy Mix'!$R$92*'II. Inputs, Baseline Energy Mix'!$R$16*AM206)</f>
        <v>0</v>
      </c>
      <c r="AN208" s="337">
        <f>IF('II. Inputs, Baseline Energy Mix'!$R$15=0,0,'II. Inputs, Baseline Energy Mix'!$R$92*'II. Inputs, Baseline Energy Mix'!$R$16*AN206)</f>
        <v>0</v>
      </c>
      <c r="AO208" s="337">
        <f>IF('II. Inputs, Baseline Energy Mix'!$R$15=0,0,'II. Inputs, Baseline Energy Mix'!$R$92*'II. Inputs, Baseline Energy Mix'!$R$16*AO206)</f>
        <v>0</v>
      </c>
      <c r="AP208" s="337">
        <f>IF('II. Inputs, Baseline Energy Mix'!$R$15=0,0,'II. Inputs, Baseline Energy Mix'!$R$92*'II. Inputs, Baseline Energy Mix'!$R$16*AP206)</f>
        <v>0</v>
      </c>
      <c r="AQ208" s="337">
        <f>IF('II. Inputs, Baseline Energy Mix'!$R$15=0,0,'II. Inputs, Baseline Energy Mix'!$R$92*'II. Inputs, Baseline Energy Mix'!$R$16*AQ206)</f>
        <v>0</v>
      </c>
      <c r="AR208" s="337">
        <f>IF('II. Inputs, Baseline Energy Mix'!$R$15=0,0,'II. Inputs, Baseline Energy Mix'!$R$92*'II. Inputs, Baseline Energy Mix'!$R$16*AR206)</f>
        <v>0</v>
      </c>
      <c r="AS208" s="337">
        <f>IF('II. Inputs, Baseline Energy Mix'!$R$15=0,0,'II. Inputs, Baseline Energy Mix'!$R$92*'II. Inputs, Baseline Energy Mix'!$R$16*AS206)</f>
        <v>0</v>
      </c>
      <c r="AT208" s="337">
        <f>IF('II. Inputs, Baseline Energy Mix'!$R$15=0,0,'II. Inputs, Baseline Energy Mix'!$R$92*'II. Inputs, Baseline Energy Mix'!$R$16*AT206)</f>
        <v>0</v>
      </c>
      <c r="AU208" s="337">
        <f>IF('II. Inputs, Baseline Energy Mix'!$R$15=0,0,'II. Inputs, Baseline Energy Mix'!$R$92*'II. Inputs, Baseline Energy Mix'!$R$16*AU206)</f>
        <v>0</v>
      </c>
      <c r="AV208" s="337">
        <f>IF('II. Inputs, Baseline Energy Mix'!$R$15=0,0,'II. Inputs, Baseline Energy Mix'!$R$92*'II. Inputs, Baseline Energy Mix'!$R$16*AV206)</f>
        <v>0</v>
      </c>
      <c r="AW208" s="337">
        <f>IF('II. Inputs, Baseline Energy Mix'!$R$15=0,0,'II. Inputs, Baseline Energy Mix'!$R$92*'II. Inputs, Baseline Energy Mix'!$R$16*AW206)</f>
        <v>0</v>
      </c>
      <c r="AX208" s="337">
        <f>IF('II. Inputs, Baseline Energy Mix'!$R$15=0,0,'II. Inputs, Baseline Energy Mix'!$R$92*'II. Inputs, Baseline Energy Mix'!$R$16*AX206)</f>
        <v>0</v>
      </c>
      <c r="AY208" s="337">
        <f>IF('II. Inputs, Baseline Energy Mix'!$R$15=0,0,'II. Inputs, Baseline Energy Mix'!$R$92*'II. Inputs, Baseline Energy Mix'!$R$16*AY206)</f>
        <v>0</v>
      </c>
      <c r="AZ208" s="337">
        <f>IF('II. Inputs, Baseline Energy Mix'!$R$15=0,0,'II. Inputs, Baseline Energy Mix'!$R$92*'II. Inputs, Baseline Energy Mix'!$R$16*AZ206)</f>
        <v>0</v>
      </c>
      <c r="BA208" s="337">
        <f>IF('II. Inputs, Baseline Energy Mix'!$R$15=0,0,'II. Inputs, Baseline Energy Mix'!$R$92*'II. Inputs, Baseline Energy Mix'!$R$16*BA206)</f>
        <v>0</v>
      </c>
      <c r="BB208" s="337">
        <f>IF('II. Inputs, Baseline Energy Mix'!$R$15=0,0,'II. Inputs, Baseline Energy Mix'!$R$92*'II. Inputs, Baseline Energy Mix'!$R$16*BB206)</f>
        <v>0</v>
      </c>
      <c r="BC208" s="337">
        <f>IF('II. Inputs, Baseline Energy Mix'!$R$15=0,0,'II. Inputs, Baseline Energy Mix'!$R$92*'II. Inputs, Baseline Energy Mix'!$R$16*BC206)</f>
        <v>0</v>
      </c>
      <c r="BD208" s="337">
        <f>IF('II. Inputs, Baseline Energy Mix'!$R$15=0,0,'II. Inputs, Baseline Energy Mix'!$R$92*'II. Inputs, Baseline Energy Mix'!$R$16*BD206)</f>
        <v>0</v>
      </c>
      <c r="BE208" s="338">
        <f>IF('II. Inputs, Baseline Energy Mix'!$R$15=0,0,'II. Inputs, Baseline Energy Mix'!$R$92*'II. Inputs, Baseline Energy Mix'!$R$16*BE206)</f>
        <v>0</v>
      </c>
    </row>
    <row r="209" spans="2:57" x14ac:dyDescent="0.25">
      <c r="B209" s="332"/>
      <c r="C209" s="333"/>
      <c r="D209" s="333"/>
      <c r="E209" s="336"/>
      <c r="F209" s="333"/>
      <c r="G209" s="333"/>
      <c r="H209" s="333"/>
      <c r="I209" s="333"/>
      <c r="J209" s="333"/>
      <c r="K209" s="333"/>
      <c r="L209" s="333"/>
      <c r="M209" s="333"/>
      <c r="N209" s="333"/>
      <c r="O209" s="333"/>
      <c r="P209" s="333"/>
      <c r="Q209" s="333"/>
      <c r="R209" s="333"/>
      <c r="S209" s="333"/>
      <c r="T209" s="333"/>
      <c r="U209" s="333"/>
      <c r="V209" s="333"/>
      <c r="W209" s="333"/>
      <c r="X209" s="333"/>
      <c r="Y209" s="333"/>
      <c r="Z209" s="333"/>
      <c r="AA209" s="333"/>
      <c r="AB209" s="333"/>
      <c r="AC209" s="333"/>
      <c r="AD209" s="333"/>
      <c r="AE209" s="333"/>
      <c r="AF209" s="333"/>
      <c r="AG209" s="333"/>
      <c r="AH209" s="333"/>
      <c r="AI209" s="333"/>
      <c r="AJ209" s="333"/>
      <c r="AK209" s="333"/>
      <c r="AL209" s="333"/>
      <c r="AM209" s="333"/>
      <c r="AN209" s="333"/>
      <c r="AO209" s="333"/>
      <c r="AP209" s="333"/>
      <c r="AQ209" s="333"/>
      <c r="AR209" s="333"/>
      <c r="AS209" s="333"/>
      <c r="AT209" s="333"/>
      <c r="AU209" s="333"/>
      <c r="AV209" s="333"/>
      <c r="AW209" s="333"/>
      <c r="AX209" s="333"/>
      <c r="AY209" s="333"/>
      <c r="AZ209" s="333"/>
      <c r="BA209" s="333"/>
      <c r="BB209" s="333"/>
      <c r="BC209" s="333"/>
      <c r="BD209" s="333"/>
      <c r="BE209" s="334"/>
    </row>
    <row r="210" spans="2:57" x14ac:dyDescent="0.25">
      <c r="B210" s="339" t="s">
        <v>99</v>
      </c>
      <c r="C210" s="340"/>
      <c r="D210" s="340"/>
      <c r="E210" s="341"/>
      <c r="F210" s="341"/>
      <c r="G210" s="341"/>
      <c r="H210" s="341"/>
      <c r="I210" s="341"/>
      <c r="J210" s="341"/>
      <c r="K210" s="341"/>
      <c r="L210" s="341"/>
      <c r="M210" s="341"/>
      <c r="N210" s="341"/>
      <c r="O210" s="341"/>
      <c r="P210" s="341"/>
      <c r="Q210" s="341"/>
      <c r="R210" s="341"/>
      <c r="S210" s="341"/>
      <c r="T210" s="341"/>
      <c r="U210" s="341"/>
      <c r="V210" s="341"/>
      <c r="W210" s="341"/>
      <c r="X210" s="341"/>
      <c r="Y210" s="341"/>
      <c r="Z210" s="341"/>
      <c r="AA210" s="341"/>
      <c r="AB210" s="341"/>
      <c r="AC210" s="341"/>
      <c r="AD210" s="341"/>
      <c r="AE210" s="341"/>
      <c r="AF210" s="341"/>
      <c r="AG210" s="341"/>
      <c r="AH210" s="341"/>
      <c r="AI210" s="341"/>
      <c r="AJ210" s="341"/>
      <c r="AK210" s="341"/>
      <c r="AL210" s="341"/>
      <c r="AM210" s="341"/>
      <c r="AN210" s="341"/>
      <c r="AO210" s="341"/>
      <c r="AP210" s="341"/>
      <c r="AQ210" s="341"/>
      <c r="AR210" s="341"/>
      <c r="AS210" s="341"/>
      <c r="AT210" s="341"/>
      <c r="AU210" s="341"/>
      <c r="AV210" s="341"/>
      <c r="AW210" s="341"/>
      <c r="AX210" s="341"/>
      <c r="AY210" s="341"/>
      <c r="AZ210" s="341"/>
      <c r="BA210" s="341"/>
      <c r="BB210" s="341"/>
      <c r="BC210" s="341"/>
      <c r="BD210" s="341"/>
      <c r="BE210" s="342"/>
    </row>
    <row r="211" spans="2:57" x14ac:dyDescent="0.25">
      <c r="B211" s="332"/>
      <c r="C211" s="333"/>
      <c r="D211" s="333"/>
      <c r="E211" s="336"/>
      <c r="F211" s="333"/>
      <c r="G211" s="333"/>
      <c r="H211" s="333"/>
      <c r="I211" s="333"/>
      <c r="J211" s="333"/>
      <c r="K211" s="333"/>
      <c r="L211" s="333"/>
      <c r="M211" s="333"/>
      <c r="N211" s="333"/>
      <c r="O211" s="333"/>
      <c r="P211" s="333"/>
      <c r="Q211" s="333"/>
      <c r="R211" s="333"/>
      <c r="S211" s="333"/>
      <c r="T211" s="333"/>
      <c r="U211" s="333"/>
      <c r="V211" s="333"/>
      <c r="W211" s="333"/>
      <c r="X211" s="333"/>
      <c r="Y211" s="333"/>
      <c r="Z211" s="333"/>
      <c r="AA211" s="333"/>
      <c r="AB211" s="333"/>
      <c r="AC211" s="333"/>
      <c r="AD211" s="333"/>
      <c r="AE211" s="333"/>
      <c r="AF211" s="333"/>
      <c r="AG211" s="333"/>
      <c r="AH211" s="333"/>
      <c r="AI211" s="333"/>
      <c r="AJ211" s="333"/>
      <c r="AK211" s="333"/>
      <c r="AL211" s="333"/>
      <c r="AM211" s="333"/>
      <c r="AN211" s="333"/>
      <c r="AO211" s="333"/>
      <c r="AP211" s="333"/>
      <c r="AQ211" s="333"/>
      <c r="AR211" s="333"/>
      <c r="AS211" s="333"/>
      <c r="AT211" s="333"/>
      <c r="AU211" s="333"/>
      <c r="AV211" s="333"/>
      <c r="AW211" s="333"/>
      <c r="AX211" s="333"/>
      <c r="AY211" s="333"/>
      <c r="AZ211" s="333"/>
      <c r="BA211" s="333"/>
      <c r="BB211" s="333"/>
      <c r="BC211" s="333"/>
      <c r="BD211" s="333"/>
      <c r="BE211" s="334"/>
    </row>
    <row r="212" spans="2:57" x14ac:dyDescent="0.25">
      <c r="B212" s="332" t="s">
        <v>137</v>
      </c>
      <c r="C212" s="333"/>
      <c r="D212" s="333"/>
      <c r="E212" s="336"/>
      <c r="F212" s="336" t="s">
        <v>631</v>
      </c>
      <c r="G212" s="333"/>
      <c r="H212" s="1277">
        <f>IF('II. Inputs, Baseline Energy Mix'!$R$15=0,0,H206*'II. Inputs, Baseline Energy Mix'!$R$105*(1+'II. Inputs, Baseline Energy Mix'!$R$106)^('IV. LCOE, Baseline Energy Mix'!H$13-1))</f>
        <v>0</v>
      </c>
      <c r="I212" s="1277">
        <f>IF('II. Inputs, Baseline Energy Mix'!$R$15=0,0,I206*'II. Inputs, Baseline Energy Mix'!$R$105*(1+'II. Inputs, Baseline Energy Mix'!$R$106)^('IV. LCOE, Baseline Energy Mix'!I$13-1))</f>
        <v>0</v>
      </c>
      <c r="J212" s="1277">
        <f>IF('II. Inputs, Baseline Energy Mix'!$R$15=0,0,J206*'II. Inputs, Baseline Energy Mix'!$R$105*(1+'II. Inputs, Baseline Energy Mix'!$R$106)^('IV. LCOE, Baseline Energy Mix'!J$13-1))</f>
        <v>0</v>
      </c>
      <c r="K212" s="1277">
        <f>IF('II. Inputs, Baseline Energy Mix'!$R$15=0,0,K206*'II. Inputs, Baseline Energy Mix'!$R$105*(1+'II. Inputs, Baseline Energy Mix'!$R$106)^('IV. LCOE, Baseline Energy Mix'!K$13-1))</f>
        <v>0</v>
      </c>
      <c r="L212" s="1277">
        <f>IF('II. Inputs, Baseline Energy Mix'!$R$15=0,0,L206*'II. Inputs, Baseline Energy Mix'!$R$105*(1+'II. Inputs, Baseline Energy Mix'!$R$106)^('IV. LCOE, Baseline Energy Mix'!L$13-1))</f>
        <v>0</v>
      </c>
      <c r="M212" s="1277">
        <f>IF('II. Inputs, Baseline Energy Mix'!$R$15=0,0,M206*'II. Inputs, Baseline Energy Mix'!$R$105*(1+'II. Inputs, Baseline Energy Mix'!$R$106)^('IV. LCOE, Baseline Energy Mix'!M$13-1))</f>
        <v>0</v>
      </c>
      <c r="N212" s="1277">
        <f>IF('II. Inputs, Baseline Energy Mix'!$R$15=0,0,N206*'II. Inputs, Baseline Energy Mix'!$R$105*(1+'II. Inputs, Baseline Energy Mix'!$R$106)^('IV. LCOE, Baseline Energy Mix'!N$13-1))</f>
        <v>0</v>
      </c>
      <c r="O212" s="1277">
        <f>IF('II. Inputs, Baseline Energy Mix'!$R$15=0,0,O206*'II. Inputs, Baseline Energy Mix'!$R$105*(1+'II. Inputs, Baseline Energy Mix'!$R$106)^('IV. LCOE, Baseline Energy Mix'!O$13-1))</f>
        <v>0</v>
      </c>
      <c r="P212" s="1277">
        <f>IF('II. Inputs, Baseline Energy Mix'!$R$15=0,0,P206*'II. Inputs, Baseline Energy Mix'!$R$105*(1+'II. Inputs, Baseline Energy Mix'!$R$106)^('IV. LCOE, Baseline Energy Mix'!P$13-1))</f>
        <v>0</v>
      </c>
      <c r="Q212" s="1277">
        <f>IF('II. Inputs, Baseline Energy Mix'!$R$15=0,0,Q206*'II. Inputs, Baseline Energy Mix'!$R$105*(1+'II. Inputs, Baseline Energy Mix'!$R$106)^('IV. LCOE, Baseline Energy Mix'!Q$13-1))</f>
        <v>0</v>
      </c>
      <c r="R212" s="1277">
        <f>IF('II. Inputs, Baseline Energy Mix'!$R$15=0,0,R206*'II. Inputs, Baseline Energy Mix'!$R$105*(1+'II. Inputs, Baseline Energy Mix'!$R$106)^('IV. LCOE, Baseline Energy Mix'!R$13-1))</f>
        <v>0</v>
      </c>
      <c r="S212" s="1277">
        <f>IF('II. Inputs, Baseline Energy Mix'!$R$15=0,0,S206*'II. Inputs, Baseline Energy Mix'!$R$105*(1+'II. Inputs, Baseline Energy Mix'!$R$106)^('IV. LCOE, Baseline Energy Mix'!S$13-1))</f>
        <v>0</v>
      </c>
      <c r="T212" s="1277">
        <f>IF('II. Inputs, Baseline Energy Mix'!$R$15=0,0,T206*'II. Inputs, Baseline Energy Mix'!$R$105*(1+'II. Inputs, Baseline Energy Mix'!$R$106)^('IV. LCOE, Baseline Energy Mix'!T$13-1))</f>
        <v>0</v>
      </c>
      <c r="U212" s="1277">
        <f>IF('II. Inputs, Baseline Energy Mix'!$R$15=0,0,U206*'II. Inputs, Baseline Energy Mix'!$R$105*(1+'II. Inputs, Baseline Energy Mix'!$R$106)^('IV. LCOE, Baseline Energy Mix'!U$13-1))</f>
        <v>0</v>
      </c>
      <c r="V212" s="1277">
        <f>IF('II. Inputs, Baseline Energy Mix'!$R$15=0,0,V206*'II. Inputs, Baseline Energy Mix'!$R$105*(1+'II. Inputs, Baseline Energy Mix'!$R$106)^('IV. LCOE, Baseline Energy Mix'!V$13-1))</f>
        <v>0</v>
      </c>
      <c r="W212" s="1277">
        <f>IF('II. Inputs, Baseline Energy Mix'!$R$15=0,0,W206*'II. Inputs, Baseline Energy Mix'!$R$105*(1+'II. Inputs, Baseline Energy Mix'!$R$106)^('IV. LCOE, Baseline Energy Mix'!W$13-1))</f>
        <v>0</v>
      </c>
      <c r="X212" s="1277">
        <f>IF('II. Inputs, Baseline Energy Mix'!$R$15=0,0,X206*'II. Inputs, Baseline Energy Mix'!$R$105*(1+'II. Inputs, Baseline Energy Mix'!$R$106)^('IV. LCOE, Baseline Energy Mix'!X$13-1))</f>
        <v>0</v>
      </c>
      <c r="Y212" s="1277">
        <f>IF('II. Inputs, Baseline Energy Mix'!$R$15=0,0,Y206*'II. Inputs, Baseline Energy Mix'!$R$105*(1+'II. Inputs, Baseline Energy Mix'!$R$106)^('IV. LCOE, Baseline Energy Mix'!Y$13-1))</f>
        <v>0</v>
      </c>
      <c r="Z212" s="1277">
        <f>IF('II. Inputs, Baseline Energy Mix'!$R$15=0,0,Z206*'II. Inputs, Baseline Energy Mix'!$R$105*(1+'II. Inputs, Baseline Energy Mix'!$R$106)^('IV. LCOE, Baseline Energy Mix'!Z$13-1))</f>
        <v>0</v>
      </c>
      <c r="AA212" s="1277">
        <f>IF('II. Inputs, Baseline Energy Mix'!$R$15=0,0,AA206*'II. Inputs, Baseline Energy Mix'!$R$105*(1+'II. Inputs, Baseline Energy Mix'!$R$106)^('IV. LCOE, Baseline Energy Mix'!AA$13-1))</f>
        <v>0</v>
      </c>
      <c r="AB212" s="1277">
        <f>IF('II. Inputs, Baseline Energy Mix'!$R$15=0,0,AB206*'II. Inputs, Baseline Energy Mix'!$R$105*(1+'II. Inputs, Baseline Energy Mix'!$R$106)^('IV. LCOE, Baseline Energy Mix'!AB$13-1))</f>
        <v>0</v>
      </c>
      <c r="AC212" s="1277">
        <f>IF('II. Inputs, Baseline Energy Mix'!$R$15=0,0,AC206*'II. Inputs, Baseline Energy Mix'!$R$105*(1+'II. Inputs, Baseline Energy Mix'!$R$106)^('IV. LCOE, Baseline Energy Mix'!AC$13-1))</f>
        <v>0</v>
      </c>
      <c r="AD212" s="1277">
        <f>IF('II. Inputs, Baseline Energy Mix'!$R$15=0,0,AD206*'II. Inputs, Baseline Energy Mix'!$R$105*(1+'II. Inputs, Baseline Energy Mix'!$R$106)^('IV. LCOE, Baseline Energy Mix'!AD$13-1))</f>
        <v>0</v>
      </c>
      <c r="AE212" s="1277">
        <f>IF('II. Inputs, Baseline Energy Mix'!$R$15=0,0,AE206*'II. Inputs, Baseline Energy Mix'!$R$105*(1+'II. Inputs, Baseline Energy Mix'!$R$106)^('IV. LCOE, Baseline Energy Mix'!AE$13-1))</f>
        <v>0</v>
      </c>
      <c r="AF212" s="1277">
        <f>IF('II. Inputs, Baseline Energy Mix'!$R$15=0,0,AF206*'II. Inputs, Baseline Energy Mix'!$R$105*(1+'II. Inputs, Baseline Energy Mix'!$R$106)^('IV. LCOE, Baseline Energy Mix'!AF$13-1))</f>
        <v>0</v>
      </c>
      <c r="AG212" s="1277">
        <f>IF('II. Inputs, Baseline Energy Mix'!$R$15=0,0,AG206*'II. Inputs, Baseline Energy Mix'!$R$105*(1+'II. Inputs, Baseline Energy Mix'!$R$106)^('IV. LCOE, Baseline Energy Mix'!AG$13-1))</f>
        <v>0</v>
      </c>
      <c r="AH212" s="1277">
        <f>IF('II. Inputs, Baseline Energy Mix'!$R$15=0,0,AH206*'II. Inputs, Baseline Energy Mix'!$R$105*(1+'II. Inputs, Baseline Energy Mix'!$R$106)^('IV. LCOE, Baseline Energy Mix'!AH$13-1))</f>
        <v>0</v>
      </c>
      <c r="AI212" s="1277">
        <f>IF('II. Inputs, Baseline Energy Mix'!$R$15=0,0,AI206*'II. Inputs, Baseline Energy Mix'!$R$105*(1+'II. Inputs, Baseline Energy Mix'!$R$106)^('IV. LCOE, Baseline Energy Mix'!AI$13-1))</f>
        <v>0</v>
      </c>
      <c r="AJ212" s="1277">
        <f>IF('II. Inputs, Baseline Energy Mix'!$R$15=0,0,AJ206*'II. Inputs, Baseline Energy Mix'!$R$105*(1+'II. Inputs, Baseline Energy Mix'!$R$106)^('IV. LCOE, Baseline Energy Mix'!AJ$13-1))</f>
        <v>0</v>
      </c>
      <c r="AK212" s="1277">
        <f>IF('II. Inputs, Baseline Energy Mix'!$R$15=0,0,AK206*'II. Inputs, Baseline Energy Mix'!$R$105*(1+'II. Inputs, Baseline Energy Mix'!$R$106)^('IV. LCOE, Baseline Energy Mix'!AK$13-1))</f>
        <v>0</v>
      </c>
      <c r="AL212" s="1277">
        <f>IF('II. Inputs, Baseline Energy Mix'!$R$15=0,0,AL206*'II. Inputs, Baseline Energy Mix'!$R$105*(1+'II. Inputs, Baseline Energy Mix'!$R$106)^('IV. LCOE, Baseline Energy Mix'!AL$13-1))</f>
        <v>0</v>
      </c>
      <c r="AM212" s="1277">
        <f>IF('II. Inputs, Baseline Energy Mix'!$R$15=0,0,AM206*'II. Inputs, Baseline Energy Mix'!$R$105*(1+'II. Inputs, Baseline Energy Mix'!$R$106)^('IV. LCOE, Baseline Energy Mix'!AM$13-1))</f>
        <v>0</v>
      </c>
      <c r="AN212" s="1277">
        <f>IF('II. Inputs, Baseline Energy Mix'!$R$15=0,0,AN206*'II. Inputs, Baseline Energy Mix'!$R$105*(1+'II. Inputs, Baseline Energy Mix'!$R$106)^('IV. LCOE, Baseline Energy Mix'!AN$13-1))</f>
        <v>0</v>
      </c>
      <c r="AO212" s="1277">
        <f>IF('II. Inputs, Baseline Energy Mix'!$R$15=0,0,AO206*'II. Inputs, Baseline Energy Mix'!$R$105*(1+'II. Inputs, Baseline Energy Mix'!$R$106)^('IV. LCOE, Baseline Energy Mix'!AO$13-1))</f>
        <v>0</v>
      </c>
      <c r="AP212" s="1277">
        <f>IF('II. Inputs, Baseline Energy Mix'!$R$15=0,0,AP206*'II. Inputs, Baseline Energy Mix'!$R$105*(1+'II. Inputs, Baseline Energy Mix'!$R$106)^('IV. LCOE, Baseline Energy Mix'!AP$13-1))</f>
        <v>0</v>
      </c>
      <c r="AQ212" s="1277">
        <f>IF('II. Inputs, Baseline Energy Mix'!$R$15=0,0,AQ206*'II. Inputs, Baseline Energy Mix'!$R$105*(1+'II. Inputs, Baseline Energy Mix'!$R$106)^('IV. LCOE, Baseline Energy Mix'!AQ$13-1))</f>
        <v>0</v>
      </c>
      <c r="AR212" s="1277">
        <f>IF('II. Inputs, Baseline Energy Mix'!$R$15=0,0,AR206*'II. Inputs, Baseline Energy Mix'!$R$105*(1+'II. Inputs, Baseline Energy Mix'!$R$106)^('IV. LCOE, Baseline Energy Mix'!AR$13-1))</f>
        <v>0</v>
      </c>
      <c r="AS212" s="1277">
        <f>IF('II. Inputs, Baseline Energy Mix'!$R$15=0,0,AS206*'II. Inputs, Baseline Energy Mix'!$R$105*(1+'II. Inputs, Baseline Energy Mix'!$R$106)^('IV. LCOE, Baseline Energy Mix'!AS$13-1))</f>
        <v>0</v>
      </c>
      <c r="AT212" s="1277">
        <f>IF('II. Inputs, Baseline Energy Mix'!$R$15=0,0,AT206*'II. Inputs, Baseline Energy Mix'!$R$105*(1+'II. Inputs, Baseline Energy Mix'!$R$106)^('IV. LCOE, Baseline Energy Mix'!AT$13-1))</f>
        <v>0</v>
      </c>
      <c r="AU212" s="1277">
        <f>IF('II. Inputs, Baseline Energy Mix'!$R$15=0,0,AU206*'II. Inputs, Baseline Energy Mix'!$R$105*(1+'II. Inputs, Baseline Energy Mix'!$R$106)^('IV. LCOE, Baseline Energy Mix'!AU$13-1))</f>
        <v>0</v>
      </c>
      <c r="AV212" s="1277">
        <f>IF('II. Inputs, Baseline Energy Mix'!$R$15=0,0,AV206*'II. Inputs, Baseline Energy Mix'!$R$105*(1+'II. Inputs, Baseline Energy Mix'!$R$106)^('IV. LCOE, Baseline Energy Mix'!AV$13-1))</f>
        <v>0</v>
      </c>
      <c r="AW212" s="1277">
        <f>IF('II. Inputs, Baseline Energy Mix'!$R$15=0,0,AW206*'II. Inputs, Baseline Energy Mix'!$R$105*(1+'II. Inputs, Baseline Energy Mix'!$R$106)^('IV. LCOE, Baseline Energy Mix'!AW$13-1))</f>
        <v>0</v>
      </c>
      <c r="AX212" s="1277">
        <f>IF('II. Inputs, Baseline Energy Mix'!$R$15=0,0,AX206*'II. Inputs, Baseline Energy Mix'!$R$105*(1+'II. Inputs, Baseline Energy Mix'!$R$106)^('IV. LCOE, Baseline Energy Mix'!AX$13-1))</f>
        <v>0</v>
      </c>
      <c r="AY212" s="1277">
        <f>IF('II. Inputs, Baseline Energy Mix'!$R$15=0,0,AY206*'II. Inputs, Baseline Energy Mix'!$R$105*(1+'II. Inputs, Baseline Energy Mix'!$R$106)^('IV. LCOE, Baseline Energy Mix'!AY$13-1))</f>
        <v>0</v>
      </c>
      <c r="AZ212" s="1277">
        <f>IF('II. Inputs, Baseline Energy Mix'!$R$15=0,0,AZ206*'II. Inputs, Baseline Energy Mix'!$R$105*(1+'II. Inputs, Baseline Energy Mix'!$R$106)^('IV. LCOE, Baseline Energy Mix'!AZ$13-1))</f>
        <v>0</v>
      </c>
      <c r="BA212" s="1277">
        <f>IF('II. Inputs, Baseline Energy Mix'!$R$15=0,0,BA206*'II. Inputs, Baseline Energy Mix'!$R$105*(1+'II. Inputs, Baseline Energy Mix'!$R$106)^('IV. LCOE, Baseline Energy Mix'!BA$13-1))</f>
        <v>0</v>
      </c>
      <c r="BB212" s="1277">
        <f>IF('II. Inputs, Baseline Energy Mix'!$R$15=0,0,BB206*'II. Inputs, Baseline Energy Mix'!$R$105*(1+'II. Inputs, Baseline Energy Mix'!$R$106)^('IV. LCOE, Baseline Energy Mix'!BB$13-1))</f>
        <v>0</v>
      </c>
      <c r="BC212" s="1277">
        <f>IF('II. Inputs, Baseline Energy Mix'!$R$15=0,0,BC206*'II. Inputs, Baseline Energy Mix'!$R$105*(1+'II. Inputs, Baseline Energy Mix'!$R$106)^('IV. LCOE, Baseline Energy Mix'!BC$13-1))</f>
        <v>0</v>
      </c>
      <c r="BD212" s="1277">
        <f>IF('II. Inputs, Baseline Energy Mix'!$R$15=0,0,BD206*'II. Inputs, Baseline Energy Mix'!$R$105*(1+'II. Inputs, Baseline Energy Mix'!$R$106)^('IV. LCOE, Baseline Energy Mix'!BD$13-1))</f>
        <v>0</v>
      </c>
      <c r="BE212" s="1278">
        <f>IF('II. Inputs, Baseline Energy Mix'!$R$15=0,0,BE206*'II. Inputs, Baseline Energy Mix'!$R$105*(1+'II. Inputs, Baseline Energy Mix'!$R$106)^('IV. LCOE, Baseline Energy Mix'!BE$13-1))</f>
        <v>0</v>
      </c>
    </row>
    <row r="213" spans="2:57" x14ac:dyDescent="0.25">
      <c r="B213" s="332"/>
      <c r="C213" s="333"/>
      <c r="D213" s="333"/>
      <c r="E213" s="336"/>
      <c r="F213" s="336"/>
      <c r="G213" s="333"/>
      <c r="H213" s="1277"/>
      <c r="I213" s="1277"/>
      <c r="J213" s="1277"/>
      <c r="K213" s="1277"/>
      <c r="L213" s="1277"/>
      <c r="M213" s="1277"/>
      <c r="N213" s="1277"/>
      <c r="O213" s="1277"/>
      <c r="P213" s="1277"/>
      <c r="Q213" s="1277"/>
      <c r="R213" s="1277"/>
      <c r="S213" s="1277"/>
      <c r="T213" s="1277"/>
      <c r="U213" s="1277"/>
      <c r="V213" s="1277"/>
      <c r="W213" s="1277"/>
      <c r="X213" s="1277"/>
      <c r="Y213" s="1277"/>
      <c r="Z213" s="1277"/>
      <c r="AA213" s="1277"/>
      <c r="AB213" s="1277"/>
      <c r="AC213" s="1277"/>
      <c r="AD213" s="1277"/>
      <c r="AE213" s="1277"/>
      <c r="AF213" s="1277"/>
      <c r="AG213" s="1277"/>
      <c r="AH213" s="1277"/>
      <c r="AI213" s="1277"/>
      <c r="AJ213" s="1277"/>
      <c r="AK213" s="1277"/>
      <c r="AL213" s="1277"/>
      <c r="AM213" s="1277"/>
      <c r="AN213" s="1277"/>
      <c r="AO213" s="1277"/>
      <c r="AP213" s="1277"/>
      <c r="AQ213" s="1277"/>
      <c r="AR213" s="1277"/>
      <c r="AS213" s="1277"/>
      <c r="AT213" s="1277"/>
      <c r="AU213" s="1277"/>
      <c r="AV213" s="1277"/>
      <c r="AW213" s="1277"/>
      <c r="AX213" s="1277"/>
      <c r="AY213" s="1277"/>
      <c r="AZ213" s="1277"/>
      <c r="BA213" s="1277"/>
      <c r="BB213" s="1277"/>
      <c r="BC213" s="1277"/>
      <c r="BD213" s="1277"/>
      <c r="BE213" s="1278"/>
    </row>
    <row r="214" spans="2:57" x14ac:dyDescent="0.25">
      <c r="B214" s="332" t="s">
        <v>38</v>
      </c>
      <c r="C214" s="333"/>
      <c r="D214" s="333"/>
      <c r="E214" s="336"/>
      <c r="F214" s="336" t="s">
        <v>632</v>
      </c>
      <c r="G214" s="333"/>
      <c r="H214" s="1283">
        <f>IF('II. Inputs, Baseline Energy Mix'!$R$96="Model Default",'IV. LCOE, Baseline Energy Mix'!H215,IF('II. Inputs, Baseline Energy Mix'!$R$96="User-defined, annually adjusted",'IV. LCOE, Baseline Energy Mix'!H216,IF('II. Inputs, Baseline Energy Mix'!$R$96="Manual Entry",'IV. LCOE, Baseline Energy Mix'!H218,H217)))</f>
        <v>0</v>
      </c>
      <c r="I214" s="1283">
        <f>IF('II. Inputs, Baseline Energy Mix'!$R$96="Model Default",'IV. LCOE, Baseline Energy Mix'!I215,IF('II. Inputs, Baseline Energy Mix'!$R$96="User-defined, annually adjusted",'IV. LCOE, Baseline Energy Mix'!I216,IF('II. Inputs, Baseline Energy Mix'!$R$96="Manual Entry",'IV. LCOE, Baseline Energy Mix'!I218,I217)))</f>
        <v>0</v>
      </c>
      <c r="J214" s="1283">
        <f>IF('II. Inputs, Baseline Energy Mix'!$R$96="Model Default",'IV. LCOE, Baseline Energy Mix'!J215,IF('II. Inputs, Baseline Energy Mix'!$R$96="User-defined, annually adjusted",'IV. LCOE, Baseline Energy Mix'!J216,IF('II. Inputs, Baseline Energy Mix'!$R$96="Manual Entry",'IV. LCOE, Baseline Energy Mix'!J218,J217)))</f>
        <v>0</v>
      </c>
      <c r="K214" s="1283">
        <f>IF('II. Inputs, Baseline Energy Mix'!$R$96="Model Default",'IV. LCOE, Baseline Energy Mix'!K215,IF('II. Inputs, Baseline Energy Mix'!$R$96="User-defined, annually adjusted",'IV. LCOE, Baseline Energy Mix'!K216,IF('II. Inputs, Baseline Energy Mix'!$R$96="Manual Entry",'IV. LCOE, Baseline Energy Mix'!K218,K217)))</f>
        <v>0</v>
      </c>
      <c r="L214" s="1283">
        <f>IF('II. Inputs, Baseline Energy Mix'!$R$96="Model Default",'IV. LCOE, Baseline Energy Mix'!L215,IF('II. Inputs, Baseline Energy Mix'!$R$96="User-defined, annually adjusted",'IV. LCOE, Baseline Energy Mix'!L216,IF('II. Inputs, Baseline Energy Mix'!$R$96="Manual Entry",'IV. LCOE, Baseline Energy Mix'!L218,L217)))</f>
        <v>0</v>
      </c>
      <c r="M214" s="1283">
        <f>IF('II. Inputs, Baseline Energy Mix'!$R$96="Model Default",'IV. LCOE, Baseline Energy Mix'!M215,IF('II. Inputs, Baseline Energy Mix'!$R$96="User-defined, annually adjusted",'IV. LCOE, Baseline Energy Mix'!M216,IF('II. Inputs, Baseline Energy Mix'!$R$96="Manual Entry",'IV. LCOE, Baseline Energy Mix'!M218,M217)))</f>
        <v>0</v>
      </c>
      <c r="N214" s="1283">
        <f>IF('II. Inputs, Baseline Energy Mix'!$R$96="Model Default",'IV. LCOE, Baseline Energy Mix'!N215,IF('II. Inputs, Baseline Energy Mix'!$R$96="User-defined, annually adjusted",'IV. LCOE, Baseline Energy Mix'!N216,IF('II. Inputs, Baseline Energy Mix'!$R$96="Manual Entry",'IV. LCOE, Baseline Energy Mix'!N218,N217)))</f>
        <v>0</v>
      </c>
      <c r="O214" s="1283">
        <f>IF('II. Inputs, Baseline Energy Mix'!$R$96="Model Default",'IV. LCOE, Baseline Energy Mix'!O215,IF('II. Inputs, Baseline Energy Mix'!$R$96="User-defined, annually adjusted",'IV. LCOE, Baseline Energy Mix'!O216,IF('II. Inputs, Baseline Energy Mix'!$R$96="Manual Entry",'IV. LCOE, Baseline Energy Mix'!O218,O217)))</f>
        <v>0</v>
      </c>
      <c r="P214" s="1283">
        <f>IF('II. Inputs, Baseline Energy Mix'!$R$96="Model Default",'IV. LCOE, Baseline Energy Mix'!P215,IF('II. Inputs, Baseline Energy Mix'!$R$96="User-defined, annually adjusted",'IV. LCOE, Baseline Energy Mix'!P216,IF('II. Inputs, Baseline Energy Mix'!$R$96="Manual Entry",'IV. LCOE, Baseline Energy Mix'!P218,P217)))</f>
        <v>0</v>
      </c>
      <c r="Q214" s="1283">
        <f>IF('II. Inputs, Baseline Energy Mix'!$R$96="Model Default",'IV. LCOE, Baseline Energy Mix'!Q215,IF('II. Inputs, Baseline Energy Mix'!$R$96="User-defined, annually adjusted",'IV. LCOE, Baseline Energy Mix'!Q216,IF('II. Inputs, Baseline Energy Mix'!$R$96="Manual Entry",'IV. LCOE, Baseline Energy Mix'!Q218,Q217)))</f>
        <v>0</v>
      </c>
      <c r="R214" s="1283">
        <f>IF('II. Inputs, Baseline Energy Mix'!$R$96="Model Default",'IV. LCOE, Baseline Energy Mix'!R215,IF('II. Inputs, Baseline Energy Mix'!$R$96="User-defined, annually adjusted",'IV. LCOE, Baseline Energy Mix'!R216,IF('II. Inputs, Baseline Energy Mix'!$R$96="Manual Entry",'IV. LCOE, Baseline Energy Mix'!R218,R217)))</f>
        <v>0</v>
      </c>
      <c r="S214" s="1283">
        <f>IF('II. Inputs, Baseline Energy Mix'!$R$96="Model Default",'IV. LCOE, Baseline Energy Mix'!S215,IF('II. Inputs, Baseline Energy Mix'!$R$96="User-defined, annually adjusted",'IV. LCOE, Baseline Energy Mix'!S216,IF('II. Inputs, Baseline Energy Mix'!$R$96="Manual Entry",'IV. LCOE, Baseline Energy Mix'!S218,S217)))</f>
        <v>0</v>
      </c>
      <c r="T214" s="1283">
        <f>IF('II. Inputs, Baseline Energy Mix'!$R$96="Model Default",'IV. LCOE, Baseline Energy Mix'!T215,IF('II. Inputs, Baseline Energy Mix'!$R$96="User-defined, annually adjusted",'IV. LCOE, Baseline Energy Mix'!T216,IF('II. Inputs, Baseline Energy Mix'!$R$96="Manual Entry",'IV. LCOE, Baseline Energy Mix'!T218,T217)))</f>
        <v>0</v>
      </c>
      <c r="U214" s="1283">
        <f>IF('II. Inputs, Baseline Energy Mix'!$R$96="Model Default",'IV. LCOE, Baseline Energy Mix'!U215,IF('II. Inputs, Baseline Energy Mix'!$R$96="User-defined, annually adjusted",'IV. LCOE, Baseline Energy Mix'!U216,IF('II. Inputs, Baseline Energy Mix'!$R$96="Manual Entry",'IV. LCOE, Baseline Energy Mix'!U218,U217)))</f>
        <v>0</v>
      </c>
      <c r="V214" s="1283">
        <f>IF('II. Inputs, Baseline Energy Mix'!$R$96="Model Default",'IV. LCOE, Baseline Energy Mix'!V215,IF('II. Inputs, Baseline Energy Mix'!$R$96="User-defined, annually adjusted",'IV. LCOE, Baseline Energy Mix'!V216,IF('II. Inputs, Baseline Energy Mix'!$R$96="Manual Entry",'IV. LCOE, Baseline Energy Mix'!V218,V217)))</f>
        <v>0</v>
      </c>
      <c r="W214" s="1283">
        <f>IF('II. Inputs, Baseline Energy Mix'!$R$96="Model Default",'IV. LCOE, Baseline Energy Mix'!W215,IF('II. Inputs, Baseline Energy Mix'!$R$96="User-defined, annually adjusted",'IV. LCOE, Baseline Energy Mix'!W216,IF('II. Inputs, Baseline Energy Mix'!$R$96="Manual Entry",'IV. LCOE, Baseline Energy Mix'!W218,W217)))</f>
        <v>0</v>
      </c>
      <c r="X214" s="1283">
        <f>IF('II. Inputs, Baseline Energy Mix'!$R$96="Model Default",'IV. LCOE, Baseline Energy Mix'!X215,IF('II. Inputs, Baseline Energy Mix'!$R$96="User-defined, annually adjusted",'IV. LCOE, Baseline Energy Mix'!X216,IF('II. Inputs, Baseline Energy Mix'!$R$96="Manual Entry",'IV. LCOE, Baseline Energy Mix'!X218,X217)))</f>
        <v>0</v>
      </c>
      <c r="Y214" s="1283">
        <f>IF('II. Inputs, Baseline Energy Mix'!$R$96="Model Default",'IV. LCOE, Baseline Energy Mix'!Y215,IF('II. Inputs, Baseline Energy Mix'!$R$96="User-defined, annually adjusted",'IV. LCOE, Baseline Energy Mix'!Y216,IF('II. Inputs, Baseline Energy Mix'!$R$96="Manual Entry",'IV. LCOE, Baseline Energy Mix'!Y218,Y217)))</f>
        <v>0</v>
      </c>
      <c r="Z214" s="1283">
        <f>IF('II. Inputs, Baseline Energy Mix'!$R$96="Model Default",'IV. LCOE, Baseline Energy Mix'!Z215,IF('II. Inputs, Baseline Energy Mix'!$R$96="User-defined, annually adjusted",'IV. LCOE, Baseline Energy Mix'!Z216,IF('II. Inputs, Baseline Energy Mix'!$R$96="Manual Entry",'IV. LCOE, Baseline Energy Mix'!Z218,Z217)))</f>
        <v>0</v>
      </c>
      <c r="AA214" s="1283">
        <f>IF('II. Inputs, Baseline Energy Mix'!$R$96="Model Default",'IV. LCOE, Baseline Energy Mix'!AA215,IF('II. Inputs, Baseline Energy Mix'!$R$96="User-defined, annually adjusted",'IV. LCOE, Baseline Energy Mix'!AA216,IF('II. Inputs, Baseline Energy Mix'!$R$96="Manual Entry",'IV. LCOE, Baseline Energy Mix'!AA218,AA217)))</f>
        <v>0</v>
      </c>
      <c r="AB214" s="1283">
        <f>IF('II. Inputs, Baseline Energy Mix'!$R$96="Model Default",'IV. LCOE, Baseline Energy Mix'!AB215,IF('II. Inputs, Baseline Energy Mix'!$R$96="User-defined, annually adjusted",'IV. LCOE, Baseline Energy Mix'!AB216,IF('II. Inputs, Baseline Energy Mix'!$R$96="Manual Entry",'IV. LCOE, Baseline Energy Mix'!AB218,AB217)))</f>
        <v>0</v>
      </c>
      <c r="AC214" s="1283">
        <f>IF('II. Inputs, Baseline Energy Mix'!$R$96="Model Default",'IV. LCOE, Baseline Energy Mix'!AC215,IF('II. Inputs, Baseline Energy Mix'!$R$96="User-defined, annually adjusted",'IV. LCOE, Baseline Energy Mix'!AC216,IF('II. Inputs, Baseline Energy Mix'!$R$96="Manual Entry",'IV. LCOE, Baseline Energy Mix'!AC218,AC217)))</f>
        <v>0</v>
      </c>
      <c r="AD214" s="1283">
        <f>IF('II. Inputs, Baseline Energy Mix'!$R$96="Model Default",'IV. LCOE, Baseline Energy Mix'!AD215,IF('II. Inputs, Baseline Energy Mix'!$R$96="User-defined, annually adjusted",'IV. LCOE, Baseline Energy Mix'!AD216,IF('II. Inputs, Baseline Energy Mix'!$R$96="Manual Entry",'IV. LCOE, Baseline Energy Mix'!AD218,AD217)))</f>
        <v>0</v>
      </c>
      <c r="AE214" s="1283">
        <f>IF('II. Inputs, Baseline Energy Mix'!$R$96="Model Default",'IV. LCOE, Baseline Energy Mix'!AE215,IF('II. Inputs, Baseline Energy Mix'!$R$96="User-defined, annually adjusted",'IV. LCOE, Baseline Energy Mix'!AE216,IF('II. Inputs, Baseline Energy Mix'!$R$96="Manual Entry",'IV. LCOE, Baseline Energy Mix'!AE218,AE217)))</f>
        <v>0</v>
      </c>
      <c r="AF214" s="1283">
        <f>IF('II. Inputs, Baseline Energy Mix'!$R$96="Model Default",'IV. LCOE, Baseline Energy Mix'!AF215,IF('II. Inputs, Baseline Energy Mix'!$R$96="User-defined, annually adjusted",'IV. LCOE, Baseline Energy Mix'!AF216,IF('II. Inputs, Baseline Energy Mix'!$R$96="Manual Entry",'IV. LCOE, Baseline Energy Mix'!AF218,AF217)))</f>
        <v>0</v>
      </c>
      <c r="AG214" s="1283">
        <f>IF('II. Inputs, Baseline Energy Mix'!$R$96="Model Default",'IV. LCOE, Baseline Energy Mix'!AG215,IF('II. Inputs, Baseline Energy Mix'!$R$96="User-defined, annually adjusted",'IV. LCOE, Baseline Energy Mix'!AG216,IF('II. Inputs, Baseline Energy Mix'!$R$96="Manual Entry",'IV. LCOE, Baseline Energy Mix'!AG218,AG217)))</f>
        <v>0</v>
      </c>
      <c r="AH214" s="1283">
        <f>IF('II. Inputs, Baseline Energy Mix'!$R$96="Model Default",'IV. LCOE, Baseline Energy Mix'!AH215,IF('II. Inputs, Baseline Energy Mix'!$R$96="User-defined, annually adjusted",'IV. LCOE, Baseline Energy Mix'!AH216,IF('II. Inputs, Baseline Energy Mix'!$R$96="Manual Entry",'IV. LCOE, Baseline Energy Mix'!AH218,AH217)))</f>
        <v>0</v>
      </c>
      <c r="AI214" s="1283">
        <f>IF('II. Inputs, Baseline Energy Mix'!$R$96="Model Default",'IV. LCOE, Baseline Energy Mix'!AI215,IF('II. Inputs, Baseline Energy Mix'!$R$96="User-defined, annually adjusted",'IV. LCOE, Baseline Energy Mix'!AI216,IF('II. Inputs, Baseline Energy Mix'!$R$96="Manual Entry",'IV. LCOE, Baseline Energy Mix'!AI218,AI217)))</f>
        <v>0</v>
      </c>
      <c r="AJ214" s="1283">
        <f>IF('II. Inputs, Baseline Energy Mix'!$R$96="Model Default",'IV. LCOE, Baseline Energy Mix'!AJ215,IF('II. Inputs, Baseline Energy Mix'!$R$96="User-defined, annually adjusted",'IV. LCOE, Baseline Energy Mix'!AJ216,IF('II. Inputs, Baseline Energy Mix'!$R$96="Manual Entry",'IV. LCOE, Baseline Energy Mix'!AJ218,AJ217)))</f>
        <v>0</v>
      </c>
      <c r="AK214" s="1283">
        <f>IF('II. Inputs, Baseline Energy Mix'!$R$96="Model Default",'IV. LCOE, Baseline Energy Mix'!AK215,IF('II. Inputs, Baseline Energy Mix'!$R$96="User-defined, annually adjusted",'IV. LCOE, Baseline Energy Mix'!AK216,IF('II. Inputs, Baseline Energy Mix'!$R$96="Manual Entry",'IV. LCOE, Baseline Energy Mix'!AK218,AK217)))</f>
        <v>0</v>
      </c>
      <c r="AL214" s="1283">
        <f>IF('II. Inputs, Baseline Energy Mix'!$R$96="Model Default",'IV. LCOE, Baseline Energy Mix'!AL215,IF('II. Inputs, Baseline Energy Mix'!$R$96="User-defined, annually adjusted",'IV. LCOE, Baseline Energy Mix'!AL216,IF('II. Inputs, Baseline Energy Mix'!$R$96="Manual Entry",'IV. LCOE, Baseline Energy Mix'!AL218,AL217)))</f>
        <v>0</v>
      </c>
      <c r="AM214" s="1283">
        <f>IF('II. Inputs, Baseline Energy Mix'!$R$96="Model Default",'IV. LCOE, Baseline Energy Mix'!AM215,IF('II. Inputs, Baseline Energy Mix'!$R$96="User-defined, annually adjusted",'IV. LCOE, Baseline Energy Mix'!AM216,IF('II. Inputs, Baseline Energy Mix'!$R$96="Manual Entry",'IV. LCOE, Baseline Energy Mix'!AM218,AM217)))</f>
        <v>0</v>
      </c>
      <c r="AN214" s="1283">
        <f>IF('II. Inputs, Baseline Energy Mix'!$R$96="Model Default",'IV. LCOE, Baseline Energy Mix'!AN215,IF('II. Inputs, Baseline Energy Mix'!$R$96="User-defined, annually adjusted",'IV. LCOE, Baseline Energy Mix'!AN216,IF('II. Inputs, Baseline Energy Mix'!$R$96="Manual Entry",'IV. LCOE, Baseline Energy Mix'!AN218,AN217)))</f>
        <v>0</v>
      </c>
      <c r="AO214" s="1283">
        <f>IF('II. Inputs, Baseline Energy Mix'!$R$96="Model Default",'IV. LCOE, Baseline Energy Mix'!AO215,IF('II. Inputs, Baseline Energy Mix'!$R$96="User-defined, annually adjusted",'IV. LCOE, Baseline Energy Mix'!AO216,IF('II. Inputs, Baseline Energy Mix'!$R$96="Manual Entry",'IV. LCOE, Baseline Energy Mix'!AO218,AO217)))</f>
        <v>0</v>
      </c>
      <c r="AP214" s="1283">
        <f>IF('II. Inputs, Baseline Energy Mix'!$R$96="Model Default",'IV. LCOE, Baseline Energy Mix'!AP215,IF('II. Inputs, Baseline Energy Mix'!$R$96="User-defined, annually adjusted",'IV. LCOE, Baseline Energy Mix'!AP216,IF('II. Inputs, Baseline Energy Mix'!$R$96="Manual Entry",'IV. LCOE, Baseline Energy Mix'!AP218,AP217)))</f>
        <v>0</v>
      </c>
      <c r="AQ214" s="1283">
        <f>IF('II. Inputs, Baseline Energy Mix'!$R$96="Model Default",'IV. LCOE, Baseline Energy Mix'!AQ215,IF('II. Inputs, Baseline Energy Mix'!$R$96="User-defined, annually adjusted",'IV. LCOE, Baseline Energy Mix'!AQ216,IF('II. Inputs, Baseline Energy Mix'!$R$96="Manual Entry",'IV. LCOE, Baseline Energy Mix'!AQ218,AQ217)))</f>
        <v>0</v>
      </c>
      <c r="AR214" s="1283">
        <f>IF('II. Inputs, Baseline Energy Mix'!$R$96="Model Default",'IV. LCOE, Baseline Energy Mix'!AR215,IF('II. Inputs, Baseline Energy Mix'!$R$96="User-defined, annually adjusted",'IV. LCOE, Baseline Energy Mix'!AR216,IF('II. Inputs, Baseline Energy Mix'!$R$96="Manual Entry",'IV. LCOE, Baseline Energy Mix'!AR218,AR217)))</f>
        <v>0</v>
      </c>
      <c r="AS214" s="1283">
        <f>IF('II. Inputs, Baseline Energy Mix'!$R$96="Model Default",'IV. LCOE, Baseline Energy Mix'!AS215,IF('II. Inputs, Baseline Energy Mix'!$R$96="User-defined, annually adjusted",'IV. LCOE, Baseline Energy Mix'!AS216,IF('II. Inputs, Baseline Energy Mix'!$R$96="Manual Entry",'IV. LCOE, Baseline Energy Mix'!AS218,AS217)))</f>
        <v>0</v>
      </c>
      <c r="AT214" s="1283">
        <f>IF('II. Inputs, Baseline Energy Mix'!$R$96="Model Default",'IV. LCOE, Baseline Energy Mix'!AT215,IF('II. Inputs, Baseline Energy Mix'!$R$96="User-defined, annually adjusted",'IV. LCOE, Baseline Energy Mix'!AT216,IF('II. Inputs, Baseline Energy Mix'!$R$96="Manual Entry",'IV. LCOE, Baseline Energy Mix'!AT218,AT217)))</f>
        <v>0</v>
      </c>
      <c r="AU214" s="1283">
        <f>IF('II. Inputs, Baseline Energy Mix'!$R$96="Model Default",'IV. LCOE, Baseline Energy Mix'!AU215,IF('II. Inputs, Baseline Energy Mix'!$R$96="User-defined, annually adjusted",'IV. LCOE, Baseline Energy Mix'!AU216,IF('II. Inputs, Baseline Energy Mix'!$R$96="Manual Entry",'IV. LCOE, Baseline Energy Mix'!AU218,AU217)))</f>
        <v>0</v>
      </c>
      <c r="AV214" s="1283">
        <f>IF('II. Inputs, Baseline Energy Mix'!$R$96="Model Default",'IV. LCOE, Baseline Energy Mix'!AV215,IF('II. Inputs, Baseline Energy Mix'!$R$96="User-defined, annually adjusted",'IV. LCOE, Baseline Energy Mix'!AV216,IF('II. Inputs, Baseline Energy Mix'!$R$96="Manual Entry",'IV. LCOE, Baseline Energy Mix'!AV218,AV217)))</f>
        <v>0</v>
      </c>
      <c r="AW214" s="1283">
        <f>IF('II. Inputs, Baseline Energy Mix'!$R$96="Model Default",'IV. LCOE, Baseline Energy Mix'!AW215,IF('II. Inputs, Baseline Energy Mix'!$R$96="User-defined, annually adjusted",'IV. LCOE, Baseline Energy Mix'!AW216,IF('II. Inputs, Baseline Energy Mix'!$R$96="Manual Entry",'IV. LCOE, Baseline Energy Mix'!AW218,AW217)))</f>
        <v>0</v>
      </c>
      <c r="AX214" s="1283">
        <f>IF('II. Inputs, Baseline Energy Mix'!$R$96="Model Default",'IV. LCOE, Baseline Energy Mix'!AX215,IF('II. Inputs, Baseline Energy Mix'!$R$96="User-defined, annually adjusted",'IV. LCOE, Baseline Energy Mix'!AX216,IF('II. Inputs, Baseline Energy Mix'!$R$96="Manual Entry",'IV. LCOE, Baseline Energy Mix'!AX218,AX217)))</f>
        <v>0</v>
      </c>
      <c r="AY214" s="1283">
        <f>IF('II. Inputs, Baseline Energy Mix'!$R$96="Model Default",'IV. LCOE, Baseline Energy Mix'!AY215,IF('II. Inputs, Baseline Energy Mix'!$R$96="User-defined, annually adjusted",'IV. LCOE, Baseline Energy Mix'!AY216,IF('II. Inputs, Baseline Energy Mix'!$R$96="Manual Entry",'IV. LCOE, Baseline Energy Mix'!AY218,AY217)))</f>
        <v>0</v>
      </c>
      <c r="AZ214" s="1283">
        <f>IF('II. Inputs, Baseline Energy Mix'!$R$96="Model Default",'IV. LCOE, Baseline Energy Mix'!AZ215,IF('II. Inputs, Baseline Energy Mix'!$R$96="User-defined, annually adjusted",'IV. LCOE, Baseline Energy Mix'!AZ216,IF('II. Inputs, Baseline Energy Mix'!$R$96="Manual Entry",'IV. LCOE, Baseline Energy Mix'!AZ218,AZ217)))</f>
        <v>0</v>
      </c>
      <c r="BA214" s="1283">
        <f>IF('II. Inputs, Baseline Energy Mix'!$R$96="Model Default",'IV. LCOE, Baseline Energy Mix'!BA215,IF('II. Inputs, Baseline Energy Mix'!$R$96="User-defined, annually adjusted",'IV. LCOE, Baseline Energy Mix'!BA216,IF('II. Inputs, Baseline Energy Mix'!$R$96="Manual Entry",'IV. LCOE, Baseline Energy Mix'!BA218,BA217)))</f>
        <v>0</v>
      </c>
      <c r="BB214" s="1283">
        <f>IF('II. Inputs, Baseline Energy Mix'!$R$96="Model Default",'IV. LCOE, Baseline Energy Mix'!BB215,IF('II. Inputs, Baseline Energy Mix'!$R$96="User-defined, annually adjusted",'IV. LCOE, Baseline Energy Mix'!BB216,IF('II. Inputs, Baseline Energy Mix'!$R$96="Manual Entry",'IV. LCOE, Baseline Energy Mix'!BB218,BB217)))</f>
        <v>0</v>
      </c>
      <c r="BC214" s="1283">
        <f>IF('II. Inputs, Baseline Energy Mix'!$R$96="Model Default",'IV. LCOE, Baseline Energy Mix'!BC215,IF('II. Inputs, Baseline Energy Mix'!$R$96="User-defined, annually adjusted",'IV. LCOE, Baseline Energy Mix'!BC216,IF('II. Inputs, Baseline Energy Mix'!$R$96="Manual Entry",'IV. LCOE, Baseline Energy Mix'!BC218,BC217)))</f>
        <v>0</v>
      </c>
      <c r="BD214" s="1283">
        <f>IF('II. Inputs, Baseline Energy Mix'!$R$96="Model Default",'IV. LCOE, Baseline Energy Mix'!BD215,IF('II. Inputs, Baseline Energy Mix'!$R$96="User-defined, annually adjusted",'IV. LCOE, Baseline Energy Mix'!BD216,IF('II. Inputs, Baseline Energy Mix'!$R$96="Manual Entry",'IV. LCOE, Baseline Energy Mix'!BD218,BD217)))</f>
        <v>0</v>
      </c>
      <c r="BE214" s="1284">
        <f>IF('II. Inputs, Baseline Energy Mix'!$R$96="Model Default",'IV. LCOE, Baseline Energy Mix'!BE215,IF('II. Inputs, Baseline Energy Mix'!$R$96="User-defined, annually adjusted",'IV. LCOE, Baseline Energy Mix'!BE216,IF('II. Inputs, Baseline Energy Mix'!$R$96="Manual Entry",'IV. LCOE, Baseline Energy Mix'!BE218,BE217)))</f>
        <v>0</v>
      </c>
    </row>
    <row r="215" spans="2:57" outlineLevel="1" x14ac:dyDescent="0.25">
      <c r="B215" s="332"/>
      <c r="C215" s="333" t="s">
        <v>160</v>
      </c>
      <c r="D215" s="333"/>
      <c r="E215" s="336"/>
      <c r="F215" s="336"/>
      <c r="G215" s="333"/>
      <c r="H215" s="1283">
        <f>H206*VLOOKUP('IV. LCOE, Baseline Energy Mix'!H$13,'IX. Additional Data'!$C$17:$V$66,7, FALSE)</f>
        <v>0</v>
      </c>
      <c r="I215" s="1283">
        <f>I206*VLOOKUP('IV. LCOE, Baseline Energy Mix'!I$13,'IX. Additional Data'!$C$17:$V$66,7, FALSE)</f>
        <v>0</v>
      </c>
      <c r="J215" s="1283">
        <f>J206*VLOOKUP('IV. LCOE, Baseline Energy Mix'!J$13,'IX. Additional Data'!$C$17:$V$66,7, FALSE)</f>
        <v>0</v>
      </c>
      <c r="K215" s="1283">
        <f>K206*VLOOKUP('IV. LCOE, Baseline Energy Mix'!K$13,'IX. Additional Data'!$C$17:$V$66,7, FALSE)</f>
        <v>0</v>
      </c>
      <c r="L215" s="1283">
        <f>L206*VLOOKUP('IV. LCOE, Baseline Energy Mix'!L$13,'IX. Additional Data'!$C$17:$V$66,7, FALSE)</f>
        <v>0</v>
      </c>
      <c r="M215" s="1283">
        <f>M206*VLOOKUP('IV. LCOE, Baseline Energy Mix'!M$13,'IX. Additional Data'!$C$17:$V$66,7, FALSE)</f>
        <v>0</v>
      </c>
      <c r="N215" s="1283">
        <f>N206*VLOOKUP('IV. LCOE, Baseline Energy Mix'!N$13,'IX. Additional Data'!$C$17:$V$66,7, FALSE)</f>
        <v>0</v>
      </c>
      <c r="O215" s="1283">
        <f>O206*VLOOKUP('IV. LCOE, Baseline Energy Mix'!O$13,'IX. Additional Data'!$C$17:$V$66,7, FALSE)</f>
        <v>0</v>
      </c>
      <c r="P215" s="1283">
        <f>P206*VLOOKUP('IV. LCOE, Baseline Energy Mix'!P$13,'IX. Additional Data'!$C$17:$V$66,7, FALSE)</f>
        <v>0</v>
      </c>
      <c r="Q215" s="1283">
        <f>Q206*VLOOKUP('IV. LCOE, Baseline Energy Mix'!Q$13,'IX. Additional Data'!$C$17:$V$66,7, FALSE)</f>
        <v>0</v>
      </c>
      <c r="R215" s="1283">
        <f>R206*VLOOKUP('IV. LCOE, Baseline Energy Mix'!R$13,'IX. Additional Data'!$C$17:$V$66,7, FALSE)</f>
        <v>0</v>
      </c>
      <c r="S215" s="1283">
        <f>S206*VLOOKUP('IV. LCOE, Baseline Energy Mix'!S$13,'IX. Additional Data'!$C$17:$V$66,7, FALSE)</f>
        <v>0</v>
      </c>
      <c r="T215" s="1283">
        <f>T206*VLOOKUP('IV. LCOE, Baseline Energy Mix'!T$13,'IX. Additional Data'!$C$17:$V$66,7, FALSE)</f>
        <v>0</v>
      </c>
      <c r="U215" s="1283">
        <f>U206*VLOOKUP('IV. LCOE, Baseline Energy Mix'!U$13,'IX. Additional Data'!$C$17:$V$66,7, FALSE)</f>
        <v>0</v>
      </c>
      <c r="V215" s="1283">
        <f>V206*VLOOKUP('IV. LCOE, Baseline Energy Mix'!V$13,'IX. Additional Data'!$C$17:$V$66,7, FALSE)</f>
        <v>0</v>
      </c>
      <c r="W215" s="1283">
        <f>W206*VLOOKUP('IV. LCOE, Baseline Energy Mix'!W$13,'IX. Additional Data'!$C$17:$V$66,7, FALSE)</f>
        <v>0</v>
      </c>
      <c r="X215" s="1283">
        <f>X206*VLOOKUP('IV. LCOE, Baseline Energy Mix'!X$13,'IX. Additional Data'!$C$17:$V$66,7, FALSE)</f>
        <v>0</v>
      </c>
      <c r="Y215" s="1283">
        <f>Y206*VLOOKUP('IV. LCOE, Baseline Energy Mix'!Y$13,'IX. Additional Data'!$C$17:$V$66,7, FALSE)</f>
        <v>0</v>
      </c>
      <c r="Z215" s="1283">
        <f>Z206*VLOOKUP('IV. LCOE, Baseline Energy Mix'!Z$13,'IX. Additional Data'!$C$17:$V$66,7, FALSE)</f>
        <v>0</v>
      </c>
      <c r="AA215" s="1283">
        <f>AA206*VLOOKUP('IV. LCOE, Baseline Energy Mix'!AA$13,'IX. Additional Data'!$C$17:$V$66,7, FALSE)</f>
        <v>0</v>
      </c>
      <c r="AB215" s="1283">
        <f>AB206*VLOOKUP('IV. LCOE, Baseline Energy Mix'!AB$13,'IX. Additional Data'!$C$17:$V$66,7, FALSE)</f>
        <v>0</v>
      </c>
      <c r="AC215" s="1283">
        <f>AC206*VLOOKUP('IV. LCOE, Baseline Energy Mix'!AC$13,'IX. Additional Data'!$C$17:$V$66,7, FALSE)</f>
        <v>0</v>
      </c>
      <c r="AD215" s="1283">
        <f>AD206*VLOOKUP('IV. LCOE, Baseline Energy Mix'!AD$13,'IX. Additional Data'!$C$17:$V$66,7, FALSE)</f>
        <v>0</v>
      </c>
      <c r="AE215" s="1283">
        <f>AE206*VLOOKUP('IV. LCOE, Baseline Energy Mix'!AE$13,'IX. Additional Data'!$C$17:$V$66,7, FALSE)</f>
        <v>0</v>
      </c>
      <c r="AF215" s="1283">
        <f>AF206*VLOOKUP('IV. LCOE, Baseline Energy Mix'!AF$13,'IX. Additional Data'!$C$17:$V$66,7, FALSE)</f>
        <v>0</v>
      </c>
      <c r="AG215" s="1283">
        <f>AG206*VLOOKUP('IV. LCOE, Baseline Energy Mix'!AG$13,'IX. Additional Data'!$C$17:$V$66,7, FALSE)</f>
        <v>0</v>
      </c>
      <c r="AH215" s="1283">
        <f>AH206*VLOOKUP('IV. LCOE, Baseline Energy Mix'!AH$13,'IX. Additional Data'!$C$17:$V$66,7, FALSE)</f>
        <v>0</v>
      </c>
      <c r="AI215" s="1283">
        <f>AI206*VLOOKUP('IV. LCOE, Baseline Energy Mix'!AI$13,'IX. Additional Data'!$C$17:$V$66,7, FALSE)</f>
        <v>0</v>
      </c>
      <c r="AJ215" s="1283">
        <f>AJ206*VLOOKUP('IV. LCOE, Baseline Energy Mix'!AJ$13,'IX. Additional Data'!$C$17:$V$66,7, FALSE)</f>
        <v>0</v>
      </c>
      <c r="AK215" s="1283">
        <f>AK206*VLOOKUP('IV. LCOE, Baseline Energy Mix'!AK$13,'IX. Additional Data'!$C$17:$V$66,7, FALSE)</f>
        <v>0</v>
      </c>
      <c r="AL215" s="1283">
        <f>AL206*VLOOKUP('IV. LCOE, Baseline Energy Mix'!AL$13,'IX. Additional Data'!$C$17:$V$66,7, FALSE)</f>
        <v>0</v>
      </c>
      <c r="AM215" s="1283">
        <f>AM206*VLOOKUP('IV. LCOE, Baseline Energy Mix'!AM$13,'IX. Additional Data'!$C$17:$V$66,7, FALSE)</f>
        <v>0</v>
      </c>
      <c r="AN215" s="1283">
        <f>AN206*VLOOKUP('IV. LCOE, Baseline Energy Mix'!AN$13,'IX. Additional Data'!$C$17:$V$66,7, FALSE)</f>
        <v>0</v>
      </c>
      <c r="AO215" s="1283">
        <f>AO206*VLOOKUP('IV. LCOE, Baseline Energy Mix'!AO$13,'IX. Additional Data'!$C$17:$V$66,7, FALSE)</f>
        <v>0</v>
      </c>
      <c r="AP215" s="1283">
        <f>AP206*VLOOKUP('IV. LCOE, Baseline Energy Mix'!AP$13,'IX. Additional Data'!$C$17:$V$66,7, FALSE)</f>
        <v>0</v>
      </c>
      <c r="AQ215" s="1283">
        <f>AQ206*VLOOKUP('IV. LCOE, Baseline Energy Mix'!AQ$13,'IX. Additional Data'!$C$17:$V$66,7, FALSE)</f>
        <v>0</v>
      </c>
      <c r="AR215" s="1283">
        <f>AR206*VLOOKUP('IV. LCOE, Baseline Energy Mix'!AR$13,'IX. Additional Data'!$C$17:$V$66,7, FALSE)</f>
        <v>0</v>
      </c>
      <c r="AS215" s="1283">
        <f>AS206*VLOOKUP('IV. LCOE, Baseline Energy Mix'!AS$13,'IX. Additional Data'!$C$17:$V$66,7, FALSE)</f>
        <v>0</v>
      </c>
      <c r="AT215" s="1283">
        <f>AT206*VLOOKUP('IV. LCOE, Baseline Energy Mix'!AT$13,'IX. Additional Data'!$C$17:$V$66,7, FALSE)</f>
        <v>0</v>
      </c>
      <c r="AU215" s="1283">
        <f>AU206*VLOOKUP('IV. LCOE, Baseline Energy Mix'!AU$13,'IX. Additional Data'!$C$17:$V$66,7, FALSE)</f>
        <v>0</v>
      </c>
      <c r="AV215" s="1283">
        <f>AV206*VLOOKUP('IV. LCOE, Baseline Energy Mix'!AV$13,'IX. Additional Data'!$C$17:$V$66,7, FALSE)</f>
        <v>0</v>
      </c>
      <c r="AW215" s="1283">
        <f>AW206*VLOOKUP('IV. LCOE, Baseline Energy Mix'!AW$13,'IX. Additional Data'!$C$17:$V$66,7, FALSE)</f>
        <v>0</v>
      </c>
      <c r="AX215" s="1283">
        <f>AX206*VLOOKUP('IV. LCOE, Baseline Energy Mix'!AX$13,'IX. Additional Data'!$C$17:$V$66,7, FALSE)</f>
        <v>0</v>
      </c>
      <c r="AY215" s="1283">
        <f>AY206*VLOOKUP('IV. LCOE, Baseline Energy Mix'!AY$13,'IX. Additional Data'!$C$17:$V$66,7, FALSE)</f>
        <v>0</v>
      </c>
      <c r="AZ215" s="1283">
        <f>AZ206*VLOOKUP('IV. LCOE, Baseline Energy Mix'!AZ$13,'IX. Additional Data'!$C$17:$V$66,7, FALSE)</f>
        <v>0</v>
      </c>
      <c r="BA215" s="1283">
        <f>BA206*VLOOKUP('IV. LCOE, Baseline Energy Mix'!BA$13,'IX. Additional Data'!$C$17:$V$66,7, FALSE)</f>
        <v>0</v>
      </c>
      <c r="BB215" s="1283">
        <f>BB206*VLOOKUP('IV. LCOE, Baseline Energy Mix'!BB$13,'IX. Additional Data'!$C$17:$V$66,7, FALSE)</f>
        <v>0</v>
      </c>
      <c r="BC215" s="1283">
        <f>BC206*VLOOKUP('IV. LCOE, Baseline Energy Mix'!BC$13,'IX. Additional Data'!$C$17:$V$66,7, FALSE)</f>
        <v>0</v>
      </c>
      <c r="BD215" s="1283">
        <f>BD206*VLOOKUP('IV. LCOE, Baseline Energy Mix'!BD$13,'IX. Additional Data'!$C$17:$V$66,7, FALSE)</f>
        <v>0</v>
      </c>
      <c r="BE215" s="1284">
        <f>BE206*VLOOKUP('IV. LCOE, Baseline Energy Mix'!BE$13,'IX. Additional Data'!$C$17:$V$66,7, FALSE)</f>
        <v>0</v>
      </c>
    </row>
    <row r="216" spans="2:57" outlineLevel="1" x14ac:dyDescent="0.25">
      <c r="B216" s="332"/>
      <c r="C216" s="333" t="s">
        <v>161</v>
      </c>
      <c r="D216" s="333"/>
      <c r="E216" s="336"/>
      <c r="F216" s="336"/>
      <c r="G216" s="333"/>
      <c r="H216" s="1283">
        <f>H206*'II. Inputs, Baseline Energy Mix'!$R$98*(1+'II. Inputs, Baseline Energy Mix'!$R$99)^('IV. LCOE, Baseline Energy Mix'!H$13-1)</f>
        <v>0</v>
      </c>
      <c r="I216" s="1283">
        <f>I206*'II. Inputs, Baseline Energy Mix'!$R$98*(1+'II. Inputs, Baseline Energy Mix'!$R$99)^('IV. LCOE, Baseline Energy Mix'!I$13-1)</f>
        <v>0</v>
      </c>
      <c r="J216" s="1283">
        <f>J206*'II. Inputs, Baseline Energy Mix'!$R$98*(1+'II. Inputs, Baseline Energy Mix'!$R$99)^('IV. LCOE, Baseline Energy Mix'!J$13-1)</f>
        <v>0</v>
      </c>
      <c r="K216" s="1283">
        <f>K206*'II. Inputs, Baseline Energy Mix'!$R$98*(1+'II. Inputs, Baseline Energy Mix'!$R$99)^('IV. LCOE, Baseline Energy Mix'!K$13-1)</f>
        <v>0</v>
      </c>
      <c r="L216" s="1283">
        <f>L206*'II. Inputs, Baseline Energy Mix'!$R$98*(1+'II. Inputs, Baseline Energy Mix'!$R$99)^('IV. LCOE, Baseline Energy Mix'!L$13-1)</f>
        <v>0</v>
      </c>
      <c r="M216" s="1283">
        <f>M206*'II. Inputs, Baseline Energy Mix'!$R$98*(1+'II. Inputs, Baseline Energy Mix'!$R$99)^('IV. LCOE, Baseline Energy Mix'!M$13-1)</f>
        <v>0</v>
      </c>
      <c r="N216" s="1283">
        <f>N206*'II. Inputs, Baseline Energy Mix'!$R$98*(1+'II. Inputs, Baseline Energy Mix'!$R$99)^('IV. LCOE, Baseline Energy Mix'!N$13-1)</f>
        <v>0</v>
      </c>
      <c r="O216" s="1283">
        <f>O206*'II. Inputs, Baseline Energy Mix'!$R$98*(1+'II. Inputs, Baseline Energy Mix'!$R$99)^('IV. LCOE, Baseline Energy Mix'!O$13-1)</f>
        <v>0</v>
      </c>
      <c r="P216" s="1283">
        <f>P206*'II. Inputs, Baseline Energy Mix'!$R$98*(1+'II. Inputs, Baseline Energy Mix'!$R$99)^('IV. LCOE, Baseline Energy Mix'!P$13-1)</f>
        <v>0</v>
      </c>
      <c r="Q216" s="1283">
        <f>Q206*'II. Inputs, Baseline Energy Mix'!$R$98*(1+'II. Inputs, Baseline Energy Mix'!$R$99)^('IV. LCOE, Baseline Energy Mix'!Q$13-1)</f>
        <v>0</v>
      </c>
      <c r="R216" s="1283">
        <f>R206*'II. Inputs, Baseline Energy Mix'!$R$98*(1+'II. Inputs, Baseline Energy Mix'!$R$99)^('IV. LCOE, Baseline Energy Mix'!R$13-1)</f>
        <v>0</v>
      </c>
      <c r="S216" s="1283">
        <f>S206*'II. Inputs, Baseline Energy Mix'!$R$98*(1+'II. Inputs, Baseline Energy Mix'!$R$99)^('IV. LCOE, Baseline Energy Mix'!S$13-1)</f>
        <v>0</v>
      </c>
      <c r="T216" s="1283">
        <f>T206*'II. Inputs, Baseline Energy Mix'!$R$98*(1+'II. Inputs, Baseline Energy Mix'!$R$99)^('IV. LCOE, Baseline Energy Mix'!T$13-1)</f>
        <v>0</v>
      </c>
      <c r="U216" s="1283">
        <f>U206*'II. Inputs, Baseline Energy Mix'!$R$98*(1+'II. Inputs, Baseline Energy Mix'!$R$99)^('IV. LCOE, Baseline Energy Mix'!U$13-1)</f>
        <v>0</v>
      </c>
      <c r="V216" s="1283">
        <f>V206*'II. Inputs, Baseline Energy Mix'!$R$98*(1+'II. Inputs, Baseline Energy Mix'!$R$99)^('IV. LCOE, Baseline Energy Mix'!V$13-1)</f>
        <v>0</v>
      </c>
      <c r="W216" s="1283">
        <f>W206*'II. Inputs, Baseline Energy Mix'!$R$98*(1+'II. Inputs, Baseline Energy Mix'!$R$99)^('IV. LCOE, Baseline Energy Mix'!W$13-1)</f>
        <v>0</v>
      </c>
      <c r="X216" s="1283">
        <f>X206*'II. Inputs, Baseline Energy Mix'!$R$98*(1+'II. Inputs, Baseline Energy Mix'!$R$99)^('IV. LCOE, Baseline Energy Mix'!X$13-1)</f>
        <v>0</v>
      </c>
      <c r="Y216" s="1283">
        <f>Y206*'II. Inputs, Baseline Energy Mix'!$R$98*(1+'II. Inputs, Baseline Energy Mix'!$R$99)^('IV. LCOE, Baseline Energy Mix'!Y$13-1)</f>
        <v>0</v>
      </c>
      <c r="Z216" s="1283">
        <f>Z206*'II. Inputs, Baseline Energy Mix'!$R$98*(1+'II. Inputs, Baseline Energy Mix'!$R$99)^('IV. LCOE, Baseline Energy Mix'!Z$13-1)</f>
        <v>0</v>
      </c>
      <c r="AA216" s="1283">
        <f>AA206*'II. Inputs, Baseline Energy Mix'!$R$98*(1+'II. Inputs, Baseline Energy Mix'!$R$99)^('IV. LCOE, Baseline Energy Mix'!AA$13-1)</f>
        <v>0</v>
      </c>
      <c r="AB216" s="1283">
        <f>AB206*'II. Inputs, Baseline Energy Mix'!$R$98*(1+'II. Inputs, Baseline Energy Mix'!$R$99)^('IV. LCOE, Baseline Energy Mix'!AB$13-1)</f>
        <v>0</v>
      </c>
      <c r="AC216" s="1283">
        <f>AC206*'II. Inputs, Baseline Energy Mix'!$R$98*(1+'II. Inputs, Baseline Energy Mix'!$R$99)^('IV. LCOE, Baseline Energy Mix'!AC$13-1)</f>
        <v>0</v>
      </c>
      <c r="AD216" s="1283">
        <f>AD206*'II. Inputs, Baseline Energy Mix'!$R$98*(1+'II. Inputs, Baseline Energy Mix'!$R$99)^('IV. LCOE, Baseline Energy Mix'!AD$13-1)</f>
        <v>0</v>
      </c>
      <c r="AE216" s="1283">
        <f>AE206*'II. Inputs, Baseline Energy Mix'!$R$98*(1+'II. Inputs, Baseline Energy Mix'!$R$99)^('IV. LCOE, Baseline Energy Mix'!AE$13-1)</f>
        <v>0</v>
      </c>
      <c r="AF216" s="1283">
        <f>AF206*'II. Inputs, Baseline Energy Mix'!$R$98*(1+'II. Inputs, Baseline Energy Mix'!$R$99)^('IV. LCOE, Baseline Energy Mix'!AF$13-1)</f>
        <v>0</v>
      </c>
      <c r="AG216" s="1283">
        <f>AG206*'II. Inputs, Baseline Energy Mix'!$R$98*(1+'II. Inputs, Baseline Energy Mix'!$R$99)^('IV. LCOE, Baseline Energy Mix'!AG$13-1)</f>
        <v>0</v>
      </c>
      <c r="AH216" s="1283">
        <f>AH206*'II. Inputs, Baseline Energy Mix'!$R$98*(1+'II. Inputs, Baseline Energy Mix'!$R$99)^('IV. LCOE, Baseline Energy Mix'!AH$13-1)</f>
        <v>0</v>
      </c>
      <c r="AI216" s="1283">
        <f>AI206*'II. Inputs, Baseline Energy Mix'!$R$98*(1+'II. Inputs, Baseline Energy Mix'!$R$99)^('IV. LCOE, Baseline Energy Mix'!AI$13-1)</f>
        <v>0</v>
      </c>
      <c r="AJ216" s="1283">
        <f>AJ206*'II. Inputs, Baseline Energy Mix'!$R$98*(1+'II. Inputs, Baseline Energy Mix'!$R$99)^('IV. LCOE, Baseline Energy Mix'!AJ$13-1)</f>
        <v>0</v>
      </c>
      <c r="AK216" s="1283">
        <f>AK206*'II. Inputs, Baseline Energy Mix'!$R$98*(1+'II. Inputs, Baseline Energy Mix'!$R$99)^('IV. LCOE, Baseline Energy Mix'!AK$13-1)</f>
        <v>0</v>
      </c>
      <c r="AL216" s="1283">
        <f>AL206*'II. Inputs, Baseline Energy Mix'!$R$98*(1+'II. Inputs, Baseline Energy Mix'!$R$99)^('IV. LCOE, Baseline Energy Mix'!AL$13-1)</f>
        <v>0</v>
      </c>
      <c r="AM216" s="1283">
        <f>AM206*'II. Inputs, Baseline Energy Mix'!$R$98*(1+'II. Inputs, Baseline Energy Mix'!$R$99)^('IV. LCOE, Baseline Energy Mix'!AM$13-1)</f>
        <v>0</v>
      </c>
      <c r="AN216" s="1283">
        <f>AN206*'II. Inputs, Baseline Energy Mix'!$R$98*(1+'II. Inputs, Baseline Energy Mix'!$R$99)^('IV. LCOE, Baseline Energy Mix'!AN$13-1)</f>
        <v>0</v>
      </c>
      <c r="AO216" s="1283">
        <f>AO206*'II. Inputs, Baseline Energy Mix'!$R$98*(1+'II. Inputs, Baseline Energy Mix'!$R$99)^('IV. LCOE, Baseline Energy Mix'!AO$13-1)</f>
        <v>0</v>
      </c>
      <c r="AP216" s="1283">
        <f>AP206*'II. Inputs, Baseline Energy Mix'!$R$98*(1+'II. Inputs, Baseline Energy Mix'!$R$99)^('IV. LCOE, Baseline Energy Mix'!AP$13-1)</f>
        <v>0</v>
      </c>
      <c r="AQ216" s="1283">
        <f>AQ206*'II. Inputs, Baseline Energy Mix'!$R$98*(1+'II. Inputs, Baseline Energy Mix'!$R$99)^('IV. LCOE, Baseline Energy Mix'!AQ$13-1)</f>
        <v>0</v>
      </c>
      <c r="AR216" s="1283">
        <f>AR206*'II. Inputs, Baseline Energy Mix'!$R$98*(1+'II. Inputs, Baseline Energy Mix'!$R$99)^('IV. LCOE, Baseline Energy Mix'!AR$13-1)</f>
        <v>0</v>
      </c>
      <c r="AS216" s="1283">
        <f>AS206*'II. Inputs, Baseline Energy Mix'!$R$98*(1+'II. Inputs, Baseline Energy Mix'!$R$99)^('IV. LCOE, Baseline Energy Mix'!AS$13-1)</f>
        <v>0</v>
      </c>
      <c r="AT216" s="1283">
        <f>AT206*'II. Inputs, Baseline Energy Mix'!$R$98*(1+'II. Inputs, Baseline Energy Mix'!$R$99)^('IV. LCOE, Baseline Energy Mix'!AT$13-1)</f>
        <v>0</v>
      </c>
      <c r="AU216" s="1283">
        <f>AU206*'II. Inputs, Baseline Energy Mix'!$R$98*(1+'II. Inputs, Baseline Energy Mix'!$R$99)^('IV. LCOE, Baseline Energy Mix'!AU$13-1)</f>
        <v>0</v>
      </c>
      <c r="AV216" s="1283">
        <f>AV206*'II. Inputs, Baseline Energy Mix'!$R$98*(1+'II. Inputs, Baseline Energy Mix'!$R$99)^('IV. LCOE, Baseline Energy Mix'!AV$13-1)</f>
        <v>0</v>
      </c>
      <c r="AW216" s="1283">
        <f>AW206*'II. Inputs, Baseline Energy Mix'!$R$98*(1+'II. Inputs, Baseline Energy Mix'!$R$99)^('IV. LCOE, Baseline Energy Mix'!AW$13-1)</f>
        <v>0</v>
      </c>
      <c r="AX216" s="1283">
        <f>AX206*'II. Inputs, Baseline Energy Mix'!$R$98*(1+'II. Inputs, Baseline Energy Mix'!$R$99)^('IV. LCOE, Baseline Energy Mix'!AX$13-1)</f>
        <v>0</v>
      </c>
      <c r="AY216" s="1283">
        <f>AY206*'II. Inputs, Baseline Energy Mix'!$R$98*(1+'II. Inputs, Baseline Energy Mix'!$R$99)^('IV. LCOE, Baseline Energy Mix'!AY$13-1)</f>
        <v>0</v>
      </c>
      <c r="AZ216" s="1283">
        <f>AZ206*'II. Inputs, Baseline Energy Mix'!$R$98*(1+'II. Inputs, Baseline Energy Mix'!$R$99)^('IV. LCOE, Baseline Energy Mix'!AZ$13-1)</f>
        <v>0</v>
      </c>
      <c r="BA216" s="1283">
        <f>BA206*'II. Inputs, Baseline Energy Mix'!$R$98*(1+'II. Inputs, Baseline Energy Mix'!$R$99)^('IV. LCOE, Baseline Energy Mix'!BA$13-1)</f>
        <v>0</v>
      </c>
      <c r="BB216" s="1283">
        <f>BB206*'II. Inputs, Baseline Energy Mix'!$R$98*(1+'II. Inputs, Baseline Energy Mix'!$R$99)^('IV. LCOE, Baseline Energy Mix'!BB$13-1)</f>
        <v>0</v>
      </c>
      <c r="BC216" s="1283">
        <f>BC206*'II. Inputs, Baseline Energy Mix'!$R$98*(1+'II. Inputs, Baseline Energy Mix'!$R$99)^('IV. LCOE, Baseline Energy Mix'!BC$13-1)</f>
        <v>0</v>
      </c>
      <c r="BD216" s="1283">
        <f>BD206*'II. Inputs, Baseline Energy Mix'!$R$98*(1+'II. Inputs, Baseline Energy Mix'!$R$99)^('IV. LCOE, Baseline Energy Mix'!BD$13-1)</f>
        <v>0</v>
      </c>
      <c r="BE216" s="1284">
        <f>BE206*'II. Inputs, Baseline Energy Mix'!$R$98*(1+'II. Inputs, Baseline Energy Mix'!$R$99)^('IV. LCOE, Baseline Energy Mix'!BE$13-1)</f>
        <v>0</v>
      </c>
    </row>
    <row r="217" spans="2:57" outlineLevel="1" x14ac:dyDescent="0.25">
      <c r="B217" s="332"/>
      <c r="C217" s="333" t="s">
        <v>162</v>
      </c>
      <c r="D217" s="333"/>
      <c r="E217" s="336"/>
      <c r="F217" s="336"/>
      <c r="G217" s="333"/>
      <c r="H217" s="1283">
        <f xml:space="preserve"> H206*VLOOKUP('IV. LCOE, Baseline Energy Mix'!H$13,'IX. Additional Data'!$C$17:$V$66,13, FALSE)</f>
        <v>0</v>
      </c>
      <c r="I217" s="1283">
        <f xml:space="preserve"> I206*VLOOKUP('IV. LCOE, Baseline Energy Mix'!I$13,'IX. Additional Data'!$C$17:$V$66,13, FALSE)</f>
        <v>0</v>
      </c>
      <c r="J217" s="1283">
        <f xml:space="preserve"> J206*VLOOKUP('IV. LCOE, Baseline Energy Mix'!J$13,'IX. Additional Data'!$C$17:$V$66,13, FALSE)</f>
        <v>0</v>
      </c>
      <c r="K217" s="1283">
        <f xml:space="preserve"> K206*VLOOKUP('IV. LCOE, Baseline Energy Mix'!K$13,'IX. Additional Data'!$C$17:$V$66,13, FALSE)</f>
        <v>0</v>
      </c>
      <c r="L217" s="1283">
        <f xml:space="preserve"> L206*VLOOKUP('IV. LCOE, Baseline Energy Mix'!L$13,'IX. Additional Data'!$C$17:$V$66,13, FALSE)</f>
        <v>0</v>
      </c>
      <c r="M217" s="1283">
        <f xml:space="preserve"> M206*VLOOKUP('IV. LCOE, Baseline Energy Mix'!M$13,'IX. Additional Data'!$C$17:$V$66,13, FALSE)</f>
        <v>0</v>
      </c>
      <c r="N217" s="1283">
        <f xml:space="preserve"> N206*VLOOKUP('IV. LCOE, Baseline Energy Mix'!N$13,'IX. Additional Data'!$C$17:$V$66,13, FALSE)</f>
        <v>0</v>
      </c>
      <c r="O217" s="1283">
        <f xml:space="preserve"> O206*VLOOKUP('IV. LCOE, Baseline Energy Mix'!O$13,'IX. Additional Data'!$C$17:$V$66,13, FALSE)</f>
        <v>0</v>
      </c>
      <c r="P217" s="1283">
        <f xml:space="preserve"> P206*VLOOKUP('IV. LCOE, Baseline Energy Mix'!P$13,'IX. Additional Data'!$C$17:$V$66,13, FALSE)</f>
        <v>0</v>
      </c>
      <c r="Q217" s="1283">
        <f xml:space="preserve"> Q206*VLOOKUP('IV. LCOE, Baseline Energy Mix'!Q$13,'IX. Additional Data'!$C$17:$V$66,13, FALSE)</f>
        <v>0</v>
      </c>
      <c r="R217" s="1283">
        <f xml:space="preserve"> R206*VLOOKUP('IV. LCOE, Baseline Energy Mix'!R$13,'IX. Additional Data'!$C$17:$V$66,13, FALSE)</f>
        <v>0</v>
      </c>
      <c r="S217" s="1283">
        <f xml:space="preserve"> S206*VLOOKUP('IV. LCOE, Baseline Energy Mix'!S$13,'IX. Additional Data'!$C$17:$V$66,13, FALSE)</f>
        <v>0</v>
      </c>
      <c r="T217" s="1283">
        <f xml:space="preserve"> T206*VLOOKUP('IV. LCOE, Baseline Energy Mix'!T$13,'IX. Additional Data'!$C$17:$V$66,13, FALSE)</f>
        <v>0</v>
      </c>
      <c r="U217" s="1283">
        <f xml:space="preserve"> U206*VLOOKUP('IV. LCOE, Baseline Energy Mix'!U$13,'IX. Additional Data'!$C$17:$V$66,13, FALSE)</f>
        <v>0</v>
      </c>
      <c r="V217" s="1283">
        <f xml:space="preserve"> V206*VLOOKUP('IV. LCOE, Baseline Energy Mix'!V$13,'IX. Additional Data'!$C$17:$V$66,13, FALSE)</f>
        <v>0</v>
      </c>
      <c r="W217" s="1283">
        <f xml:space="preserve"> W206*VLOOKUP('IV. LCOE, Baseline Energy Mix'!W$13,'IX. Additional Data'!$C$17:$V$66,13, FALSE)</f>
        <v>0</v>
      </c>
      <c r="X217" s="1283">
        <f xml:space="preserve"> X206*VLOOKUP('IV. LCOE, Baseline Energy Mix'!X$13,'IX. Additional Data'!$C$17:$V$66,13, FALSE)</f>
        <v>0</v>
      </c>
      <c r="Y217" s="1283">
        <f xml:space="preserve"> Y206*VLOOKUP('IV. LCOE, Baseline Energy Mix'!Y$13,'IX. Additional Data'!$C$17:$V$66,13, FALSE)</f>
        <v>0</v>
      </c>
      <c r="Z217" s="1283">
        <f xml:space="preserve"> Z206*VLOOKUP('IV. LCOE, Baseline Energy Mix'!Z$13,'IX. Additional Data'!$C$17:$V$66,13, FALSE)</f>
        <v>0</v>
      </c>
      <c r="AA217" s="1283">
        <f xml:space="preserve"> AA206*VLOOKUP('IV. LCOE, Baseline Energy Mix'!AA$13,'IX. Additional Data'!$C$17:$V$66,13, FALSE)</f>
        <v>0</v>
      </c>
      <c r="AB217" s="1283">
        <f xml:space="preserve"> AB206*VLOOKUP('IV. LCOE, Baseline Energy Mix'!AB$13,'IX. Additional Data'!$C$17:$V$66,13, FALSE)</f>
        <v>0</v>
      </c>
      <c r="AC217" s="1283">
        <f xml:space="preserve"> AC206*VLOOKUP('IV. LCOE, Baseline Energy Mix'!AC$13,'IX. Additional Data'!$C$17:$V$66,13, FALSE)</f>
        <v>0</v>
      </c>
      <c r="AD217" s="1283">
        <f xml:space="preserve"> AD206*VLOOKUP('IV. LCOE, Baseline Energy Mix'!AD$13,'IX. Additional Data'!$C$17:$V$66,13, FALSE)</f>
        <v>0</v>
      </c>
      <c r="AE217" s="1283">
        <f xml:space="preserve"> AE206*VLOOKUP('IV. LCOE, Baseline Energy Mix'!AE$13,'IX. Additional Data'!$C$17:$V$66,13, FALSE)</f>
        <v>0</v>
      </c>
      <c r="AF217" s="1283">
        <f xml:space="preserve"> AF206*VLOOKUP('IV. LCOE, Baseline Energy Mix'!AF$13,'IX. Additional Data'!$C$17:$V$66,13, FALSE)</f>
        <v>0</v>
      </c>
      <c r="AG217" s="1283">
        <f xml:space="preserve"> AG206*VLOOKUP('IV. LCOE, Baseline Energy Mix'!AG$13,'IX. Additional Data'!$C$17:$V$66,13, FALSE)</f>
        <v>0</v>
      </c>
      <c r="AH217" s="1283">
        <f xml:space="preserve"> AH206*VLOOKUP('IV. LCOE, Baseline Energy Mix'!AH$13,'IX. Additional Data'!$C$17:$V$66,13, FALSE)</f>
        <v>0</v>
      </c>
      <c r="AI217" s="1283">
        <f xml:space="preserve"> AI206*VLOOKUP('IV. LCOE, Baseline Energy Mix'!AI$13,'IX. Additional Data'!$C$17:$V$66,13, FALSE)</f>
        <v>0</v>
      </c>
      <c r="AJ217" s="1283">
        <f xml:space="preserve"> AJ206*VLOOKUP('IV. LCOE, Baseline Energy Mix'!AJ$13,'IX. Additional Data'!$C$17:$V$66,13, FALSE)</f>
        <v>0</v>
      </c>
      <c r="AK217" s="1283">
        <f xml:space="preserve"> AK206*VLOOKUP('IV. LCOE, Baseline Energy Mix'!AK$13,'IX. Additional Data'!$C$17:$V$66,13, FALSE)</f>
        <v>0</v>
      </c>
      <c r="AL217" s="1283">
        <f xml:space="preserve"> AL206*VLOOKUP('IV. LCOE, Baseline Energy Mix'!AL$13,'IX. Additional Data'!$C$17:$V$66,13, FALSE)</f>
        <v>0</v>
      </c>
      <c r="AM217" s="1283">
        <f xml:space="preserve"> AM206*VLOOKUP('IV. LCOE, Baseline Energy Mix'!AM$13,'IX. Additional Data'!$C$17:$V$66,13, FALSE)</f>
        <v>0</v>
      </c>
      <c r="AN217" s="1283">
        <f xml:space="preserve"> AN206*VLOOKUP('IV. LCOE, Baseline Energy Mix'!AN$13,'IX. Additional Data'!$C$17:$V$66,13, FALSE)</f>
        <v>0</v>
      </c>
      <c r="AO217" s="1283">
        <f xml:space="preserve"> AO206*VLOOKUP('IV. LCOE, Baseline Energy Mix'!AO$13,'IX. Additional Data'!$C$17:$V$66,13, FALSE)</f>
        <v>0</v>
      </c>
      <c r="AP217" s="1283">
        <f xml:space="preserve"> AP206*VLOOKUP('IV. LCOE, Baseline Energy Mix'!AP$13,'IX. Additional Data'!$C$17:$V$66,13, FALSE)</f>
        <v>0</v>
      </c>
      <c r="AQ217" s="1283">
        <f xml:space="preserve"> AQ206*VLOOKUP('IV. LCOE, Baseline Energy Mix'!AQ$13,'IX. Additional Data'!$C$17:$V$66,13, FALSE)</f>
        <v>0</v>
      </c>
      <c r="AR217" s="1283">
        <f xml:space="preserve"> AR206*VLOOKUP('IV. LCOE, Baseline Energy Mix'!AR$13,'IX. Additional Data'!$C$17:$V$66,13, FALSE)</f>
        <v>0</v>
      </c>
      <c r="AS217" s="1283">
        <f xml:space="preserve"> AS206*VLOOKUP('IV. LCOE, Baseline Energy Mix'!AS$13,'IX. Additional Data'!$C$17:$V$66,13, FALSE)</f>
        <v>0</v>
      </c>
      <c r="AT217" s="1283">
        <f xml:space="preserve"> AT206*VLOOKUP('IV. LCOE, Baseline Energy Mix'!AT$13,'IX. Additional Data'!$C$17:$V$66,13, FALSE)</f>
        <v>0</v>
      </c>
      <c r="AU217" s="1283">
        <f xml:space="preserve"> AU206*VLOOKUP('IV. LCOE, Baseline Energy Mix'!AU$13,'IX. Additional Data'!$C$17:$V$66,13, FALSE)</f>
        <v>0</v>
      </c>
      <c r="AV217" s="1283">
        <f xml:space="preserve"> AV206*VLOOKUP('IV. LCOE, Baseline Energy Mix'!AV$13,'IX. Additional Data'!$C$17:$V$66,13, FALSE)</f>
        <v>0</v>
      </c>
      <c r="AW217" s="1283">
        <f xml:space="preserve"> AW206*VLOOKUP('IV. LCOE, Baseline Energy Mix'!AW$13,'IX. Additional Data'!$C$17:$V$66,13, FALSE)</f>
        <v>0</v>
      </c>
      <c r="AX217" s="1283">
        <f xml:space="preserve"> AX206*VLOOKUP('IV. LCOE, Baseline Energy Mix'!AX$13,'IX. Additional Data'!$C$17:$V$66,13, FALSE)</f>
        <v>0</v>
      </c>
      <c r="AY217" s="1283">
        <f xml:space="preserve"> AY206*VLOOKUP('IV. LCOE, Baseline Energy Mix'!AY$13,'IX. Additional Data'!$C$17:$V$66,13, FALSE)</f>
        <v>0</v>
      </c>
      <c r="AZ217" s="1283">
        <f xml:space="preserve"> AZ206*VLOOKUP('IV. LCOE, Baseline Energy Mix'!AZ$13,'IX. Additional Data'!$C$17:$V$66,13, FALSE)</f>
        <v>0</v>
      </c>
      <c r="BA217" s="1283">
        <f xml:space="preserve"> BA206*VLOOKUP('IV. LCOE, Baseline Energy Mix'!BA$13,'IX. Additional Data'!$C$17:$V$66,13, FALSE)</f>
        <v>0</v>
      </c>
      <c r="BB217" s="1283">
        <f xml:space="preserve"> BB206*VLOOKUP('IV. LCOE, Baseline Energy Mix'!BB$13,'IX. Additional Data'!$C$17:$V$66,13, FALSE)</f>
        <v>0</v>
      </c>
      <c r="BC217" s="1283">
        <f xml:space="preserve"> BC206*VLOOKUP('IV. LCOE, Baseline Energy Mix'!BC$13,'IX. Additional Data'!$C$17:$V$66,13, FALSE)</f>
        <v>0</v>
      </c>
      <c r="BD217" s="1283">
        <f xml:space="preserve"> BD206*VLOOKUP('IV. LCOE, Baseline Energy Mix'!BD$13,'IX. Additional Data'!$C$17:$V$66,13, FALSE)</f>
        <v>0</v>
      </c>
      <c r="BE217" s="1284">
        <f xml:space="preserve"> BE206*VLOOKUP('IV. LCOE, Baseline Energy Mix'!BE$13,'IX. Additional Data'!$C$17:$V$66,13, FALSE)</f>
        <v>0</v>
      </c>
    </row>
    <row r="218" spans="2:57" outlineLevel="1" x14ac:dyDescent="0.25">
      <c r="B218" s="332"/>
      <c r="C218" s="333" t="s">
        <v>163</v>
      </c>
      <c r="D218" s="333"/>
      <c r="E218" s="336"/>
      <c r="F218" s="336"/>
      <c r="G218" s="333"/>
      <c r="H218" s="1283">
        <f xml:space="preserve"> H206*VLOOKUP('IV. LCOE, Baseline Energy Mix'!H$13,'IX. Additional Data'!$C$17:$V$66,19, FALSE)</f>
        <v>0</v>
      </c>
      <c r="I218" s="1283">
        <f xml:space="preserve"> I206*VLOOKUP('IV. LCOE, Baseline Energy Mix'!I$13,'IX. Additional Data'!$C$17:$V$66,19, FALSE)</f>
        <v>0</v>
      </c>
      <c r="J218" s="1283">
        <f xml:space="preserve"> J206*VLOOKUP('IV. LCOE, Baseline Energy Mix'!J$13,'IX. Additional Data'!$C$17:$V$66,19, FALSE)</f>
        <v>0</v>
      </c>
      <c r="K218" s="1283">
        <f xml:space="preserve"> K206*VLOOKUP('IV. LCOE, Baseline Energy Mix'!K$13,'IX. Additional Data'!$C$17:$V$66,19, FALSE)</f>
        <v>0</v>
      </c>
      <c r="L218" s="1283">
        <f xml:space="preserve"> L206*VLOOKUP('IV. LCOE, Baseline Energy Mix'!L$13,'IX. Additional Data'!$C$17:$V$66,19, FALSE)</f>
        <v>0</v>
      </c>
      <c r="M218" s="1283">
        <f xml:space="preserve"> M206*VLOOKUP('IV. LCOE, Baseline Energy Mix'!M$13,'IX. Additional Data'!$C$17:$V$66,19, FALSE)</f>
        <v>0</v>
      </c>
      <c r="N218" s="1283">
        <f xml:space="preserve"> N206*VLOOKUP('IV. LCOE, Baseline Energy Mix'!N$13,'IX. Additional Data'!$C$17:$V$66,19, FALSE)</f>
        <v>0</v>
      </c>
      <c r="O218" s="1283">
        <f xml:space="preserve"> O206*VLOOKUP('IV. LCOE, Baseline Energy Mix'!O$13,'IX. Additional Data'!$C$17:$V$66,19, FALSE)</f>
        <v>0</v>
      </c>
      <c r="P218" s="1283">
        <f xml:space="preserve"> P206*VLOOKUP('IV. LCOE, Baseline Energy Mix'!P$13,'IX. Additional Data'!$C$17:$V$66,19, FALSE)</f>
        <v>0</v>
      </c>
      <c r="Q218" s="1283">
        <f xml:space="preserve"> Q206*VLOOKUP('IV. LCOE, Baseline Energy Mix'!Q$13,'IX. Additional Data'!$C$17:$V$66,19, FALSE)</f>
        <v>0</v>
      </c>
      <c r="R218" s="1283">
        <f xml:space="preserve"> R206*VLOOKUP('IV. LCOE, Baseline Energy Mix'!R$13,'IX. Additional Data'!$C$17:$V$66,19, FALSE)</f>
        <v>0</v>
      </c>
      <c r="S218" s="1283">
        <f xml:space="preserve"> S206*VLOOKUP('IV. LCOE, Baseline Energy Mix'!S$13,'IX. Additional Data'!$C$17:$V$66,19, FALSE)</f>
        <v>0</v>
      </c>
      <c r="T218" s="1283">
        <f xml:space="preserve"> T206*VLOOKUP('IV. LCOE, Baseline Energy Mix'!T$13,'IX. Additional Data'!$C$17:$V$66,19, FALSE)</f>
        <v>0</v>
      </c>
      <c r="U218" s="1283">
        <f xml:space="preserve"> U206*VLOOKUP('IV. LCOE, Baseline Energy Mix'!U$13,'IX. Additional Data'!$C$17:$V$66,19, FALSE)</f>
        <v>0</v>
      </c>
      <c r="V218" s="1283">
        <f xml:space="preserve"> V206*VLOOKUP('IV. LCOE, Baseline Energy Mix'!V$13,'IX. Additional Data'!$C$17:$V$66,19, FALSE)</f>
        <v>0</v>
      </c>
      <c r="W218" s="1283">
        <f xml:space="preserve"> W206*VLOOKUP('IV. LCOE, Baseline Energy Mix'!W$13,'IX. Additional Data'!$C$17:$V$66,19, FALSE)</f>
        <v>0</v>
      </c>
      <c r="X218" s="1283">
        <f xml:space="preserve"> X206*VLOOKUP('IV. LCOE, Baseline Energy Mix'!X$13,'IX. Additional Data'!$C$17:$V$66,19, FALSE)</f>
        <v>0</v>
      </c>
      <c r="Y218" s="1283">
        <f xml:space="preserve"> Y206*VLOOKUP('IV. LCOE, Baseline Energy Mix'!Y$13,'IX. Additional Data'!$C$17:$V$66,19, FALSE)</f>
        <v>0</v>
      </c>
      <c r="Z218" s="1283">
        <f xml:space="preserve"> Z206*VLOOKUP('IV. LCOE, Baseline Energy Mix'!Z$13,'IX. Additional Data'!$C$17:$V$66,19, FALSE)</f>
        <v>0</v>
      </c>
      <c r="AA218" s="1283">
        <f xml:space="preserve"> AA206*VLOOKUP('IV. LCOE, Baseline Energy Mix'!AA$13,'IX. Additional Data'!$C$17:$V$66,19, FALSE)</f>
        <v>0</v>
      </c>
      <c r="AB218" s="1283">
        <f xml:space="preserve"> AB206*VLOOKUP('IV. LCOE, Baseline Energy Mix'!AB$13,'IX. Additional Data'!$C$17:$V$66,19, FALSE)</f>
        <v>0</v>
      </c>
      <c r="AC218" s="1283">
        <f xml:space="preserve"> AC206*VLOOKUP('IV. LCOE, Baseline Energy Mix'!AC$13,'IX. Additional Data'!$C$17:$V$66,19, FALSE)</f>
        <v>0</v>
      </c>
      <c r="AD218" s="1283">
        <f xml:space="preserve"> AD206*VLOOKUP('IV. LCOE, Baseline Energy Mix'!AD$13,'IX. Additional Data'!$C$17:$V$66,19, FALSE)</f>
        <v>0</v>
      </c>
      <c r="AE218" s="1283">
        <f xml:space="preserve"> AE206*VLOOKUP('IV. LCOE, Baseline Energy Mix'!AE$13,'IX. Additional Data'!$C$17:$V$66,19, FALSE)</f>
        <v>0</v>
      </c>
      <c r="AF218" s="1283">
        <f xml:space="preserve"> AF206*VLOOKUP('IV. LCOE, Baseline Energy Mix'!AF$13,'IX. Additional Data'!$C$17:$V$66,19, FALSE)</f>
        <v>0</v>
      </c>
      <c r="AG218" s="1283">
        <f xml:space="preserve"> AG206*VLOOKUP('IV. LCOE, Baseline Energy Mix'!AG$13,'IX. Additional Data'!$C$17:$V$66,19, FALSE)</f>
        <v>0</v>
      </c>
      <c r="AH218" s="1283">
        <f xml:space="preserve"> AH206*VLOOKUP('IV. LCOE, Baseline Energy Mix'!AH$13,'IX. Additional Data'!$C$17:$V$66,19, FALSE)</f>
        <v>0</v>
      </c>
      <c r="AI218" s="1283">
        <f xml:space="preserve"> AI206*VLOOKUP('IV. LCOE, Baseline Energy Mix'!AI$13,'IX. Additional Data'!$C$17:$V$66,19, FALSE)</f>
        <v>0</v>
      </c>
      <c r="AJ218" s="1283">
        <f xml:space="preserve"> AJ206*VLOOKUP('IV. LCOE, Baseline Energy Mix'!AJ$13,'IX. Additional Data'!$C$17:$V$66,19, FALSE)</f>
        <v>0</v>
      </c>
      <c r="AK218" s="1283">
        <f xml:space="preserve"> AK206*VLOOKUP('IV. LCOE, Baseline Energy Mix'!AK$13,'IX. Additional Data'!$C$17:$V$66,19, FALSE)</f>
        <v>0</v>
      </c>
      <c r="AL218" s="1283">
        <f xml:space="preserve"> AL206*VLOOKUP('IV. LCOE, Baseline Energy Mix'!AL$13,'IX. Additional Data'!$C$17:$V$66,19, FALSE)</f>
        <v>0</v>
      </c>
      <c r="AM218" s="1283">
        <f xml:space="preserve"> AM206*VLOOKUP('IV. LCOE, Baseline Energy Mix'!AM$13,'IX. Additional Data'!$C$17:$V$66,19, FALSE)</f>
        <v>0</v>
      </c>
      <c r="AN218" s="1283">
        <f xml:space="preserve"> AN206*VLOOKUP('IV. LCOE, Baseline Energy Mix'!AN$13,'IX. Additional Data'!$C$17:$V$66,19, FALSE)</f>
        <v>0</v>
      </c>
      <c r="AO218" s="1283">
        <f xml:space="preserve"> AO206*VLOOKUP('IV. LCOE, Baseline Energy Mix'!AO$13,'IX. Additional Data'!$C$17:$V$66,19, FALSE)</f>
        <v>0</v>
      </c>
      <c r="AP218" s="1283">
        <f xml:space="preserve"> AP206*VLOOKUP('IV. LCOE, Baseline Energy Mix'!AP$13,'IX. Additional Data'!$C$17:$V$66,19, FALSE)</f>
        <v>0</v>
      </c>
      <c r="AQ218" s="1283">
        <f xml:space="preserve"> AQ206*VLOOKUP('IV. LCOE, Baseline Energy Mix'!AQ$13,'IX. Additional Data'!$C$17:$V$66,19, FALSE)</f>
        <v>0</v>
      </c>
      <c r="AR218" s="1283">
        <f xml:space="preserve"> AR206*VLOOKUP('IV. LCOE, Baseline Energy Mix'!AR$13,'IX. Additional Data'!$C$17:$V$66,19, FALSE)</f>
        <v>0</v>
      </c>
      <c r="AS218" s="1283">
        <f xml:space="preserve"> AS206*VLOOKUP('IV. LCOE, Baseline Energy Mix'!AS$13,'IX. Additional Data'!$C$17:$V$66,19, FALSE)</f>
        <v>0</v>
      </c>
      <c r="AT218" s="1283">
        <f xml:space="preserve"> AT206*VLOOKUP('IV. LCOE, Baseline Energy Mix'!AT$13,'IX. Additional Data'!$C$17:$V$66,19, FALSE)</f>
        <v>0</v>
      </c>
      <c r="AU218" s="1283">
        <f xml:space="preserve"> AU206*VLOOKUP('IV. LCOE, Baseline Energy Mix'!AU$13,'IX. Additional Data'!$C$17:$V$66,19, FALSE)</f>
        <v>0</v>
      </c>
      <c r="AV218" s="1283">
        <f xml:space="preserve"> AV206*VLOOKUP('IV. LCOE, Baseline Energy Mix'!AV$13,'IX. Additional Data'!$C$17:$V$66,19, FALSE)</f>
        <v>0</v>
      </c>
      <c r="AW218" s="1283">
        <f xml:space="preserve"> AW206*VLOOKUP('IV. LCOE, Baseline Energy Mix'!AW$13,'IX. Additional Data'!$C$17:$V$66,19, FALSE)</f>
        <v>0</v>
      </c>
      <c r="AX218" s="1283">
        <f xml:space="preserve"> AX206*VLOOKUP('IV. LCOE, Baseline Energy Mix'!AX$13,'IX. Additional Data'!$C$17:$V$66,19, FALSE)</f>
        <v>0</v>
      </c>
      <c r="AY218" s="1283">
        <f xml:space="preserve"> AY206*VLOOKUP('IV. LCOE, Baseline Energy Mix'!AY$13,'IX. Additional Data'!$C$17:$V$66,19, FALSE)</f>
        <v>0</v>
      </c>
      <c r="AZ218" s="1283">
        <f xml:space="preserve"> AZ206*VLOOKUP('IV. LCOE, Baseline Energy Mix'!AZ$13,'IX. Additional Data'!$C$17:$V$66,19, FALSE)</f>
        <v>0</v>
      </c>
      <c r="BA218" s="1283">
        <f xml:space="preserve"> BA206*VLOOKUP('IV. LCOE, Baseline Energy Mix'!BA$13,'IX. Additional Data'!$C$17:$V$66,19, FALSE)</f>
        <v>0</v>
      </c>
      <c r="BB218" s="1283">
        <f xml:space="preserve"> BB206*VLOOKUP('IV. LCOE, Baseline Energy Mix'!BB$13,'IX. Additional Data'!$C$17:$V$66,19, FALSE)</f>
        <v>0</v>
      </c>
      <c r="BC218" s="1283">
        <f xml:space="preserve"> BC206*VLOOKUP('IV. LCOE, Baseline Energy Mix'!BC$13,'IX. Additional Data'!$C$17:$V$66,19, FALSE)</f>
        <v>0</v>
      </c>
      <c r="BD218" s="1283">
        <f xml:space="preserve"> BD206*VLOOKUP('IV. LCOE, Baseline Energy Mix'!BD$13,'IX. Additional Data'!$C$17:$V$66,19, FALSE)</f>
        <v>0</v>
      </c>
      <c r="BE218" s="1284">
        <f xml:space="preserve"> BE206*VLOOKUP('IV. LCOE, Baseline Energy Mix'!BE$13,'IX. Additional Data'!$C$17:$V$66,19, FALSE)</f>
        <v>0</v>
      </c>
    </row>
    <row r="219" spans="2:57" outlineLevel="1" x14ac:dyDescent="0.25">
      <c r="B219" s="332"/>
      <c r="C219" s="333"/>
      <c r="D219" s="333"/>
      <c r="E219" s="336"/>
      <c r="F219" s="336"/>
      <c r="G219" s="333"/>
      <c r="H219" s="1277"/>
      <c r="I219" s="1277"/>
      <c r="J219" s="1277"/>
      <c r="K219" s="1277"/>
      <c r="L219" s="1277"/>
      <c r="M219" s="1277"/>
      <c r="N219" s="1277"/>
      <c r="O219" s="1277"/>
      <c r="P219" s="1277"/>
      <c r="Q219" s="1277"/>
      <c r="R219" s="1277"/>
      <c r="S219" s="1277"/>
      <c r="T219" s="1277"/>
      <c r="U219" s="1277"/>
      <c r="V219" s="1277"/>
      <c r="W219" s="1277"/>
      <c r="X219" s="1277"/>
      <c r="Y219" s="1277"/>
      <c r="Z219" s="1277"/>
      <c r="AA219" s="1277"/>
      <c r="AB219" s="1277"/>
      <c r="AC219" s="1277"/>
      <c r="AD219" s="1277"/>
      <c r="AE219" s="1277"/>
      <c r="AF219" s="1277"/>
      <c r="AG219" s="1277"/>
      <c r="AH219" s="1277"/>
      <c r="AI219" s="1277"/>
      <c r="AJ219" s="1277"/>
      <c r="AK219" s="1277"/>
      <c r="AL219" s="1277"/>
      <c r="AM219" s="1277"/>
      <c r="AN219" s="1277"/>
      <c r="AO219" s="1277"/>
      <c r="AP219" s="1277"/>
      <c r="AQ219" s="1277"/>
      <c r="AR219" s="1277"/>
      <c r="AS219" s="1277"/>
      <c r="AT219" s="1277"/>
      <c r="AU219" s="1277"/>
      <c r="AV219" s="1277"/>
      <c r="AW219" s="1277"/>
      <c r="AX219" s="1277"/>
      <c r="AY219" s="1277"/>
      <c r="AZ219" s="1277"/>
      <c r="BA219" s="1277"/>
      <c r="BB219" s="1277"/>
      <c r="BC219" s="1277"/>
      <c r="BD219" s="1277"/>
      <c r="BE219" s="1278"/>
    </row>
    <row r="220" spans="2:57" x14ac:dyDescent="0.25">
      <c r="B220" s="332" t="s">
        <v>138</v>
      </c>
      <c r="C220" s="333"/>
      <c r="D220" s="333"/>
      <c r="E220" s="336"/>
      <c r="F220" s="336" t="s">
        <v>631</v>
      </c>
      <c r="G220" s="333"/>
      <c r="H220" s="1277" t="e">
        <f>H214*H208*H206/'II. Inputs, Baseline Energy Mix'!$R$91</f>
        <v>#DIV/0!</v>
      </c>
      <c r="I220" s="1277" t="e">
        <f>I214*I208*I206/'II. Inputs, Baseline Energy Mix'!$R$91</f>
        <v>#DIV/0!</v>
      </c>
      <c r="J220" s="1277" t="e">
        <f>J214*J208*J206/'II. Inputs, Baseline Energy Mix'!$R$91</f>
        <v>#DIV/0!</v>
      </c>
      <c r="K220" s="1277" t="e">
        <f>K214*K208*K206/'II. Inputs, Baseline Energy Mix'!$R$91</f>
        <v>#DIV/0!</v>
      </c>
      <c r="L220" s="1277" t="e">
        <f>L214*L208*L206/'II. Inputs, Baseline Energy Mix'!$R$91</f>
        <v>#DIV/0!</v>
      </c>
      <c r="M220" s="1277" t="e">
        <f>M214*M208*M206/'II. Inputs, Baseline Energy Mix'!$R$91</f>
        <v>#DIV/0!</v>
      </c>
      <c r="N220" s="1277" t="e">
        <f>N214*N208*N206/'II. Inputs, Baseline Energy Mix'!$R$91</f>
        <v>#DIV/0!</v>
      </c>
      <c r="O220" s="1277" t="e">
        <f>O214*O208*O206/'II. Inputs, Baseline Energy Mix'!$R$91</f>
        <v>#DIV/0!</v>
      </c>
      <c r="P220" s="1277" t="e">
        <f>P214*P208*P206/'II. Inputs, Baseline Energy Mix'!$R$91</f>
        <v>#DIV/0!</v>
      </c>
      <c r="Q220" s="1277" t="e">
        <f>Q214*Q208*Q206/'II. Inputs, Baseline Energy Mix'!$R$91</f>
        <v>#DIV/0!</v>
      </c>
      <c r="R220" s="1277" t="e">
        <f>R214*R208*R206/'II. Inputs, Baseline Energy Mix'!$R$91</f>
        <v>#DIV/0!</v>
      </c>
      <c r="S220" s="1277" t="e">
        <f>S214*S208*S206/'II. Inputs, Baseline Energy Mix'!$R$91</f>
        <v>#DIV/0!</v>
      </c>
      <c r="T220" s="1277" t="e">
        <f>T214*T208*T206/'II. Inputs, Baseline Energy Mix'!$R$91</f>
        <v>#DIV/0!</v>
      </c>
      <c r="U220" s="1277" t="e">
        <f>U214*U208*U206/'II. Inputs, Baseline Energy Mix'!$R$91</f>
        <v>#DIV/0!</v>
      </c>
      <c r="V220" s="1277" t="e">
        <f>V214*V208*V206/'II. Inputs, Baseline Energy Mix'!$R$91</f>
        <v>#DIV/0!</v>
      </c>
      <c r="W220" s="1277" t="e">
        <f>W214*W208*W206/'II. Inputs, Baseline Energy Mix'!$R$91</f>
        <v>#DIV/0!</v>
      </c>
      <c r="X220" s="1277" t="e">
        <f>X214*X208*X206/'II. Inputs, Baseline Energy Mix'!$R$91</f>
        <v>#DIV/0!</v>
      </c>
      <c r="Y220" s="1277" t="e">
        <f>Y214*Y208*Y206/'II. Inputs, Baseline Energy Mix'!$R$91</f>
        <v>#DIV/0!</v>
      </c>
      <c r="Z220" s="1277" t="e">
        <f>Z214*Z208*Z206/'II. Inputs, Baseline Energy Mix'!$R$91</f>
        <v>#DIV/0!</v>
      </c>
      <c r="AA220" s="1277" t="e">
        <f>AA214*AA208*AA206/'II. Inputs, Baseline Energy Mix'!$R$91</f>
        <v>#DIV/0!</v>
      </c>
      <c r="AB220" s="1277" t="e">
        <f>AB214*AB208*AB206/'II. Inputs, Baseline Energy Mix'!$R$91</f>
        <v>#DIV/0!</v>
      </c>
      <c r="AC220" s="1277" t="e">
        <f>AC214*AC208*AC206/'II. Inputs, Baseline Energy Mix'!$R$91</f>
        <v>#DIV/0!</v>
      </c>
      <c r="AD220" s="1277" t="e">
        <f>AD214*AD208*AD206/'II. Inputs, Baseline Energy Mix'!$R$91</f>
        <v>#DIV/0!</v>
      </c>
      <c r="AE220" s="1277" t="e">
        <f>AE214*AE208*AE206/'II. Inputs, Baseline Energy Mix'!$R$91</f>
        <v>#DIV/0!</v>
      </c>
      <c r="AF220" s="1277" t="e">
        <f>AF214*AF208*AF206/'II. Inputs, Baseline Energy Mix'!$R$91</f>
        <v>#DIV/0!</v>
      </c>
      <c r="AG220" s="1277" t="e">
        <f>AG214*AG208*AG206/'II. Inputs, Baseline Energy Mix'!$R$91</f>
        <v>#DIV/0!</v>
      </c>
      <c r="AH220" s="1277" t="e">
        <f>AH214*AH208*AH206/'II. Inputs, Baseline Energy Mix'!$R$91</f>
        <v>#DIV/0!</v>
      </c>
      <c r="AI220" s="1277" t="e">
        <f>AI214*AI208*AI206/'II. Inputs, Baseline Energy Mix'!$R$91</f>
        <v>#DIV/0!</v>
      </c>
      <c r="AJ220" s="1277" t="e">
        <f>AJ214*AJ208*AJ206/'II. Inputs, Baseline Energy Mix'!$R$91</f>
        <v>#DIV/0!</v>
      </c>
      <c r="AK220" s="1277" t="e">
        <f>AK214*AK208*AK206/'II. Inputs, Baseline Energy Mix'!$R$91</f>
        <v>#DIV/0!</v>
      </c>
      <c r="AL220" s="1277" t="e">
        <f>AL214*AL208*AL206/'II. Inputs, Baseline Energy Mix'!$R$91</f>
        <v>#DIV/0!</v>
      </c>
      <c r="AM220" s="1277" t="e">
        <f>AM214*AM208*AM206/'II. Inputs, Baseline Energy Mix'!$R$91</f>
        <v>#DIV/0!</v>
      </c>
      <c r="AN220" s="1277" t="e">
        <f>AN214*AN208*AN206/'II. Inputs, Baseline Energy Mix'!$R$91</f>
        <v>#DIV/0!</v>
      </c>
      <c r="AO220" s="1277" t="e">
        <f>AO214*AO208*AO206/'II. Inputs, Baseline Energy Mix'!$R$91</f>
        <v>#DIV/0!</v>
      </c>
      <c r="AP220" s="1277" t="e">
        <f>AP214*AP208*AP206/'II. Inputs, Baseline Energy Mix'!$R$91</f>
        <v>#DIV/0!</v>
      </c>
      <c r="AQ220" s="1277" t="e">
        <f>AQ214*AQ208*AQ206/'II. Inputs, Baseline Energy Mix'!$R$91</f>
        <v>#DIV/0!</v>
      </c>
      <c r="AR220" s="1277" t="e">
        <f>AR214*AR208*AR206/'II. Inputs, Baseline Energy Mix'!$R$91</f>
        <v>#DIV/0!</v>
      </c>
      <c r="AS220" s="1277" t="e">
        <f>AS214*AS208*AS206/'II. Inputs, Baseline Energy Mix'!$R$91</f>
        <v>#DIV/0!</v>
      </c>
      <c r="AT220" s="1277" t="e">
        <f>AT214*AT208*AT206/'II. Inputs, Baseline Energy Mix'!$R$91</f>
        <v>#DIV/0!</v>
      </c>
      <c r="AU220" s="1277" t="e">
        <f>AU214*AU208*AU206/'II. Inputs, Baseline Energy Mix'!$R$91</f>
        <v>#DIV/0!</v>
      </c>
      <c r="AV220" s="1277" t="e">
        <f>AV214*AV208*AV206/'II. Inputs, Baseline Energy Mix'!$R$91</f>
        <v>#DIV/0!</v>
      </c>
      <c r="AW220" s="1277" t="e">
        <f>AW214*AW208*AW206/'II. Inputs, Baseline Energy Mix'!$R$91</f>
        <v>#DIV/0!</v>
      </c>
      <c r="AX220" s="1277" t="e">
        <f>AX214*AX208*AX206/'II. Inputs, Baseline Energy Mix'!$R$91</f>
        <v>#DIV/0!</v>
      </c>
      <c r="AY220" s="1277" t="e">
        <f>AY214*AY208*AY206/'II. Inputs, Baseline Energy Mix'!$R$91</f>
        <v>#DIV/0!</v>
      </c>
      <c r="AZ220" s="1277" t="e">
        <f>AZ214*AZ208*AZ206/'II. Inputs, Baseline Energy Mix'!$R$91</f>
        <v>#DIV/0!</v>
      </c>
      <c r="BA220" s="1277" t="e">
        <f>BA214*BA208*BA206/'II. Inputs, Baseline Energy Mix'!$R$91</f>
        <v>#DIV/0!</v>
      </c>
      <c r="BB220" s="1277" t="e">
        <f>BB214*BB208*BB206/'II. Inputs, Baseline Energy Mix'!$R$91</f>
        <v>#DIV/0!</v>
      </c>
      <c r="BC220" s="1277" t="e">
        <f>BC214*BC208*BC206/'II. Inputs, Baseline Energy Mix'!$R$91</f>
        <v>#DIV/0!</v>
      </c>
      <c r="BD220" s="1277" t="e">
        <f>BD214*BD208*BD206/'II. Inputs, Baseline Energy Mix'!$R$91</f>
        <v>#DIV/0!</v>
      </c>
      <c r="BE220" s="1278" t="e">
        <f>BE214*BE208*BE206/'II. Inputs, Baseline Energy Mix'!$R$91</f>
        <v>#DIV/0!</v>
      </c>
    </row>
    <row r="221" spans="2:57" x14ac:dyDescent="0.25">
      <c r="B221" s="332"/>
      <c r="C221" s="333"/>
      <c r="D221" s="333"/>
      <c r="E221" s="336"/>
      <c r="F221" s="336"/>
      <c r="G221" s="333"/>
      <c r="H221" s="1277"/>
      <c r="I221" s="1279"/>
      <c r="J221" s="1279"/>
      <c r="K221" s="1279"/>
      <c r="L221" s="1279"/>
      <c r="M221" s="1279"/>
      <c r="N221" s="1279"/>
      <c r="O221" s="1279"/>
      <c r="P221" s="1279"/>
      <c r="Q221" s="1279"/>
      <c r="R221" s="1279"/>
      <c r="S221" s="1279"/>
      <c r="T221" s="1279"/>
      <c r="U221" s="1279"/>
      <c r="V221" s="1279"/>
      <c r="W221" s="1279"/>
      <c r="X221" s="1279"/>
      <c r="Y221" s="1279"/>
      <c r="Z221" s="1279"/>
      <c r="AA221" s="1279"/>
      <c r="AB221" s="1279"/>
      <c r="AC221" s="1279"/>
      <c r="AD221" s="1279"/>
      <c r="AE221" s="1279"/>
      <c r="AF221" s="1279"/>
      <c r="AG221" s="1279"/>
      <c r="AH221" s="1279"/>
      <c r="AI221" s="1279"/>
      <c r="AJ221" s="1279"/>
      <c r="AK221" s="1279"/>
      <c r="AL221" s="1279"/>
      <c r="AM221" s="1279"/>
      <c r="AN221" s="1279"/>
      <c r="AO221" s="1279"/>
      <c r="AP221" s="1279"/>
      <c r="AQ221" s="1279"/>
      <c r="AR221" s="1279"/>
      <c r="AS221" s="1279"/>
      <c r="AT221" s="1279"/>
      <c r="AU221" s="1279"/>
      <c r="AV221" s="1279"/>
      <c r="AW221" s="1279"/>
      <c r="AX221" s="1279"/>
      <c r="AY221" s="1279"/>
      <c r="AZ221" s="1279"/>
      <c r="BA221" s="1279"/>
      <c r="BB221" s="1279"/>
      <c r="BC221" s="1279"/>
      <c r="BD221" s="1279"/>
      <c r="BE221" s="1280"/>
    </row>
    <row r="222" spans="2:57" x14ac:dyDescent="0.25">
      <c r="B222" s="332" t="s">
        <v>101</v>
      </c>
      <c r="C222" s="333"/>
      <c r="D222" s="333"/>
      <c r="E222" s="336"/>
      <c r="F222" s="336" t="s">
        <v>631</v>
      </c>
      <c r="G222" s="333"/>
      <c r="H222" s="1279">
        <f>H832</f>
        <v>0</v>
      </c>
      <c r="I222" s="1279">
        <f t="shared" ref="I222:BE222" si="72">I832</f>
        <v>0</v>
      </c>
      <c r="J222" s="1279">
        <f t="shared" si="72"/>
        <v>0</v>
      </c>
      <c r="K222" s="1279">
        <f t="shared" si="72"/>
        <v>0</v>
      </c>
      <c r="L222" s="1279">
        <f t="shared" si="72"/>
        <v>0</v>
      </c>
      <c r="M222" s="1279">
        <f t="shared" si="72"/>
        <v>0</v>
      </c>
      <c r="N222" s="1279">
        <f t="shared" si="72"/>
        <v>0</v>
      </c>
      <c r="O222" s="1279">
        <f t="shared" si="72"/>
        <v>0</v>
      </c>
      <c r="P222" s="1279">
        <f t="shared" si="72"/>
        <v>0</v>
      </c>
      <c r="Q222" s="1279">
        <f t="shared" si="72"/>
        <v>0</v>
      </c>
      <c r="R222" s="1279">
        <f t="shared" si="72"/>
        <v>0</v>
      </c>
      <c r="S222" s="1279">
        <f t="shared" si="72"/>
        <v>0</v>
      </c>
      <c r="T222" s="1279">
        <f t="shared" si="72"/>
        <v>0</v>
      </c>
      <c r="U222" s="1279">
        <f t="shared" si="72"/>
        <v>0</v>
      </c>
      <c r="V222" s="1279">
        <f t="shared" si="72"/>
        <v>0</v>
      </c>
      <c r="W222" s="1279">
        <f t="shared" si="72"/>
        <v>0</v>
      </c>
      <c r="X222" s="1279">
        <f t="shared" si="72"/>
        <v>0</v>
      </c>
      <c r="Y222" s="1279">
        <f t="shared" si="72"/>
        <v>0</v>
      </c>
      <c r="Z222" s="1279">
        <f t="shared" si="72"/>
        <v>0</v>
      </c>
      <c r="AA222" s="1279">
        <f t="shared" si="72"/>
        <v>0</v>
      </c>
      <c r="AB222" s="1279">
        <f t="shared" si="72"/>
        <v>0</v>
      </c>
      <c r="AC222" s="1279">
        <f t="shared" si="72"/>
        <v>0</v>
      </c>
      <c r="AD222" s="1279">
        <f t="shared" si="72"/>
        <v>0</v>
      </c>
      <c r="AE222" s="1279">
        <f t="shared" si="72"/>
        <v>0</v>
      </c>
      <c r="AF222" s="1279">
        <f t="shared" si="72"/>
        <v>0</v>
      </c>
      <c r="AG222" s="1279">
        <f t="shared" si="72"/>
        <v>0</v>
      </c>
      <c r="AH222" s="1279">
        <f t="shared" si="72"/>
        <v>0</v>
      </c>
      <c r="AI222" s="1279">
        <f t="shared" si="72"/>
        <v>0</v>
      </c>
      <c r="AJ222" s="1279">
        <f t="shared" si="72"/>
        <v>0</v>
      </c>
      <c r="AK222" s="1279">
        <f t="shared" si="72"/>
        <v>0</v>
      </c>
      <c r="AL222" s="1279">
        <f t="shared" si="72"/>
        <v>0</v>
      </c>
      <c r="AM222" s="1279">
        <f t="shared" si="72"/>
        <v>0</v>
      </c>
      <c r="AN222" s="1279">
        <f t="shared" si="72"/>
        <v>0</v>
      </c>
      <c r="AO222" s="1279">
        <f t="shared" si="72"/>
        <v>0</v>
      </c>
      <c r="AP222" s="1279">
        <f t="shared" si="72"/>
        <v>0</v>
      </c>
      <c r="AQ222" s="1279">
        <f t="shared" si="72"/>
        <v>0</v>
      </c>
      <c r="AR222" s="1279">
        <f t="shared" si="72"/>
        <v>0</v>
      </c>
      <c r="AS222" s="1279">
        <f t="shared" si="72"/>
        <v>0</v>
      </c>
      <c r="AT222" s="1279">
        <f t="shared" si="72"/>
        <v>0</v>
      </c>
      <c r="AU222" s="1279">
        <f t="shared" si="72"/>
        <v>0</v>
      </c>
      <c r="AV222" s="1279">
        <f t="shared" si="72"/>
        <v>0</v>
      </c>
      <c r="AW222" s="1279">
        <f t="shared" si="72"/>
        <v>0</v>
      </c>
      <c r="AX222" s="1279">
        <f t="shared" si="72"/>
        <v>0</v>
      </c>
      <c r="AY222" s="1279">
        <f t="shared" si="72"/>
        <v>0</v>
      </c>
      <c r="AZ222" s="1279">
        <f t="shared" si="72"/>
        <v>0</v>
      </c>
      <c r="BA222" s="1279">
        <f t="shared" si="72"/>
        <v>0</v>
      </c>
      <c r="BB222" s="1279">
        <f t="shared" si="72"/>
        <v>0</v>
      </c>
      <c r="BC222" s="1279">
        <f t="shared" si="72"/>
        <v>0</v>
      </c>
      <c r="BD222" s="1279">
        <f t="shared" si="72"/>
        <v>0</v>
      </c>
      <c r="BE222" s="1280">
        <f t="shared" si="72"/>
        <v>0</v>
      </c>
    </row>
    <row r="223" spans="2:57" x14ac:dyDescent="0.25">
      <c r="B223" s="332"/>
      <c r="C223" s="333"/>
      <c r="D223" s="333"/>
      <c r="E223" s="336"/>
      <c r="F223" s="336"/>
      <c r="G223" s="333"/>
      <c r="H223" s="1279"/>
      <c r="I223" s="1279"/>
      <c r="J223" s="1279"/>
      <c r="K223" s="1279"/>
      <c r="L223" s="1279"/>
      <c r="M223" s="1279"/>
      <c r="N223" s="1279"/>
      <c r="O223" s="1279"/>
      <c r="P223" s="1279"/>
      <c r="Q223" s="1279"/>
      <c r="R223" s="1279"/>
      <c r="S223" s="1279"/>
      <c r="T223" s="1279"/>
      <c r="U223" s="1279"/>
      <c r="V223" s="1279"/>
      <c r="W223" s="1279"/>
      <c r="X223" s="1279"/>
      <c r="Y223" s="1279"/>
      <c r="Z223" s="1279"/>
      <c r="AA223" s="1279"/>
      <c r="AB223" s="1279"/>
      <c r="AC223" s="1279"/>
      <c r="AD223" s="1279"/>
      <c r="AE223" s="1279"/>
      <c r="AF223" s="1279"/>
      <c r="AG223" s="1279"/>
      <c r="AH223" s="1279"/>
      <c r="AI223" s="1279"/>
      <c r="AJ223" s="1279"/>
      <c r="AK223" s="1279"/>
      <c r="AL223" s="1279"/>
      <c r="AM223" s="1279"/>
      <c r="AN223" s="1279"/>
      <c r="AO223" s="1279"/>
      <c r="AP223" s="1279"/>
      <c r="AQ223" s="1279"/>
      <c r="AR223" s="1279"/>
      <c r="AS223" s="1279"/>
      <c r="AT223" s="1279"/>
      <c r="AU223" s="1279"/>
      <c r="AV223" s="1279"/>
      <c r="AW223" s="1279"/>
      <c r="AX223" s="1279"/>
      <c r="AY223" s="1279"/>
      <c r="AZ223" s="1279"/>
      <c r="BA223" s="1279"/>
      <c r="BB223" s="1279"/>
      <c r="BC223" s="1279"/>
      <c r="BD223" s="1279"/>
      <c r="BE223" s="1280"/>
    </row>
    <row r="224" spans="2:57" x14ac:dyDescent="0.25">
      <c r="B224" s="332" t="s">
        <v>257</v>
      </c>
      <c r="C224" s="333"/>
      <c r="D224" s="333"/>
      <c r="E224" s="336"/>
      <c r="F224" s="336" t="s">
        <v>631</v>
      </c>
      <c r="G224" s="333"/>
      <c r="H224" s="1279">
        <f>H617</f>
        <v>0</v>
      </c>
      <c r="I224" s="1279">
        <f t="shared" ref="I224:BE224" si="73">I617</f>
        <v>0</v>
      </c>
      <c r="J224" s="1279">
        <f t="shared" si="73"/>
        <v>0</v>
      </c>
      <c r="K224" s="1279">
        <f t="shared" si="73"/>
        <v>0</v>
      </c>
      <c r="L224" s="1279">
        <f t="shared" si="73"/>
        <v>0</v>
      </c>
      <c r="M224" s="1279">
        <f t="shared" si="73"/>
        <v>0</v>
      </c>
      <c r="N224" s="1279">
        <f t="shared" si="73"/>
        <v>0</v>
      </c>
      <c r="O224" s="1279">
        <f t="shared" si="73"/>
        <v>0</v>
      </c>
      <c r="P224" s="1279">
        <f t="shared" si="73"/>
        <v>0</v>
      </c>
      <c r="Q224" s="1279">
        <f t="shared" si="73"/>
        <v>0</v>
      </c>
      <c r="R224" s="1279">
        <f t="shared" si="73"/>
        <v>0</v>
      </c>
      <c r="S224" s="1279">
        <f t="shared" si="73"/>
        <v>0</v>
      </c>
      <c r="T224" s="1279">
        <f t="shared" si="73"/>
        <v>0</v>
      </c>
      <c r="U224" s="1279">
        <f t="shared" si="73"/>
        <v>0</v>
      </c>
      <c r="V224" s="1279">
        <f t="shared" si="73"/>
        <v>0</v>
      </c>
      <c r="W224" s="1279">
        <f t="shared" si="73"/>
        <v>0</v>
      </c>
      <c r="X224" s="1279">
        <f t="shared" si="73"/>
        <v>0</v>
      </c>
      <c r="Y224" s="1279">
        <f t="shared" si="73"/>
        <v>0</v>
      </c>
      <c r="Z224" s="1279">
        <f t="shared" si="73"/>
        <v>0</v>
      </c>
      <c r="AA224" s="1279">
        <f t="shared" si="73"/>
        <v>0</v>
      </c>
      <c r="AB224" s="1279">
        <f t="shared" si="73"/>
        <v>0</v>
      </c>
      <c r="AC224" s="1279">
        <f t="shared" si="73"/>
        <v>0</v>
      </c>
      <c r="AD224" s="1279">
        <f t="shared" si="73"/>
        <v>0</v>
      </c>
      <c r="AE224" s="1279">
        <f t="shared" si="73"/>
        <v>0</v>
      </c>
      <c r="AF224" s="1279">
        <f t="shared" si="73"/>
        <v>0</v>
      </c>
      <c r="AG224" s="1279">
        <f t="shared" si="73"/>
        <v>0</v>
      </c>
      <c r="AH224" s="1279">
        <f t="shared" si="73"/>
        <v>0</v>
      </c>
      <c r="AI224" s="1279">
        <f t="shared" si="73"/>
        <v>0</v>
      </c>
      <c r="AJ224" s="1279">
        <f t="shared" si="73"/>
        <v>0</v>
      </c>
      <c r="AK224" s="1279">
        <f t="shared" si="73"/>
        <v>0</v>
      </c>
      <c r="AL224" s="1279">
        <f t="shared" si="73"/>
        <v>0</v>
      </c>
      <c r="AM224" s="1279">
        <f t="shared" si="73"/>
        <v>0</v>
      </c>
      <c r="AN224" s="1279">
        <f t="shared" si="73"/>
        <v>0</v>
      </c>
      <c r="AO224" s="1279">
        <f t="shared" si="73"/>
        <v>0</v>
      </c>
      <c r="AP224" s="1279">
        <f t="shared" si="73"/>
        <v>0</v>
      </c>
      <c r="AQ224" s="1279">
        <f t="shared" si="73"/>
        <v>0</v>
      </c>
      <c r="AR224" s="1279">
        <f t="shared" si="73"/>
        <v>0</v>
      </c>
      <c r="AS224" s="1279">
        <f t="shared" si="73"/>
        <v>0</v>
      </c>
      <c r="AT224" s="1279">
        <f t="shared" si="73"/>
        <v>0</v>
      </c>
      <c r="AU224" s="1279">
        <f t="shared" si="73"/>
        <v>0</v>
      </c>
      <c r="AV224" s="1279">
        <f t="shared" si="73"/>
        <v>0</v>
      </c>
      <c r="AW224" s="1279">
        <f t="shared" si="73"/>
        <v>0</v>
      </c>
      <c r="AX224" s="1279">
        <f t="shared" si="73"/>
        <v>0</v>
      </c>
      <c r="AY224" s="1279">
        <f t="shared" si="73"/>
        <v>0</v>
      </c>
      <c r="AZ224" s="1279">
        <f t="shared" si="73"/>
        <v>0</v>
      </c>
      <c r="BA224" s="1279">
        <f t="shared" si="73"/>
        <v>0</v>
      </c>
      <c r="BB224" s="1279">
        <f t="shared" si="73"/>
        <v>0</v>
      </c>
      <c r="BC224" s="1279">
        <f t="shared" si="73"/>
        <v>0</v>
      </c>
      <c r="BD224" s="1279">
        <f t="shared" si="73"/>
        <v>0</v>
      </c>
      <c r="BE224" s="1280">
        <f t="shared" si="73"/>
        <v>0</v>
      </c>
    </row>
    <row r="225" spans="2:57" x14ac:dyDescent="0.25">
      <c r="B225" s="332" t="s">
        <v>189</v>
      </c>
      <c r="C225" s="333"/>
      <c r="D225" s="333"/>
      <c r="E225" s="336"/>
      <c r="F225" s="336" t="s">
        <v>631</v>
      </c>
      <c r="G225" s="333"/>
      <c r="H225" s="1279">
        <f>H638</f>
        <v>0</v>
      </c>
      <c r="I225" s="1279">
        <f t="shared" ref="I225:BE225" si="74">I638</f>
        <v>0</v>
      </c>
      <c r="J225" s="1279">
        <f t="shared" si="74"/>
        <v>0</v>
      </c>
      <c r="K225" s="1279">
        <f t="shared" si="74"/>
        <v>0</v>
      </c>
      <c r="L225" s="1279">
        <f t="shared" si="74"/>
        <v>0</v>
      </c>
      <c r="M225" s="1279">
        <f t="shared" si="74"/>
        <v>0</v>
      </c>
      <c r="N225" s="1279">
        <f t="shared" si="74"/>
        <v>0</v>
      </c>
      <c r="O225" s="1279">
        <f t="shared" si="74"/>
        <v>0</v>
      </c>
      <c r="P225" s="1279">
        <f t="shared" si="74"/>
        <v>0</v>
      </c>
      <c r="Q225" s="1279">
        <f t="shared" si="74"/>
        <v>0</v>
      </c>
      <c r="R225" s="1279">
        <f t="shared" si="74"/>
        <v>0</v>
      </c>
      <c r="S225" s="1279">
        <f t="shared" si="74"/>
        <v>0</v>
      </c>
      <c r="T225" s="1279">
        <f t="shared" si="74"/>
        <v>0</v>
      </c>
      <c r="U225" s="1279">
        <f t="shared" si="74"/>
        <v>0</v>
      </c>
      <c r="V225" s="1279">
        <f t="shared" si="74"/>
        <v>0</v>
      </c>
      <c r="W225" s="1279">
        <f t="shared" si="74"/>
        <v>0</v>
      </c>
      <c r="X225" s="1279">
        <f t="shared" si="74"/>
        <v>0</v>
      </c>
      <c r="Y225" s="1279">
        <f t="shared" si="74"/>
        <v>0</v>
      </c>
      <c r="Z225" s="1279">
        <f t="shared" si="74"/>
        <v>0</v>
      </c>
      <c r="AA225" s="1279">
        <f t="shared" si="74"/>
        <v>0</v>
      </c>
      <c r="AB225" s="1279">
        <f t="shared" si="74"/>
        <v>0</v>
      </c>
      <c r="AC225" s="1279">
        <f t="shared" si="74"/>
        <v>0</v>
      </c>
      <c r="AD225" s="1279">
        <f t="shared" si="74"/>
        <v>0</v>
      </c>
      <c r="AE225" s="1279">
        <f t="shared" si="74"/>
        <v>0</v>
      </c>
      <c r="AF225" s="1279">
        <f t="shared" si="74"/>
        <v>0</v>
      </c>
      <c r="AG225" s="1279">
        <f t="shared" si="74"/>
        <v>0</v>
      </c>
      <c r="AH225" s="1279">
        <f t="shared" si="74"/>
        <v>0</v>
      </c>
      <c r="AI225" s="1279">
        <f t="shared" si="74"/>
        <v>0</v>
      </c>
      <c r="AJ225" s="1279">
        <f t="shared" si="74"/>
        <v>0</v>
      </c>
      <c r="AK225" s="1279">
        <f t="shared" si="74"/>
        <v>0</v>
      </c>
      <c r="AL225" s="1279">
        <f t="shared" si="74"/>
        <v>0</v>
      </c>
      <c r="AM225" s="1279">
        <f t="shared" si="74"/>
        <v>0</v>
      </c>
      <c r="AN225" s="1279">
        <f t="shared" si="74"/>
        <v>0</v>
      </c>
      <c r="AO225" s="1279">
        <f t="shared" si="74"/>
        <v>0</v>
      </c>
      <c r="AP225" s="1279">
        <f t="shared" si="74"/>
        <v>0</v>
      </c>
      <c r="AQ225" s="1279">
        <f t="shared" si="74"/>
        <v>0</v>
      </c>
      <c r="AR225" s="1279">
        <f t="shared" si="74"/>
        <v>0</v>
      </c>
      <c r="AS225" s="1279">
        <f t="shared" si="74"/>
        <v>0</v>
      </c>
      <c r="AT225" s="1279">
        <f t="shared" si="74"/>
        <v>0</v>
      </c>
      <c r="AU225" s="1279">
        <f t="shared" si="74"/>
        <v>0</v>
      </c>
      <c r="AV225" s="1279">
        <f t="shared" si="74"/>
        <v>0</v>
      </c>
      <c r="AW225" s="1279">
        <f t="shared" si="74"/>
        <v>0</v>
      </c>
      <c r="AX225" s="1279">
        <f t="shared" si="74"/>
        <v>0</v>
      </c>
      <c r="AY225" s="1279">
        <f t="shared" si="74"/>
        <v>0</v>
      </c>
      <c r="AZ225" s="1279">
        <f t="shared" si="74"/>
        <v>0</v>
      </c>
      <c r="BA225" s="1279">
        <f t="shared" si="74"/>
        <v>0</v>
      </c>
      <c r="BB225" s="1279">
        <f t="shared" si="74"/>
        <v>0</v>
      </c>
      <c r="BC225" s="1279">
        <f t="shared" si="74"/>
        <v>0</v>
      </c>
      <c r="BD225" s="1279">
        <f t="shared" si="74"/>
        <v>0</v>
      </c>
      <c r="BE225" s="1280">
        <f t="shared" si="74"/>
        <v>0</v>
      </c>
    </row>
    <row r="226" spans="2:57" x14ac:dyDescent="0.25">
      <c r="B226" s="332" t="s">
        <v>190</v>
      </c>
      <c r="C226" s="333"/>
      <c r="D226" s="333"/>
      <c r="E226" s="336"/>
      <c r="F226" s="336" t="s">
        <v>631</v>
      </c>
      <c r="G226" s="333"/>
      <c r="H226" s="1279">
        <f>H659</f>
        <v>0</v>
      </c>
      <c r="I226" s="1279">
        <f t="shared" ref="I226:BE226" si="75">I659</f>
        <v>0</v>
      </c>
      <c r="J226" s="1279">
        <f t="shared" si="75"/>
        <v>0</v>
      </c>
      <c r="K226" s="1279">
        <f t="shared" si="75"/>
        <v>0</v>
      </c>
      <c r="L226" s="1279">
        <f t="shared" si="75"/>
        <v>0</v>
      </c>
      <c r="M226" s="1279">
        <f t="shared" si="75"/>
        <v>0</v>
      </c>
      <c r="N226" s="1279">
        <f t="shared" si="75"/>
        <v>0</v>
      </c>
      <c r="O226" s="1279">
        <f t="shared" si="75"/>
        <v>0</v>
      </c>
      <c r="P226" s="1279">
        <f t="shared" si="75"/>
        <v>0</v>
      </c>
      <c r="Q226" s="1279">
        <f t="shared" si="75"/>
        <v>0</v>
      </c>
      <c r="R226" s="1279">
        <f t="shared" si="75"/>
        <v>0</v>
      </c>
      <c r="S226" s="1279">
        <f t="shared" si="75"/>
        <v>0</v>
      </c>
      <c r="T226" s="1279">
        <f t="shared" si="75"/>
        <v>0</v>
      </c>
      <c r="U226" s="1279">
        <f t="shared" si="75"/>
        <v>0</v>
      </c>
      <c r="V226" s="1279">
        <f t="shared" si="75"/>
        <v>0</v>
      </c>
      <c r="W226" s="1279">
        <f t="shared" si="75"/>
        <v>0</v>
      </c>
      <c r="X226" s="1279">
        <f t="shared" si="75"/>
        <v>0</v>
      </c>
      <c r="Y226" s="1279">
        <f t="shared" si="75"/>
        <v>0</v>
      </c>
      <c r="Z226" s="1279">
        <f t="shared" si="75"/>
        <v>0</v>
      </c>
      <c r="AA226" s="1279">
        <f t="shared" si="75"/>
        <v>0</v>
      </c>
      <c r="AB226" s="1279">
        <f t="shared" si="75"/>
        <v>0</v>
      </c>
      <c r="AC226" s="1279">
        <f t="shared" si="75"/>
        <v>0</v>
      </c>
      <c r="AD226" s="1279">
        <f t="shared" si="75"/>
        <v>0</v>
      </c>
      <c r="AE226" s="1279">
        <f t="shared" si="75"/>
        <v>0</v>
      </c>
      <c r="AF226" s="1279">
        <f t="shared" si="75"/>
        <v>0</v>
      </c>
      <c r="AG226" s="1279">
        <f t="shared" si="75"/>
        <v>0</v>
      </c>
      <c r="AH226" s="1279">
        <f t="shared" si="75"/>
        <v>0</v>
      </c>
      <c r="AI226" s="1279">
        <f t="shared" si="75"/>
        <v>0</v>
      </c>
      <c r="AJ226" s="1279">
        <f t="shared" si="75"/>
        <v>0</v>
      </c>
      <c r="AK226" s="1279">
        <f t="shared" si="75"/>
        <v>0</v>
      </c>
      <c r="AL226" s="1279">
        <f t="shared" si="75"/>
        <v>0</v>
      </c>
      <c r="AM226" s="1279">
        <f t="shared" si="75"/>
        <v>0</v>
      </c>
      <c r="AN226" s="1279">
        <f t="shared" si="75"/>
        <v>0</v>
      </c>
      <c r="AO226" s="1279">
        <f t="shared" si="75"/>
        <v>0</v>
      </c>
      <c r="AP226" s="1279">
        <f t="shared" si="75"/>
        <v>0</v>
      </c>
      <c r="AQ226" s="1279">
        <f t="shared" si="75"/>
        <v>0</v>
      </c>
      <c r="AR226" s="1279">
        <f t="shared" si="75"/>
        <v>0</v>
      </c>
      <c r="AS226" s="1279">
        <f t="shared" si="75"/>
        <v>0</v>
      </c>
      <c r="AT226" s="1279">
        <f t="shared" si="75"/>
        <v>0</v>
      </c>
      <c r="AU226" s="1279">
        <f t="shared" si="75"/>
        <v>0</v>
      </c>
      <c r="AV226" s="1279">
        <f t="shared" si="75"/>
        <v>0</v>
      </c>
      <c r="AW226" s="1279">
        <f t="shared" si="75"/>
        <v>0</v>
      </c>
      <c r="AX226" s="1279">
        <f t="shared" si="75"/>
        <v>0</v>
      </c>
      <c r="AY226" s="1279">
        <f t="shared" si="75"/>
        <v>0</v>
      </c>
      <c r="AZ226" s="1279">
        <f t="shared" si="75"/>
        <v>0</v>
      </c>
      <c r="BA226" s="1279">
        <f t="shared" si="75"/>
        <v>0</v>
      </c>
      <c r="BB226" s="1279">
        <f t="shared" si="75"/>
        <v>0</v>
      </c>
      <c r="BC226" s="1279">
        <f t="shared" si="75"/>
        <v>0</v>
      </c>
      <c r="BD226" s="1279">
        <f t="shared" si="75"/>
        <v>0</v>
      </c>
      <c r="BE226" s="1280">
        <f t="shared" si="75"/>
        <v>0</v>
      </c>
    </row>
    <row r="227" spans="2:57" x14ac:dyDescent="0.25">
      <c r="B227" s="332" t="s">
        <v>132</v>
      </c>
      <c r="C227" s="333"/>
      <c r="D227" s="333"/>
      <c r="E227" s="336"/>
      <c r="F227" s="336" t="s">
        <v>631</v>
      </c>
      <c r="G227" s="333"/>
      <c r="H227" s="1279">
        <f>(H628+H649+H670)</f>
        <v>0</v>
      </c>
      <c r="I227" s="1279">
        <f>(I628+I649+I670)</f>
        <v>0</v>
      </c>
      <c r="J227" s="1279">
        <f t="shared" ref="J227:BE227" si="76">(J628+J649+J670)</f>
        <v>0</v>
      </c>
      <c r="K227" s="1279">
        <f t="shared" si="76"/>
        <v>0</v>
      </c>
      <c r="L227" s="1279">
        <f t="shared" si="76"/>
        <v>0</v>
      </c>
      <c r="M227" s="1279">
        <f t="shared" si="76"/>
        <v>0</v>
      </c>
      <c r="N227" s="1279">
        <f t="shared" si="76"/>
        <v>0</v>
      </c>
      <c r="O227" s="1279">
        <f t="shared" si="76"/>
        <v>0</v>
      </c>
      <c r="P227" s="1279">
        <f t="shared" si="76"/>
        <v>0</v>
      </c>
      <c r="Q227" s="1279">
        <f t="shared" si="76"/>
        <v>0</v>
      </c>
      <c r="R227" s="1279">
        <f t="shared" si="76"/>
        <v>0</v>
      </c>
      <c r="S227" s="1279">
        <f t="shared" si="76"/>
        <v>0</v>
      </c>
      <c r="T227" s="1279">
        <f t="shared" si="76"/>
        <v>0</v>
      </c>
      <c r="U227" s="1279">
        <f t="shared" si="76"/>
        <v>0</v>
      </c>
      <c r="V227" s="1279">
        <f t="shared" si="76"/>
        <v>0</v>
      </c>
      <c r="W227" s="1279">
        <f t="shared" si="76"/>
        <v>0</v>
      </c>
      <c r="X227" s="1279">
        <f t="shared" si="76"/>
        <v>0</v>
      </c>
      <c r="Y227" s="1279">
        <f t="shared" si="76"/>
        <v>0</v>
      </c>
      <c r="Z227" s="1279">
        <f t="shared" si="76"/>
        <v>0</v>
      </c>
      <c r="AA227" s="1279">
        <f t="shared" si="76"/>
        <v>0</v>
      </c>
      <c r="AB227" s="1279">
        <f t="shared" si="76"/>
        <v>0</v>
      </c>
      <c r="AC227" s="1279">
        <f t="shared" si="76"/>
        <v>0</v>
      </c>
      <c r="AD227" s="1279">
        <f t="shared" si="76"/>
        <v>0</v>
      </c>
      <c r="AE227" s="1279">
        <f t="shared" si="76"/>
        <v>0</v>
      </c>
      <c r="AF227" s="1279">
        <f t="shared" si="76"/>
        <v>0</v>
      </c>
      <c r="AG227" s="1279">
        <f t="shared" si="76"/>
        <v>0</v>
      </c>
      <c r="AH227" s="1279">
        <f t="shared" si="76"/>
        <v>0</v>
      </c>
      <c r="AI227" s="1279">
        <f t="shared" si="76"/>
        <v>0</v>
      </c>
      <c r="AJ227" s="1279">
        <f t="shared" si="76"/>
        <v>0</v>
      </c>
      <c r="AK227" s="1279">
        <f t="shared" si="76"/>
        <v>0</v>
      </c>
      <c r="AL227" s="1279">
        <f t="shared" si="76"/>
        <v>0</v>
      </c>
      <c r="AM227" s="1279">
        <f t="shared" si="76"/>
        <v>0</v>
      </c>
      <c r="AN227" s="1279">
        <f t="shared" si="76"/>
        <v>0</v>
      </c>
      <c r="AO227" s="1279">
        <f t="shared" si="76"/>
        <v>0</v>
      </c>
      <c r="AP227" s="1279">
        <f t="shared" si="76"/>
        <v>0</v>
      </c>
      <c r="AQ227" s="1279">
        <f t="shared" si="76"/>
        <v>0</v>
      </c>
      <c r="AR227" s="1279">
        <f t="shared" si="76"/>
        <v>0</v>
      </c>
      <c r="AS227" s="1279">
        <f t="shared" si="76"/>
        <v>0</v>
      </c>
      <c r="AT227" s="1279">
        <f t="shared" si="76"/>
        <v>0</v>
      </c>
      <c r="AU227" s="1279">
        <f t="shared" si="76"/>
        <v>0</v>
      </c>
      <c r="AV227" s="1279">
        <f t="shared" si="76"/>
        <v>0</v>
      </c>
      <c r="AW227" s="1279">
        <f t="shared" si="76"/>
        <v>0</v>
      </c>
      <c r="AX227" s="1279">
        <f t="shared" si="76"/>
        <v>0</v>
      </c>
      <c r="AY227" s="1279">
        <f t="shared" si="76"/>
        <v>0</v>
      </c>
      <c r="AZ227" s="1279">
        <f t="shared" si="76"/>
        <v>0</v>
      </c>
      <c r="BA227" s="1279">
        <f t="shared" si="76"/>
        <v>0</v>
      </c>
      <c r="BB227" s="1279">
        <f t="shared" si="76"/>
        <v>0</v>
      </c>
      <c r="BC227" s="1279">
        <f t="shared" si="76"/>
        <v>0</v>
      </c>
      <c r="BD227" s="1279">
        <f t="shared" si="76"/>
        <v>0</v>
      </c>
      <c r="BE227" s="1280">
        <f t="shared" si="76"/>
        <v>0</v>
      </c>
    </row>
    <row r="228" spans="2:57" x14ac:dyDescent="0.25">
      <c r="B228" s="332" t="s">
        <v>191</v>
      </c>
      <c r="C228" s="333"/>
      <c r="D228" s="333"/>
      <c r="E228" s="336"/>
      <c r="F228" s="336" t="s">
        <v>631</v>
      </c>
      <c r="G228" s="333"/>
      <c r="H228" s="1279">
        <f>(H650+H651)</f>
        <v>0</v>
      </c>
      <c r="I228" s="1279">
        <f>(I650+I651)</f>
        <v>0</v>
      </c>
      <c r="J228" s="1279">
        <f t="shared" ref="J228:BE228" si="77">(J650+J651)</f>
        <v>0</v>
      </c>
      <c r="K228" s="1279">
        <f t="shared" si="77"/>
        <v>0</v>
      </c>
      <c r="L228" s="1279">
        <f t="shared" si="77"/>
        <v>0</v>
      </c>
      <c r="M228" s="1279">
        <f t="shared" si="77"/>
        <v>0</v>
      </c>
      <c r="N228" s="1279">
        <f t="shared" si="77"/>
        <v>0</v>
      </c>
      <c r="O228" s="1279">
        <f t="shared" si="77"/>
        <v>0</v>
      </c>
      <c r="P228" s="1279">
        <f t="shared" si="77"/>
        <v>0</v>
      </c>
      <c r="Q228" s="1279">
        <f t="shared" si="77"/>
        <v>0</v>
      </c>
      <c r="R228" s="1279">
        <f t="shared" si="77"/>
        <v>0</v>
      </c>
      <c r="S228" s="1279">
        <f t="shared" si="77"/>
        <v>0</v>
      </c>
      <c r="T228" s="1279">
        <f t="shared" si="77"/>
        <v>0</v>
      </c>
      <c r="U228" s="1279">
        <f t="shared" si="77"/>
        <v>0</v>
      </c>
      <c r="V228" s="1279">
        <f t="shared" si="77"/>
        <v>0</v>
      </c>
      <c r="W228" s="1279">
        <f t="shared" si="77"/>
        <v>0</v>
      </c>
      <c r="X228" s="1279">
        <f t="shared" si="77"/>
        <v>0</v>
      </c>
      <c r="Y228" s="1279">
        <f t="shared" si="77"/>
        <v>0</v>
      </c>
      <c r="Z228" s="1279">
        <f t="shared" si="77"/>
        <v>0</v>
      </c>
      <c r="AA228" s="1279">
        <f t="shared" si="77"/>
        <v>0</v>
      </c>
      <c r="AB228" s="1279">
        <f t="shared" si="77"/>
        <v>0</v>
      </c>
      <c r="AC228" s="1279">
        <f t="shared" si="77"/>
        <v>0</v>
      </c>
      <c r="AD228" s="1279">
        <f t="shared" si="77"/>
        <v>0</v>
      </c>
      <c r="AE228" s="1279">
        <f t="shared" si="77"/>
        <v>0</v>
      </c>
      <c r="AF228" s="1279">
        <f t="shared" si="77"/>
        <v>0</v>
      </c>
      <c r="AG228" s="1279">
        <f t="shared" si="77"/>
        <v>0</v>
      </c>
      <c r="AH228" s="1279">
        <f t="shared" si="77"/>
        <v>0</v>
      </c>
      <c r="AI228" s="1279">
        <f t="shared" si="77"/>
        <v>0</v>
      </c>
      <c r="AJ228" s="1279">
        <f t="shared" si="77"/>
        <v>0</v>
      </c>
      <c r="AK228" s="1279">
        <f t="shared" si="77"/>
        <v>0</v>
      </c>
      <c r="AL228" s="1279">
        <f t="shared" si="77"/>
        <v>0</v>
      </c>
      <c r="AM228" s="1279">
        <f t="shared" si="77"/>
        <v>0</v>
      </c>
      <c r="AN228" s="1279">
        <f t="shared" si="77"/>
        <v>0</v>
      </c>
      <c r="AO228" s="1279">
        <f t="shared" si="77"/>
        <v>0</v>
      </c>
      <c r="AP228" s="1279">
        <f t="shared" si="77"/>
        <v>0</v>
      </c>
      <c r="AQ228" s="1279">
        <f t="shared" si="77"/>
        <v>0</v>
      </c>
      <c r="AR228" s="1279">
        <f t="shared" si="77"/>
        <v>0</v>
      </c>
      <c r="AS228" s="1279">
        <f t="shared" si="77"/>
        <v>0</v>
      </c>
      <c r="AT228" s="1279">
        <f t="shared" si="77"/>
        <v>0</v>
      </c>
      <c r="AU228" s="1279">
        <f t="shared" si="77"/>
        <v>0</v>
      </c>
      <c r="AV228" s="1279">
        <f t="shared" si="77"/>
        <v>0</v>
      </c>
      <c r="AW228" s="1279">
        <f t="shared" si="77"/>
        <v>0</v>
      </c>
      <c r="AX228" s="1279">
        <f t="shared" si="77"/>
        <v>0</v>
      </c>
      <c r="AY228" s="1279">
        <f t="shared" si="77"/>
        <v>0</v>
      </c>
      <c r="AZ228" s="1279">
        <f t="shared" si="77"/>
        <v>0</v>
      </c>
      <c r="BA228" s="1279">
        <f t="shared" si="77"/>
        <v>0</v>
      </c>
      <c r="BB228" s="1279">
        <f t="shared" si="77"/>
        <v>0</v>
      </c>
      <c r="BC228" s="1279">
        <f t="shared" si="77"/>
        <v>0</v>
      </c>
      <c r="BD228" s="1279">
        <f t="shared" si="77"/>
        <v>0</v>
      </c>
      <c r="BE228" s="1280">
        <f t="shared" si="77"/>
        <v>0</v>
      </c>
    </row>
    <row r="229" spans="2:57" x14ac:dyDescent="0.25">
      <c r="B229" s="332" t="s">
        <v>134</v>
      </c>
      <c r="C229" s="333"/>
      <c r="D229" s="333"/>
      <c r="E229" s="336"/>
      <c r="F229" s="336" t="s">
        <v>631</v>
      </c>
      <c r="G229" s="333"/>
      <c r="H229" s="1279">
        <f>(H680+H681)</f>
        <v>0</v>
      </c>
      <c r="I229" s="1279">
        <f>(I680+I681)</f>
        <v>0</v>
      </c>
      <c r="J229" s="1279">
        <f t="shared" ref="J229:BE229" si="78">(J680+J681)</f>
        <v>0</v>
      </c>
      <c r="K229" s="1279">
        <f t="shared" si="78"/>
        <v>0</v>
      </c>
      <c r="L229" s="1279">
        <f t="shared" si="78"/>
        <v>0</v>
      </c>
      <c r="M229" s="1279">
        <f t="shared" si="78"/>
        <v>0</v>
      </c>
      <c r="N229" s="1279">
        <f t="shared" si="78"/>
        <v>0</v>
      </c>
      <c r="O229" s="1279">
        <f t="shared" si="78"/>
        <v>0</v>
      </c>
      <c r="P229" s="1279">
        <f t="shared" si="78"/>
        <v>0</v>
      </c>
      <c r="Q229" s="1279">
        <f t="shared" si="78"/>
        <v>0</v>
      </c>
      <c r="R229" s="1279">
        <f t="shared" si="78"/>
        <v>0</v>
      </c>
      <c r="S229" s="1279">
        <f t="shared" si="78"/>
        <v>0</v>
      </c>
      <c r="T229" s="1279">
        <f t="shared" si="78"/>
        <v>0</v>
      </c>
      <c r="U229" s="1279">
        <f t="shared" si="78"/>
        <v>0</v>
      </c>
      <c r="V229" s="1279">
        <f t="shared" si="78"/>
        <v>0</v>
      </c>
      <c r="W229" s="1279">
        <f t="shared" si="78"/>
        <v>0</v>
      </c>
      <c r="X229" s="1279">
        <f t="shared" si="78"/>
        <v>0</v>
      </c>
      <c r="Y229" s="1279">
        <f t="shared" si="78"/>
        <v>0</v>
      </c>
      <c r="Z229" s="1279">
        <f t="shared" si="78"/>
        <v>0</v>
      </c>
      <c r="AA229" s="1279">
        <f t="shared" si="78"/>
        <v>0</v>
      </c>
      <c r="AB229" s="1279">
        <f t="shared" si="78"/>
        <v>0</v>
      </c>
      <c r="AC229" s="1279">
        <f t="shared" si="78"/>
        <v>0</v>
      </c>
      <c r="AD229" s="1279">
        <f t="shared" si="78"/>
        <v>0</v>
      </c>
      <c r="AE229" s="1279">
        <f t="shared" si="78"/>
        <v>0</v>
      </c>
      <c r="AF229" s="1279">
        <f t="shared" si="78"/>
        <v>0</v>
      </c>
      <c r="AG229" s="1279">
        <f t="shared" si="78"/>
        <v>0</v>
      </c>
      <c r="AH229" s="1279">
        <f t="shared" si="78"/>
        <v>0</v>
      </c>
      <c r="AI229" s="1279">
        <f t="shared" si="78"/>
        <v>0</v>
      </c>
      <c r="AJ229" s="1279">
        <f t="shared" si="78"/>
        <v>0</v>
      </c>
      <c r="AK229" s="1279">
        <f t="shared" si="78"/>
        <v>0</v>
      </c>
      <c r="AL229" s="1279">
        <f t="shared" si="78"/>
        <v>0</v>
      </c>
      <c r="AM229" s="1279">
        <f t="shared" si="78"/>
        <v>0</v>
      </c>
      <c r="AN229" s="1279">
        <f t="shared" si="78"/>
        <v>0</v>
      </c>
      <c r="AO229" s="1279">
        <f t="shared" si="78"/>
        <v>0</v>
      </c>
      <c r="AP229" s="1279">
        <f t="shared" si="78"/>
        <v>0</v>
      </c>
      <c r="AQ229" s="1279">
        <f t="shared" si="78"/>
        <v>0</v>
      </c>
      <c r="AR229" s="1279">
        <f t="shared" si="78"/>
        <v>0</v>
      </c>
      <c r="AS229" s="1279">
        <f t="shared" si="78"/>
        <v>0</v>
      </c>
      <c r="AT229" s="1279">
        <f t="shared" si="78"/>
        <v>0</v>
      </c>
      <c r="AU229" s="1279">
        <f t="shared" si="78"/>
        <v>0</v>
      </c>
      <c r="AV229" s="1279">
        <f t="shared" si="78"/>
        <v>0</v>
      </c>
      <c r="AW229" s="1279">
        <f t="shared" si="78"/>
        <v>0</v>
      </c>
      <c r="AX229" s="1279">
        <f t="shared" si="78"/>
        <v>0</v>
      </c>
      <c r="AY229" s="1279">
        <f t="shared" si="78"/>
        <v>0</v>
      </c>
      <c r="AZ229" s="1279">
        <f t="shared" si="78"/>
        <v>0</v>
      </c>
      <c r="BA229" s="1279">
        <f t="shared" si="78"/>
        <v>0</v>
      </c>
      <c r="BB229" s="1279">
        <f t="shared" si="78"/>
        <v>0</v>
      </c>
      <c r="BC229" s="1279">
        <f t="shared" si="78"/>
        <v>0</v>
      </c>
      <c r="BD229" s="1279">
        <f t="shared" si="78"/>
        <v>0</v>
      </c>
      <c r="BE229" s="1280">
        <f t="shared" si="78"/>
        <v>0</v>
      </c>
    </row>
    <row r="230" spans="2:57" x14ac:dyDescent="0.25">
      <c r="B230" s="332"/>
      <c r="C230" s="333"/>
      <c r="D230" s="333"/>
      <c r="E230" s="336"/>
      <c r="F230" s="336"/>
      <c r="G230" s="333"/>
      <c r="H230" s="1279"/>
      <c r="I230" s="1279"/>
      <c r="J230" s="1279"/>
      <c r="K230" s="1279"/>
      <c r="L230" s="1279"/>
      <c r="M230" s="1279"/>
      <c r="N230" s="1279"/>
      <c r="O230" s="1279"/>
      <c r="P230" s="1279"/>
      <c r="Q230" s="1279"/>
      <c r="R230" s="1279"/>
      <c r="S230" s="1279"/>
      <c r="T230" s="1279"/>
      <c r="U230" s="1279"/>
      <c r="V230" s="1279"/>
      <c r="W230" s="1279"/>
      <c r="X230" s="1279"/>
      <c r="Y230" s="1279"/>
      <c r="Z230" s="1279"/>
      <c r="AA230" s="1279"/>
      <c r="AB230" s="1279"/>
      <c r="AC230" s="1279"/>
      <c r="AD230" s="1279"/>
      <c r="AE230" s="1279"/>
      <c r="AF230" s="1279"/>
      <c r="AG230" s="1279"/>
      <c r="AH230" s="1279"/>
      <c r="AI230" s="1279"/>
      <c r="AJ230" s="1279"/>
      <c r="AK230" s="1279"/>
      <c r="AL230" s="1279"/>
      <c r="AM230" s="1279"/>
      <c r="AN230" s="1279"/>
      <c r="AO230" s="1279"/>
      <c r="AP230" s="1279"/>
      <c r="AQ230" s="1279"/>
      <c r="AR230" s="1279"/>
      <c r="AS230" s="1279"/>
      <c r="AT230" s="1279"/>
      <c r="AU230" s="1279"/>
      <c r="AV230" s="1279"/>
      <c r="AW230" s="1279"/>
      <c r="AX230" s="1279"/>
      <c r="AY230" s="1279"/>
      <c r="AZ230" s="1279"/>
      <c r="BA230" s="1279"/>
      <c r="BB230" s="1279"/>
      <c r="BC230" s="1279"/>
      <c r="BD230" s="1279"/>
      <c r="BE230" s="1280"/>
    </row>
    <row r="231" spans="2:57" x14ac:dyDescent="0.25">
      <c r="B231" s="332"/>
      <c r="C231" s="333"/>
      <c r="D231" s="333"/>
      <c r="E231" s="336"/>
      <c r="F231" s="336"/>
      <c r="G231" s="333"/>
      <c r="H231" s="1279"/>
      <c r="I231" s="1279"/>
      <c r="J231" s="1279"/>
      <c r="K231" s="1279"/>
      <c r="L231" s="1279"/>
      <c r="M231" s="1279"/>
      <c r="N231" s="1279"/>
      <c r="O231" s="1279"/>
      <c r="P231" s="1279"/>
      <c r="Q231" s="1279"/>
      <c r="R231" s="1279"/>
      <c r="S231" s="1279"/>
      <c r="T231" s="1279"/>
      <c r="U231" s="1279"/>
      <c r="V231" s="1279"/>
      <c r="W231" s="1279"/>
      <c r="X231" s="1279"/>
      <c r="Y231" s="1279"/>
      <c r="Z231" s="1279"/>
      <c r="AA231" s="1279"/>
      <c r="AB231" s="1279"/>
      <c r="AC231" s="1279"/>
      <c r="AD231" s="1279"/>
      <c r="AE231" s="1279"/>
      <c r="AF231" s="1279"/>
      <c r="AG231" s="1279"/>
      <c r="AH231" s="1279"/>
      <c r="AI231" s="1279"/>
      <c r="AJ231" s="1279"/>
      <c r="AK231" s="1279"/>
      <c r="AL231" s="1279"/>
      <c r="AM231" s="1279"/>
      <c r="AN231" s="1279"/>
      <c r="AO231" s="1279"/>
      <c r="AP231" s="1279"/>
      <c r="AQ231" s="1279"/>
      <c r="AR231" s="1279"/>
      <c r="AS231" s="1279"/>
      <c r="AT231" s="1279"/>
      <c r="AU231" s="1279"/>
      <c r="AV231" s="1279"/>
      <c r="AW231" s="1279"/>
      <c r="AX231" s="1279"/>
      <c r="AY231" s="1279"/>
      <c r="AZ231" s="1279"/>
      <c r="BA231" s="1279"/>
      <c r="BB231" s="1279"/>
      <c r="BC231" s="1279"/>
      <c r="BD231" s="1279"/>
      <c r="BE231" s="1280"/>
    </row>
    <row r="232" spans="2:57" x14ac:dyDescent="0.25">
      <c r="B232" s="344" t="s">
        <v>133</v>
      </c>
      <c r="C232" s="333"/>
      <c r="D232" s="333"/>
      <c r="E232" s="336"/>
      <c r="F232" s="336"/>
      <c r="G232" s="333"/>
      <c r="H232" s="1279"/>
      <c r="I232" s="1279"/>
      <c r="J232" s="1279"/>
      <c r="K232" s="1279"/>
      <c r="L232" s="1279"/>
      <c r="M232" s="1279"/>
      <c r="N232" s="1279"/>
      <c r="O232" s="1279"/>
      <c r="P232" s="1279"/>
      <c r="Q232" s="1279"/>
      <c r="R232" s="1279"/>
      <c r="S232" s="1279"/>
      <c r="T232" s="1279"/>
      <c r="U232" s="1279"/>
      <c r="V232" s="1279"/>
      <c r="W232" s="1279"/>
      <c r="X232" s="1279"/>
      <c r="Y232" s="1279"/>
      <c r="Z232" s="1279"/>
      <c r="AA232" s="1279"/>
      <c r="AB232" s="1279"/>
      <c r="AC232" s="1279"/>
      <c r="AD232" s="1279"/>
      <c r="AE232" s="1279"/>
      <c r="AF232" s="1279"/>
      <c r="AG232" s="1279"/>
      <c r="AH232" s="1279"/>
      <c r="AI232" s="1279"/>
      <c r="AJ232" s="1279"/>
      <c r="AK232" s="1279"/>
      <c r="AL232" s="1279"/>
      <c r="AM232" s="1279"/>
      <c r="AN232" s="1279"/>
      <c r="AO232" s="1279"/>
      <c r="AP232" s="1279"/>
      <c r="AQ232" s="1279"/>
      <c r="AR232" s="1279"/>
      <c r="AS232" s="1279"/>
      <c r="AT232" s="1279"/>
      <c r="AU232" s="1279"/>
      <c r="AV232" s="1279"/>
      <c r="AW232" s="1279"/>
      <c r="AX232" s="1279"/>
      <c r="AY232" s="1279"/>
      <c r="AZ232" s="1279"/>
      <c r="BA232" s="1279"/>
      <c r="BB232" s="1279"/>
      <c r="BC232" s="1279"/>
      <c r="BD232" s="1279"/>
      <c r="BE232" s="1280"/>
    </row>
    <row r="233" spans="2:57" x14ac:dyDescent="0.25">
      <c r="B233" s="332"/>
      <c r="C233" s="333"/>
      <c r="D233" s="333"/>
      <c r="E233" s="336"/>
      <c r="F233" s="336"/>
      <c r="G233" s="333"/>
      <c r="H233" s="1279"/>
      <c r="I233" s="1279"/>
      <c r="J233" s="1279"/>
      <c r="K233" s="1279"/>
      <c r="L233" s="1279"/>
      <c r="M233" s="1279"/>
      <c r="N233" s="1279"/>
      <c r="O233" s="1279"/>
      <c r="P233" s="1279"/>
      <c r="Q233" s="1279"/>
      <c r="R233" s="1279"/>
      <c r="S233" s="1279"/>
      <c r="T233" s="1279"/>
      <c r="U233" s="1279"/>
      <c r="V233" s="1279"/>
      <c r="W233" s="1279"/>
      <c r="X233" s="1279"/>
      <c r="Y233" s="1279"/>
      <c r="Z233" s="1279"/>
      <c r="AA233" s="1279"/>
      <c r="AB233" s="1279"/>
      <c r="AC233" s="1279"/>
      <c r="AD233" s="1279"/>
      <c r="AE233" s="1279"/>
      <c r="AF233" s="1279"/>
      <c r="AG233" s="1279"/>
      <c r="AH233" s="1279"/>
      <c r="AI233" s="1279"/>
      <c r="AJ233" s="1279"/>
      <c r="AK233" s="1279"/>
      <c r="AL233" s="1279"/>
      <c r="AM233" s="1279"/>
      <c r="AN233" s="1279"/>
      <c r="AO233" s="1279"/>
      <c r="AP233" s="1279"/>
      <c r="AQ233" s="1279"/>
      <c r="AR233" s="1279"/>
      <c r="AS233" s="1279"/>
      <c r="AT233" s="1279"/>
      <c r="AU233" s="1279"/>
      <c r="AV233" s="1279"/>
      <c r="AW233" s="1279"/>
      <c r="AX233" s="1279"/>
      <c r="AY233" s="1279"/>
      <c r="AZ233" s="1279"/>
      <c r="BA233" s="1279"/>
      <c r="BB233" s="1279"/>
      <c r="BC233" s="1279"/>
      <c r="BD233" s="1279"/>
      <c r="BE233" s="1280"/>
    </row>
    <row r="234" spans="2:57" x14ac:dyDescent="0.25">
      <c r="B234" s="332" t="str">
        <f>B212</f>
        <v>Operations &amp; Maintenance Expenses, excluding fuel cost</v>
      </c>
      <c r="C234" s="333"/>
      <c r="D234" s="333"/>
      <c r="E234" s="336"/>
      <c r="F234" s="336" t="s">
        <v>631</v>
      </c>
      <c r="G234" s="333"/>
      <c r="H234" s="1279">
        <f>-H212</f>
        <v>0</v>
      </c>
      <c r="I234" s="1279">
        <f t="shared" ref="I234:BE234" si="79">-I212</f>
        <v>0</v>
      </c>
      <c r="J234" s="1279">
        <f t="shared" si="79"/>
        <v>0</v>
      </c>
      <c r="K234" s="1279">
        <f t="shared" si="79"/>
        <v>0</v>
      </c>
      <c r="L234" s="1279">
        <f t="shared" si="79"/>
        <v>0</v>
      </c>
      <c r="M234" s="1279">
        <f t="shared" si="79"/>
        <v>0</v>
      </c>
      <c r="N234" s="1279">
        <f t="shared" si="79"/>
        <v>0</v>
      </c>
      <c r="O234" s="1279">
        <f t="shared" si="79"/>
        <v>0</v>
      </c>
      <c r="P234" s="1279">
        <f t="shared" si="79"/>
        <v>0</v>
      </c>
      <c r="Q234" s="1279">
        <f t="shared" si="79"/>
        <v>0</v>
      </c>
      <c r="R234" s="1279">
        <f t="shared" si="79"/>
        <v>0</v>
      </c>
      <c r="S234" s="1279">
        <f t="shared" si="79"/>
        <v>0</v>
      </c>
      <c r="T234" s="1279">
        <f t="shared" si="79"/>
        <v>0</v>
      </c>
      <c r="U234" s="1279">
        <f t="shared" si="79"/>
        <v>0</v>
      </c>
      <c r="V234" s="1279">
        <f t="shared" si="79"/>
        <v>0</v>
      </c>
      <c r="W234" s="1279">
        <f t="shared" si="79"/>
        <v>0</v>
      </c>
      <c r="X234" s="1279">
        <f t="shared" si="79"/>
        <v>0</v>
      </c>
      <c r="Y234" s="1279">
        <f t="shared" si="79"/>
        <v>0</v>
      </c>
      <c r="Z234" s="1279">
        <f t="shared" si="79"/>
        <v>0</v>
      </c>
      <c r="AA234" s="1279">
        <f t="shared" si="79"/>
        <v>0</v>
      </c>
      <c r="AB234" s="1279">
        <f t="shared" si="79"/>
        <v>0</v>
      </c>
      <c r="AC234" s="1279">
        <f t="shared" si="79"/>
        <v>0</v>
      </c>
      <c r="AD234" s="1279">
        <f t="shared" si="79"/>
        <v>0</v>
      </c>
      <c r="AE234" s="1279">
        <f t="shared" si="79"/>
        <v>0</v>
      </c>
      <c r="AF234" s="1279">
        <f t="shared" si="79"/>
        <v>0</v>
      </c>
      <c r="AG234" s="1279">
        <f t="shared" si="79"/>
        <v>0</v>
      </c>
      <c r="AH234" s="1279">
        <f t="shared" si="79"/>
        <v>0</v>
      </c>
      <c r="AI234" s="1279">
        <f t="shared" si="79"/>
        <v>0</v>
      </c>
      <c r="AJ234" s="1279">
        <f t="shared" si="79"/>
        <v>0</v>
      </c>
      <c r="AK234" s="1279">
        <f t="shared" si="79"/>
        <v>0</v>
      </c>
      <c r="AL234" s="1279">
        <f t="shared" si="79"/>
        <v>0</v>
      </c>
      <c r="AM234" s="1279">
        <f t="shared" si="79"/>
        <v>0</v>
      </c>
      <c r="AN234" s="1279">
        <f t="shared" si="79"/>
        <v>0</v>
      </c>
      <c r="AO234" s="1279">
        <f t="shared" si="79"/>
        <v>0</v>
      </c>
      <c r="AP234" s="1279">
        <f t="shared" si="79"/>
        <v>0</v>
      </c>
      <c r="AQ234" s="1279">
        <f t="shared" si="79"/>
        <v>0</v>
      </c>
      <c r="AR234" s="1279">
        <f t="shared" si="79"/>
        <v>0</v>
      </c>
      <c r="AS234" s="1279">
        <f t="shared" si="79"/>
        <v>0</v>
      </c>
      <c r="AT234" s="1279">
        <f t="shared" si="79"/>
        <v>0</v>
      </c>
      <c r="AU234" s="1279">
        <f t="shared" si="79"/>
        <v>0</v>
      </c>
      <c r="AV234" s="1279">
        <f t="shared" si="79"/>
        <v>0</v>
      </c>
      <c r="AW234" s="1279">
        <f t="shared" si="79"/>
        <v>0</v>
      </c>
      <c r="AX234" s="1279">
        <f t="shared" si="79"/>
        <v>0</v>
      </c>
      <c r="AY234" s="1279">
        <f t="shared" si="79"/>
        <v>0</v>
      </c>
      <c r="AZ234" s="1279">
        <f t="shared" si="79"/>
        <v>0</v>
      </c>
      <c r="BA234" s="1279">
        <f t="shared" si="79"/>
        <v>0</v>
      </c>
      <c r="BB234" s="1279">
        <f t="shared" si="79"/>
        <v>0</v>
      </c>
      <c r="BC234" s="1279">
        <f t="shared" si="79"/>
        <v>0</v>
      </c>
      <c r="BD234" s="1279">
        <f t="shared" si="79"/>
        <v>0</v>
      </c>
      <c r="BE234" s="1280">
        <f t="shared" si="79"/>
        <v>0</v>
      </c>
    </row>
    <row r="235" spans="2:57" x14ac:dyDescent="0.25">
      <c r="B235" s="332" t="s">
        <v>41</v>
      </c>
      <c r="C235" s="333"/>
      <c r="D235" s="333"/>
      <c r="E235" s="336"/>
      <c r="F235" s="336" t="s">
        <v>631</v>
      </c>
      <c r="G235" s="333"/>
      <c r="H235" s="1279" t="e">
        <f>-H220</f>
        <v>#DIV/0!</v>
      </c>
      <c r="I235" s="1279" t="e">
        <f t="shared" ref="I235:BE235" si="80">-I220</f>
        <v>#DIV/0!</v>
      </c>
      <c r="J235" s="1279" t="e">
        <f t="shared" si="80"/>
        <v>#DIV/0!</v>
      </c>
      <c r="K235" s="1279" t="e">
        <f t="shared" si="80"/>
        <v>#DIV/0!</v>
      </c>
      <c r="L235" s="1279" t="e">
        <f t="shared" si="80"/>
        <v>#DIV/0!</v>
      </c>
      <c r="M235" s="1279" t="e">
        <f t="shared" si="80"/>
        <v>#DIV/0!</v>
      </c>
      <c r="N235" s="1279" t="e">
        <f t="shared" si="80"/>
        <v>#DIV/0!</v>
      </c>
      <c r="O235" s="1279" t="e">
        <f t="shared" si="80"/>
        <v>#DIV/0!</v>
      </c>
      <c r="P235" s="1279" t="e">
        <f t="shared" si="80"/>
        <v>#DIV/0!</v>
      </c>
      <c r="Q235" s="1279" t="e">
        <f t="shared" si="80"/>
        <v>#DIV/0!</v>
      </c>
      <c r="R235" s="1279" t="e">
        <f t="shared" si="80"/>
        <v>#DIV/0!</v>
      </c>
      <c r="S235" s="1279" t="e">
        <f t="shared" si="80"/>
        <v>#DIV/0!</v>
      </c>
      <c r="T235" s="1279" t="e">
        <f t="shared" si="80"/>
        <v>#DIV/0!</v>
      </c>
      <c r="U235" s="1279" t="e">
        <f t="shared" si="80"/>
        <v>#DIV/0!</v>
      </c>
      <c r="V235" s="1279" t="e">
        <f t="shared" si="80"/>
        <v>#DIV/0!</v>
      </c>
      <c r="W235" s="1279" t="e">
        <f t="shared" si="80"/>
        <v>#DIV/0!</v>
      </c>
      <c r="X235" s="1279" t="e">
        <f t="shared" si="80"/>
        <v>#DIV/0!</v>
      </c>
      <c r="Y235" s="1279" t="e">
        <f t="shared" si="80"/>
        <v>#DIV/0!</v>
      </c>
      <c r="Z235" s="1279" t="e">
        <f t="shared" si="80"/>
        <v>#DIV/0!</v>
      </c>
      <c r="AA235" s="1279" t="e">
        <f t="shared" si="80"/>
        <v>#DIV/0!</v>
      </c>
      <c r="AB235" s="1279" t="e">
        <f t="shared" si="80"/>
        <v>#DIV/0!</v>
      </c>
      <c r="AC235" s="1279" t="e">
        <f t="shared" si="80"/>
        <v>#DIV/0!</v>
      </c>
      <c r="AD235" s="1279" t="e">
        <f t="shared" si="80"/>
        <v>#DIV/0!</v>
      </c>
      <c r="AE235" s="1279" t="e">
        <f t="shared" si="80"/>
        <v>#DIV/0!</v>
      </c>
      <c r="AF235" s="1279" t="e">
        <f t="shared" si="80"/>
        <v>#DIV/0!</v>
      </c>
      <c r="AG235" s="1279" t="e">
        <f t="shared" si="80"/>
        <v>#DIV/0!</v>
      </c>
      <c r="AH235" s="1279" t="e">
        <f t="shared" si="80"/>
        <v>#DIV/0!</v>
      </c>
      <c r="AI235" s="1279" t="e">
        <f t="shared" si="80"/>
        <v>#DIV/0!</v>
      </c>
      <c r="AJ235" s="1279" t="e">
        <f t="shared" si="80"/>
        <v>#DIV/0!</v>
      </c>
      <c r="AK235" s="1279" t="e">
        <f t="shared" si="80"/>
        <v>#DIV/0!</v>
      </c>
      <c r="AL235" s="1279" t="e">
        <f t="shared" si="80"/>
        <v>#DIV/0!</v>
      </c>
      <c r="AM235" s="1279" t="e">
        <f t="shared" si="80"/>
        <v>#DIV/0!</v>
      </c>
      <c r="AN235" s="1279" t="e">
        <f t="shared" si="80"/>
        <v>#DIV/0!</v>
      </c>
      <c r="AO235" s="1279" t="e">
        <f t="shared" si="80"/>
        <v>#DIV/0!</v>
      </c>
      <c r="AP235" s="1279" t="e">
        <f t="shared" si="80"/>
        <v>#DIV/0!</v>
      </c>
      <c r="AQ235" s="1279" t="e">
        <f t="shared" si="80"/>
        <v>#DIV/0!</v>
      </c>
      <c r="AR235" s="1279" t="e">
        <f t="shared" si="80"/>
        <v>#DIV/0!</v>
      </c>
      <c r="AS235" s="1279" t="e">
        <f t="shared" si="80"/>
        <v>#DIV/0!</v>
      </c>
      <c r="AT235" s="1279" t="e">
        <f t="shared" si="80"/>
        <v>#DIV/0!</v>
      </c>
      <c r="AU235" s="1279" t="e">
        <f t="shared" si="80"/>
        <v>#DIV/0!</v>
      </c>
      <c r="AV235" s="1279" t="e">
        <f t="shared" si="80"/>
        <v>#DIV/0!</v>
      </c>
      <c r="AW235" s="1279" t="e">
        <f t="shared" si="80"/>
        <v>#DIV/0!</v>
      </c>
      <c r="AX235" s="1279" t="e">
        <f t="shared" si="80"/>
        <v>#DIV/0!</v>
      </c>
      <c r="AY235" s="1279" t="e">
        <f t="shared" si="80"/>
        <v>#DIV/0!</v>
      </c>
      <c r="AZ235" s="1279" t="e">
        <f t="shared" si="80"/>
        <v>#DIV/0!</v>
      </c>
      <c r="BA235" s="1279" t="e">
        <f t="shared" si="80"/>
        <v>#DIV/0!</v>
      </c>
      <c r="BB235" s="1279" t="e">
        <f t="shared" si="80"/>
        <v>#DIV/0!</v>
      </c>
      <c r="BC235" s="1279" t="e">
        <f t="shared" si="80"/>
        <v>#DIV/0!</v>
      </c>
      <c r="BD235" s="1279" t="e">
        <f t="shared" si="80"/>
        <v>#DIV/0!</v>
      </c>
      <c r="BE235" s="1280" t="e">
        <f t="shared" si="80"/>
        <v>#DIV/0!</v>
      </c>
    </row>
    <row r="236" spans="2:57" x14ac:dyDescent="0.25">
      <c r="B236" s="332" t="str">
        <f>B227</f>
        <v xml:space="preserve">Front-end Fees </v>
      </c>
      <c r="C236" s="333"/>
      <c r="D236" s="333"/>
      <c r="E236" s="336"/>
      <c r="F236" s="336" t="s">
        <v>631</v>
      </c>
      <c r="G236" s="333"/>
      <c r="H236" s="1279">
        <f>-H227</f>
        <v>0</v>
      </c>
      <c r="I236" s="1279">
        <f t="shared" ref="I236:BE236" si="81">-I227</f>
        <v>0</v>
      </c>
      <c r="J236" s="1279">
        <f t="shared" si="81"/>
        <v>0</v>
      </c>
      <c r="K236" s="1279">
        <f t="shared" si="81"/>
        <v>0</v>
      </c>
      <c r="L236" s="1279">
        <f t="shared" si="81"/>
        <v>0</v>
      </c>
      <c r="M236" s="1279">
        <f t="shared" si="81"/>
        <v>0</v>
      </c>
      <c r="N236" s="1279">
        <f t="shared" si="81"/>
        <v>0</v>
      </c>
      <c r="O236" s="1279">
        <f t="shared" si="81"/>
        <v>0</v>
      </c>
      <c r="P236" s="1279">
        <f t="shared" si="81"/>
        <v>0</v>
      </c>
      <c r="Q236" s="1279">
        <f t="shared" si="81"/>
        <v>0</v>
      </c>
      <c r="R236" s="1279">
        <f t="shared" si="81"/>
        <v>0</v>
      </c>
      <c r="S236" s="1279">
        <f t="shared" si="81"/>
        <v>0</v>
      </c>
      <c r="T236" s="1279">
        <f t="shared" si="81"/>
        <v>0</v>
      </c>
      <c r="U236" s="1279">
        <f t="shared" si="81"/>
        <v>0</v>
      </c>
      <c r="V236" s="1279">
        <f t="shared" si="81"/>
        <v>0</v>
      </c>
      <c r="W236" s="1279">
        <f t="shared" si="81"/>
        <v>0</v>
      </c>
      <c r="X236" s="1279">
        <f t="shared" si="81"/>
        <v>0</v>
      </c>
      <c r="Y236" s="1279">
        <f t="shared" si="81"/>
        <v>0</v>
      </c>
      <c r="Z236" s="1279">
        <f t="shared" si="81"/>
        <v>0</v>
      </c>
      <c r="AA236" s="1279">
        <f t="shared" si="81"/>
        <v>0</v>
      </c>
      <c r="AB236" s="1279">
        <f t="shared" si="81"/>
        <v>0</v>
      </c>
      <c r="AC236" s="1279">
        <f t="shared" si="81"/>
        <v>0</v>
      </c>
      <c r="AD236" s="1279">
        <f t="shared" si="81"/>
        <v>0</v>
      </c>
      <c r="AE236" s="1279">
        <f t="shared" si="81"/>
        <v>0</v>
      </c>
      <c r="AF236" s="1279">
        <f t="shared" si="81"/>
        <v>0</v>
      </c>
      <c r="AG236" s="1279">
        <f t="shared" si="81"/>
        <v>0</v>
      </c>
      <c r="AH236" s="1279">
        <f t="shared" si="81"/>
        <v>0</v>
      </c>
      <c r="AI236" s="1279">
        <f t="shared" si="81"/>
        <v>0</v>
      </c>
      <c r="AJ236" s="1279">
        <f t="shared" si="81"/>
        <v>0</v>
      </c>
      <c r="AK236" s="1279">
        <f t="shared" si="81"/>
        <v>0</v>
      </c>
      <c r="AL236" s="1279">
        <f t="shared" si="81"/>
        <v>0</v>
      </c>
      <c r="AM236" s="1279">
        <f t="shared" si="81"/>
        <v>0</v>
      </c>
      <c r="AN236" s="1279">
        <f t="shared" si="81"/>
        <v>0</v>
      </c>
      <c r="AO236" s="1279">
        <f t="shared" si="81"/>
        <v>0</v>
      </c>
      <c r="AP236" s="1279">
        <f t="shared" si="81"/>
        <v>0</v>
      </c>
      <c r="AQ236" s="1279">
        <f t="shared" si="81"/>
        <v>0</v>
      </c>
      <c r="AR236" s="1279">
        <f t="shared" si="81"/>
        <v>0</v>
      </c>
      <c r="AS236" s="1279">
        <f t="shared" si="81"/>
        <v>0</v>
      </c>
      <c r="AT236" s="1279">
        <f t="shared" si="81"/>
        <v>0</v>
      </c>
      <c r="AU236" s="1279">
        <f t="shared" si="81"/>
        <v>0</v>
      </c>
      <c r="AV236" s="1279">
        <f t="shared" si="81"/>
        <v>0</v>
      </c>
      <c r="AW236" s="1279">
        <f t="shared" si="81"/>
        <v>0</v>
      </c>
      <c r="AX236" s="1279">
        <f t="shared" si="81"/>
        <v>0</v>
      </c>
      <c r="AY236" s="1279">
        <f t="shared" si="81"/>
        <v>0</v>
      </c>
      <c r="AZ236" s="1279">
        <f t="shared" si="81"/>
        <v>0</v>
      </c>
      <c r="BA236" s="1279">
        <f t="shared" si="81"/>
        <v>0</v>
      </c>
      <c r="BB236" s="1279">
        <f t="shared" si="81"/>
        <v>0</v>
      </c>
      <c r="BC236" s="1279">
        <f t="shared" si="81"/>
        <v>0</v>
      </c>
      <c r="BD236" s="1279">
        <f t="shared" si="81"/>
        <v>0</v>
      </c>
      <c r="BE236" s="1280">
        <f t="shared" si="81"/>
        <v>0</v>
      </c>
    </row>
    <row r="237" spans="2:57" x14ac:dyDescent="0.25">
      <c r="B237" s="332" t="str">
        <f>B228</f>
        <v xml:space="preserve">Public Guarantee Fees </v>
      </c>
      <c r="C237" s="333"/>
      <c r="D237" s="333"/>
      <c r="E237" s="336"/>
      <c r="F237" s="336" t="s">
        <v>631</v>
      </c>
      <c r="G237" s="333"/>
      <c r="H237" s="1279">
        <f>-H228</f>
        <v>0</v>
      </c>
      <c r="I237" s="1279">
        <f t="shared" ref="I237:BE237" si="82">-I228</f>
        <v>0</v>
      </c>
      <c r="J237" s="1279">
        <f t="shared" si="82"/>
        <v>0</v>
      </c>
      <c r="K237" s="1279">
        <f t="shared" si="82"/>
        <v>0</v>
      </c>
      <c r="L237" s="1279">
        <f t="shared" si="82"/>
        <v>0</v>
      </c>
      <c r="M237" s="1279">
        <f t="shared" si="82"/>
        <v>0</v>
      </c>
      <c r="N237" s="1279">
        <f t="shared" si="82"/>
        <v>0</v>
      </c>
      <c r="O237" s="1279">
        <f t="shared" si="82"/>
        <v>0</v>
      </c>
      <c r="P237" s="1279">
        <f t="shared" si="82"/>
        <v>0</v>
      </c>
      <c r="Q237" s="1279">
        <f t="shared" si="82"/>
        <v>0</v>
      </c>
      <c r="R237" s="1279">
        <f t="shared" si="82"/>
        <v>0</v>
      </c>
      <c r="S237" s="1279">
        <f t="shared" si="82"/>
        <v>0</v>
      </c>
      <c r="T237" s="1279">
        <f t="shared" si="82"/>
        <v>0</v>
      </c>
      <c r="U237" s="1279">
        <f t="shared" si="82"/>
        <v>0</v>
      </c>
      <c r="V237" s="1279">
        <f t="shared" si="82"/>
        <v>0</v>
      </c>
      <c r="W237" s="1279">
        <f t="shared" si="82"/>
        <v>0</v>
      </c>
      <c r="X237" s="1279">
        <f t="shared" si="82"/>
        <v>0</v>
      </c>
      <c r="Y237" s="1279">
        <f t="shared" si="82"/>
        <v>0</v>
      </c>
      <c r="Z237" s="1279">
        <f t="shared" si="82"/>
        <v>0</v>
      </c>
      <c r="AA237" s="1279">
        <f t="shared" si="82"/>
        <v>0</v>
      </c>
      <c r="AB237" s="1279">
        <f t="shared" si="82"/>
        <v>0</v>
      </c>
      <c r="AC237" s="1279">
        <f t="shared" si="82"/>
        <v>0</v>
      </c>
      <c r="AD237" s="1279">
        <f t="shared" si="82"/>
        <v>0</v>
      </c>
      <c r="AE237" s="1279">
        <f t="shared" si="82"/>
        <v>0</v>
      </c>
      <c r="AF237" s="1279">
        <f t="shared" si="82"/>
        <v>0</v>
      </c>
      <c r="AG237" s="1279">
        <f t="shared" si="82"/>
        <v>0</v>
      </c>
      <c r="AH237" s="1279">
        <f t="shared" si="82"/>
        <v>0</v>
      </c>
      <c r="AI237" s="1279">
        <f t="shared" si="82"/>
        <v>0</v>
      </c>
      <c r="AJ237" s="1279">
        <f t="shared" si="82"/>
        <v>0</v>
      </c>
      <c r="AK237" s="1279">
        <f t="shared" si="82"/>
        <v>0</v>
      </c>
      <c r="AL237" s="1279">
        <f t="shared" si="82"/>
        <v>0</v>
      </c>
      <c r="AM237" s="1279">
        <f t="shared" si="82"/>
        <v>0</v>
      </c>
      <c r="AN237" s="1279">
        <f t="shared" si="82"/>
        <v>0</v>
      </c>
      <c r="AO237" s="1279">
        <f t="shared" si="82"/>
        <v>0</v>
      </c>
      <c r="AP237" s="1279">
        <f t="shared" si="82"/>
        <v>0</v>
      </c>
      <c r="AQ237" s="1279">
        <f t="shared" si="82"/>
        <v>0</v>
      </c>
      <c r="AR237" s="1279">
        <f t="shared" si="82"/>
        <v>0</v>
      </c>
      <c r="AS237" s="1279">
        <f t="shared" si="82"/>
        <v>0</v>
      </c>
      <c r="AT237" s="1279">
        <f t="shared" si="82"/>
        <v>0</v>
      </c>
      <c r="AU237" s="1279">
        <f t="shared" si="82"/>
        <v>0</v>
      </c>
      <c r="AV237" s="1279">
        <f t="shared" si="82"/>
        <v>0</v>
      </c>
      <c r="AW237" s="1279">
        <f t="shared" si="82"/>
        <v>0</v>
      </c>
      <c r="AX237" s="1279">
        <f t="shared" si="82"/>
        <v>0</v>
      </c>
      <c r="AY237" s="1279">
        <f t="shared" si="82"/>
        <v>0</v>
      </c>
      <c r="AZ237" s="1279">
        <f t="shared" si="82"/>
        <v>0</v>
      </c>
      <c r="BA237" s="1279">
        <f t="shared" si="82"/>
        <v>0</v>
      </c>
      <c r="BB237" s="1279">
        <f t="shared" si="82"/>
        <v>0</v>
      </c>
      <c r="BC237" s="1279">
        <f t="shared" si="82"/>
        <v>0</v>
      </c>
      <c r="BD237" s="1279">
        <f t="shared" si="82"/>
        <v>0</v>
      </c>
      <c r="BE237" s="1280">
        <f t="shared" si="82"/>
        <v>0</v>
      </c>
    </row>
    <row r="238" spans="2:57" x14ac:dyDescent="0.25">
      <c r="B238" s="332" t="str">
        <f>B229</f>
        <v>Political Risk Insurance - Fees &amp; Annual Premium Payments</v>
      </c>
      <c r="C238" s="333"/>
      <c r="D238" s="333"/>
      <c r="E238" s="336"/>
      <c r="F238" s="336" t="s">
        <v>631</v>
      </c>
      <c r="G238" s="333"/>
      <c r="H238" s="1279">
        <f>-H229</f>
        <v>0</v>
      </c>
      <c r="I238" s="1279">
        <f t="shared" ref="I238:BE238" si="83">-I229</f>
        <v>0</v>
      </c>
      <c r="J238" s="1279">
        <f t="shared" si="83"/>
        <v>0</v>
      </c>
      <c r="K238" s="1279">
        <f t="shared" si="83"/>
        <v>0</v>
      </c>
      <c r="L238" s="1279">
        <f t="shared" si="83"/>
        <v>0</v>
      </c>
      <c r="M238" s="1279">
        <f t="shared" si="83"/>
        <v>0</v>
      </c>
      <c r="N238" s="1279">
        <f t="shared" si="83"/>
        <v>0</v>
      </c>
      <c r="O238" s="1279">
        <f t="shared" si="83"/>
        <v>0</v>
      </c>
      <c r="P238" s="1279">
        <f t="shared" si="83"/>
        <v>0</v>
      </c>
      <c r="Q238" s="1279">
        <f t="shared" si="83"/>
        <v>0</v>
      </c>
      <c r="R238" s="1279">
        <f t="shared" si="83"/>
        <v>0</v>
      </c>
      <c r="S238" s="1279">
        <f t="shared" si="83"/>
        <v>0</v>
      </c>
      <c r="T238" s="1279">
        <f t="shared" si="83"/>
        <v>0</v>
      </c>
      <c r="U238" s="1279">
        <f t="shared" si="83"/>
        <v>0</v>
      </c>
      <c r="V238" s="1279">
        <f t="shared" si="83"/>
        <v>0</v>
      </c>
      <c r="W238" s="1279">
        <f t="shared" si="83"/>
        <v>0</v>
      </c>
      <c r="X238" s="1279">
        <f t="shared" si="83"/>
        <v>0</v>
      </c>
      <c r="Y238" s="1279">
        <f t="shared" si="83"/>
        <v>0</v>
      </c>
      <c r="Z238" s="1279">
        <f t="shared" si="83"/>
        <v>0</v>
      </c>
      <c r="AA238" s="1279">
        <f t="shared" si="83"/>
        <v>0</v>
      </c>
      <c r="AB238" s="1279">
        <f t="shared" si="83"/>
        <v>0</v>
      </c>
      <c r="AC238" s="1279">
        <f t="shared" si="83"/>
        <v>0</v>
      </c>
      <c r="AD238" s="1279">
        <f t="shared" si="83"/>
        <v>0</v>
      </c>
      <c r="AE238" s="1279">
        <f t="shared" si="83"/>
        <v>0</v>
      </c>
      <c r="AF238" s="1279">
        <f t="shared" si="83"/>
        <v>0</v>
      </c>
      <c r="AG238" s="1279">
        <f t="shared" si="83"/>
        <v>0</v>
      </c>
      <c r="AH238" s="1279">
        <f t="shared" si="83"/>
        <v>0</v>
      </c>
      <c r="AI238" s="1279">
        <f t="shared" si="83"/>
        <v>0</v>
      </c>
      <c r="AJ238" s="1279">
        <f t="shared" si="83"/>
        <v>0</v>
      </c>
      <c r="AK238" s="1279">
        <f t="shared" si="83"/>
        <v>0</v>
      </c>
      <c r="AL238" s="1279">
        <f t="shared" si="83"/>
        <v>0</v>
      </c>
      <c r="AM238" s="1279">
        <f t="shared" si="83"/>
        <v>0</v>
      </c>
      <c r="AN238" s="1279">
        <f t="shared" si="83"/>
        <v>0</v>
      </c>
      <c r="AO238" s="1279">
        <f t="shared" si="83"/>
        <v>0</v>
      </c>
      <c r="AP238" s="1279">
        <f t="shared" si="83"/>
        <v>0</v>
      </c>
      <c r="AQ238" s="1279">
        <f t="shared" si="83"/>
        <v>0</v>
      </c>
      <c r="AR238" s="1279">
        <f t="shared" si="83"/>
        <v>0</v>
      </c>
      <c r="AS238" s="1279">
        <f t="shared" si="83"/>
        <v>0</v>
      </c>
      <c r="AT238" s="1279">
        <f t="shared" si="83"/>
        <v>0</v>
      </c>
      <c r="AU238" s="1279">
        <f t="shared" si="83"/>
        <v>0</v>
      </c>
      <c r="AV238" s="1279">
        <f t="shared" si="83"/>
        <v>0</v>
      </c>
      <c r="AW238" s="1279">
        <f t="shared" si="83"/>
        <v>0</v>
      </c>
      <c r="AX238" s="1279">
        <f t="shared" si="83"/>
        <v>0</v>
      </c>
      <c r="AY238" s="1279">
        <f t="shared" si="83"/>
        <v>0</v>
      </c>
      <c r="AZ238" s="1279">
        <f t="shared" si="83"/>
        <v>0</v>
      </c>
      <c r="BA238" s="1279">
        <f t="shared" si="83"/>
        <v>0</v>
      </c>
      <c r="BB238" s="1279">
        <f t="shared" si="83"/>
        <v>0</v>
      </c>
      <c r="BC238" s="1279">
        <f t="shared" si="83"/>
        <v>0</v>
      </c>
      <c r="BD238" s="1279">
        <f t="shared" si="83"/>
        <v>0</v>
      </c>
      <c r="BE238" s="1280">
        <f t="shared" si="83"/>
        <v>0</v>
      </c>
    </row>
    <row r="239" spans="2:57" x14ac:dyDescent="0.25">
      <c r="B239" s="332" t="s">
        <v>102</v>
      </c>
      <c r="C239" s="333"/>
      <c r="D239" s="333"/>
      <c r="E239" s="336"/>
      <c r="F239" s="336" t="s">
        <v>631</v>
      </c>
      <c r="G239" s="333"/>
      <c r="H239" s="1279">
        <f>-(H619+H640+H661)</f>
        <v>0</v>
      </c>
      <c r="I239" s="1279">
        <f t="shared" ref="I239:BE239" si="84">-(I619+I640+I661)</f>
        <v>0</v>
      </c>
      <c r="J239" s="1279">
        <f t="shared" si="84"/>
        <v>0</v>
      </c>
      <c r="K239" s="1279">
        <f t="shared" si="84"/>
        <v>0</v>
      </c>
      <c r="L239" s="1279">
        <f t="shared" si="84"/>
        <v>0</v>
      </c>
      <c r="M239" s="1279">
        <f t="shared" si="84"/>
        <v>0</v>
      </c>
      <c r="N239" s="1279">
        <f t="shared" si="84"/>
        <v>0</v>
      </c>
      <c r="O239" s="1279">
        <f t="shared" si="84"/>
        <v>0</v>
      </c>
      <c r="P239" s="1279">
        <f t="shared" si="84"/>
        <v>0</v>
      </c>
      <c r="Q239" s="1279">
        <f t="shared" si="84"/>
        <v>0</v>
      </c>
      <c r="R239" s="1279">
        <f t="shared" si="84"/>
        <v>0</v>
      </c>
      <c r="S239" s="1279">
        <f t="shared" si="84"/>
        <v>0</v>
      </c>
      <c r="T239" s="1279">
        <f t="shared" si="84"/>
        <v>0</v>
      </c>
      <c r="U239" s="1279">
        <f t="shared" si="84"/>
        <v>0</v>
      </c>
      <c r="V239" s="1279">
        <f t="shared" si="84"/>
        <v>0</v>
      </c>
      <c r="W239" s="1279">
        <f t="shared" si="84"/>
        <v>0</v>
      </c>
      <c r="X239" s="1279">
        <f t="shared" si="84"/>
        <v>0</v>
      </c>
      <c r="Y239" s="1279">
        <f t="shared" si="84"/>
        <v>0</v>
      </c>
      <c r="Z239" s="1279">
        <f t="shared" si="84"/>
        <v>0</v>
      </c>
      <c r="AA239" s="1279">
        <f t="shared" si="84"/>
        <v>0</v>
      </c>
      <c r="AB239" s="1279">
        <f t="shared" si="84"/>
        <v>0</v>
      </c>
      <c r="AC239" s="1279">
        <f t="shared" si="84"/>
        <v>0</v>
      </c>
      <c r="AD239" s="1279">
        <f t="shared" si="84"/>
        <v>0</v>
      </c>
      <c r="AE239" s="1279">
        <f t="shared" si="84"/>
        <v>0</v>
      </c>
      <c r="AF239" s="1279">
        <f t="shared" si="84"/>
        <v>0</v>
      </c>
      <c r="AG239" s="1279">
        <f t="shared" si="84"/>
        <v>0</v>
      </c>
      <c r="AH239" s="1279">
        <f t="shared" si="84"/>
        <v>0</v>
      </c>
      <c r="AI239" s="1279">
        <f t="shared" si="84"/>
        <v>0</v>
      </c>
      <c r="AJ239" s="1279">
        <f t="shared" si="84"/>
        <v>0</v>
      </c>
      <c r="AK239" s="1279">
        <f t="shared" si="84"/>
        <v>0</v>
      </c>
      <c r="AL239" s="1279">
        <f t="shared" si="84"/>
        <v>0</v>
      </c>
      <c r="AM239" s="1279">
        <f t="shared" si="84"/>
        <v>0</v>
      </c>
      <c r="AN239" s="1279">
        <f t="shared" si="84"/>
        <v>0</v>
      </c>
      <c r="AO239" s="1279">
        <f t="shared" si="84"/>
        <v>0</v>
      </c>
      <c r="AP239" s="1279">
        <f t="shared" si="84"/>
        <v>0</v>
      </c>
      <c r="AQ239" s="1279">
        <f t="shared" si="84"/>
        <v>0</v>
      </c>
      <c r="AR239" s="1279">
        <f t="shared" si="84"/>
        <v>0</v>
      </c>
      <c r="AS239" s="1279">
        <f t="shared" si="84"/>
        <v>0</v>
      </c>
      <c r="AT239" s="1279">
        <f t="shared" si="84"/>
        <v>0</v>
      </c>
      <c r="AU239" s="1279">
        <f t="shared" si="84"/>
        <v>0</v>
      </c>
      <c r="AV239" s="1279">
        <f t="shared" si="84"/>
        <v>0</v>
      </c>
      <c r="AW239" s="1279">
        <f t="shared" si="84"/>
        <v>0</v>
      </c>
      <c r="AX239" s="1279">
        <f t="shared" si="84"/>
        <v>0</v>
      </c>
      <c r="AY239" s="1279">
        <f t="shared" si="84"/>
        <v>0</v>
      </c>
      <c r="AZ239" s="1279">
        <f t="shared" si="84"/>
        <v>0</v>
      </c>
      <c r="BA239" s="1279">
        <f t="shared" si="84"/>
        <v>0</v>
      </c>
      <c r="BB239" s="1279">
        <f t="shared" si="84"/>
        <v>0</v>
      </c>
      <c r="BC239" s="1279">
        <f t="shared" si="84"/>
        <v>0</v>
      </c>
      <c r="BD239" s="1279">
        <f t="shared" si="84"/>
        <v>0</v>
      </c>
      <c r="BE239" s="1280">
        <f t="shared" si="84"/>
        <v>0</v>
      </c>
    </row>
    <row r="240" spans="2:57" x14ac:dyDescent="0.25">
      <c r="B240" s="345" t="s">
        <v>103</v>
      </c>
      <c r="C240" s="340"/>
      <c r="D240" s="340"/>
      <c r="E240" s="341"/>
      <c r="F240" s="341" t="s">
        <v>631</v>
      </c>
      <c r="G240" s="340"/>
      <c r="H240" s="1281" t="e">
        <f>(H212+H220+H222+H227+H228+H229+H224+H225+H226)*'II. Inputs, Baseline Energy Mix'!$R$19</f>
        <v>#DIV/0!</v>
      </c>
      <c r="I240" s="1281" t="e">
        <f>(I212+I220+I222+I227+I228+I229+I224+I225+I226)*'II. Inputs, Baseline Energy Mix'!$R$19</f>
        <v>#DIV/0!</v>
      </c>
      <c r="J240" s="1281" t="e">
        <f>(J212+J220+J222+J227+J228+J229+J224+J225+J226)*'II. Inputs, Baseline Energy Mix'!$R$19</f>
        <v>#DIV/0!</v>
      </c>
      <c r="K240" s="1281" t="e">
        <f>(K212+K220+K222+K227+K228+K229+K224+K225+K226)*'II. Inputs, Baseline Energy Mix'!$R$19</f>
        <v>#DIV/0!</v>
      </c>
      <c r="L240" s="1281" t="e">
        <f>(L212+L220+L222+L227+L228+L229+L224+L225+L226)*'II. Inputs, Baseline Energy Mix'!$R$19</f>
        <v>#DIV/0!</v>
      </c>
      <c r="M240" s="1281" t="e">
        <f>(M212+M220+M222+M227+M228+M229+M224+M225+M226)*'II. Inputs, Baseline Energy Mix'!$R$19</f>
        <v>#DIV/0!</v>
      </c>
      <c r="N240" s="1281" t="e">
        <f>(N212+N220+N222+N227+N228+N229+N224+N225+N226)*'II. Inputs, Baseline Energy Mix'!$R$19</f>
        <v>#DIV/0!</v>
      </c>
      <c r="O240" s="1281" t="e">
        <f>(O212+O220+O222+O227+O228+O229+O224+O225+O226)*'II. Inputs, Baseline Energy Mix'!$R$19</f>
        <v>#DIV/0!</v>
      </c>
      <c r="P240" s="1281" t="e">
        <f>(P212+P220+P222+P227+P228+P229+P224+P225+P226)*'II. Inputs, Baseline Energy Mix'!$R$19</f>
        <v>#DIV/0!</v>
      </c>
      <c r="Q240" s="1281" t="e">
        <f>(Q212+Q220+Q222+Q227+Q228+Q229+Q224+Q225+Q226)*'II. Inputs, Baseline Energy Mix'!$R$19</f>
        <v>#DIV/0!</v>
      </c>
      <c r="R240" s="1281" t="e">
        <f>(R212+R220+R222+R227+R228+R229+R224+R225+R226)*'II. Inputs, Baseline Energy Mix'!$R$19</f>
        <v>#DIV/0!</v>
      </c>
      <c r="S240" s="1281" t="e">
        <f>(S212+S220+S222+S227+S228+S229+S224+S225+S226)*'II. Inputs, Baseline Energy Mix'!$R$19</f>
        <v>#DIV/0!</v>
      </c>
      <c r="T240" s="1281" t="e">
        <f>(T212+T220+T222+T227+T228+T229+T224+T225+T226)*'II. Inputs, Baseline Energy Mix'!$R$19</f>
        <v>#DIV/0!</v>
      </c>
      <c r="U240" s="1281" t="e">
        <f>(U212+U220+U222+U227+U228+U229+U224+U225+U226)*'II. Inputs, Baseline Energy Mix'!$R$19</f>
        <v>#DIV/0!</v>
      </c>
      <c r="V240" s="1281" t="e">
        <f>(V212+V220+V222+V227+V228+V229+V224+V225+V226)*'II. Inputs, Baseline Energy Mix'!$R$19</f>
        <v>#DIV/0!</v>
      </c>
      <c r="W240" s="1281" t="e">
        <f>(W212+W220+W222+W227+W228+W229+W224+W225+W226)*'II. Inputs, Baseline Energy Mix'!$R$19</f>
        <v>#DIV/0!</v>
      </c>
      <c r="X240" s="1281" t="e">
        <f>(X212+X220+X222+X227+X228+X229+X224+X225+X226)*'II. Inputs, Baseline Energy Mix'!$R$19</f>
        <v>#DIV/0!</v>
      </c>
      <c r="Y240" s="1281" t="e">
        <f>(Y212+Y220+Y222+Y227+Y228+Y229+Y224+Y225+Y226)*'II. Inputs, Baseline Energy Mix'!$R$19</f>
        <v>#DIV/0!</v>
      </c>
      <c r="Z240" s="1281" t="e">
        <f>(Z212+Z220+Z222+Z227+Z228+Z229+Z224+Z225+Z226)*'II. Inputs, Baseline Energy Mix'!$R$19</f>
        <v>#DIV/0!</v>
      </c>
      <c r="AA240" s="1281" t="e">
        <f>(AA212+AA220+AA222+AA227+AA228+AA229+AA224+AA225+AA226)*'II. Inputs, Baseline Energy Mix'!$R$19</f>
        <v>#DIV/0!</v>
      </c>
      <c r="AB240" s="1281" t="e">
        <f>(AB212+AB220+AB222+AB227+AB228+AB229+AB224+AB225+AB226)*'II. Inputs, Baseline Energy Mix'!$R$19</f>
        <v>#DIV/0!</v>
      </c>
      <c r="AC240" s="1281" t="e">
        <f>(AC212+AC220+AC222+AC227+AC228+AC229+AC224+AC225+AC226)*'II. Inputs, Baseline Energy Mix'!$R$19</f>
        <v>#DIV/0!</v>
      </c>
      <c r="AD240" s="1281" t="e">
        <f>(AD212+AD220+AD222+AD227+AD228+AD229+AD224+AD225+AD226)*'II. Inputs, Baseline Energy Mix'!$R$19</f>
        <v>#DIV/0!</v>
      </c>
      <c r="AE240" s="1281" t="e">
        <f>(AE212+AE220+AE222+AE227+AE228+AE229+AE224+AE225+AE226)*'II. Inputs, Baseline Energy Mix'!$R$19</f>
        <v>#DIV/0!</v>
      </c>
      <c r="AF240" s="1281" t="e">
        <f>(AF212+AF220+AF222+AF227+AF228+AF229+AF224+AF225+AF226)*'II. Inputs, Baseline Energy Mix'!$R$19</f>
        <v>#DIV/0!</v>
      </c>
      <c r="AG240" s="1281" t="e">
        <f>(AG212+AG220+AG222+AG227+AG228+AG229+AG224+AG225+AG226)*'II. Inputs, Baseline Energy Mix'!$R$19</f>
        <v>#DIV/0!</v>
      </c>
      <c r="AH240" s="1281" t="e">
        <f>(AH212+AH220+AH222+AH227+AH228+AH229+AH224+AH225+AH226)*'II. Inputs, Baseline Energy Mix'!$R$19</f>
        <v>#DIV/0!</v>
      </c>
      <c r="AI240" s="1281" t="e">
        <f>(AI212+AI220+AI222+AI227+AI228+AI229+AI224+AI225+AI226)*'II. Inputs, Baseline Energy Mix'!$R$19</f>
        <v>#DIV/0!</v>
      </c>
      <c r="AJ240" s="1281" t="e">
        <f>(AJ212+AJ220+AJ222+AJ227+AJ228+AJ229+AJ224+AJ225+AJ226)*'II. Inputs, Baseline Energy Mix'!$R$19</f>
        <v>#DIV/0!</v>
      </c>
      <c r="AK240" s="1281" t="e">
        <f>(AK212+AK220+AK222+AK227+AK228+AK229+AK224+AK225+AK226)*'II. Inputs, Baseline Energy Mix'!$R$19</f>
        <v>#DIV/0!</v>
      </c>
      <c r="AL240" s="1281" t="e">
        <f>(AL212+AL220+AL222+AL227+AL228+AL229+AL224+AL225+AL226)*'II. Inputs, Baseline Energy Mix'!$R$19</f>
        <v>#DIV/0!</v>
      </c>
      <c r="AM240" s="1281" t="e">
        <f>(AM212+AM220+AM222+AM227+AM228+AM229+AM224+AM225+AM226)*'II. Inputs, Baseline Energy Mix'!$R$19</f>
        <v>#DIV/0!</v>
      </c>
      <c r="AN240" s="1281" t="e">
        <f>(AN212+AN220+AN222+AN227+AN228+AN229+AN224+AN225+AN226)*'II. Inputs, Baseline Energy Mix'!$R$19</f>
        <v>#DIV/0!</v>
      </c>
      <c r="AO240" s="1281" t="e">
        <f>(AO212+AO220+AO222+AO227+AO228+AO229+AO224+AO225+AO226)*'II. Inputs, Baseline Energy Mix'!$R$19</f>
        <v>#DIV/0!</v>
      </c>
      <c r="AP240" s="1281" t="e">
        <f>(AP212+AP220+AP222+AP227+AP228+AP229+AP224+AP225+AP226)*'II. Inputs, Baseline Energy Mix'!$R$19</f>
        <v>#DIV/0!</v>
      </c>
      <c r="AQ240" s="1281" t="e">
        <f>(AQ212+AQ220+AQ222+AQ227+AQ228+AQ229+AQ224+AQ225+AQ226)*'II. Inputs, Baseline Energy Mix'!$R$19</f>
        <v>#DIV/0!</v>
      </c>
      <c r="AR240" s="1281" t="e">
        <f>(AR212+AR220+AR222+AR227+AR228+AR229+AR224+AR225+AR226)*'II. Inputs, Baseline Energy Mix'!$R$19</f>
        <v>#DIV/0!</v>
      </c>
      <c r="AS240" s="1281" t="e">
        <f>(AS212+AS220+AS222+AS227+AS228+AS229+AS224+AS225+AS226)*'II. Inputs, Baseline Energy Mix'!$R$19</f>
        <v>#DIV/0!</v>
      </c>
      <c r="AT240" s="1281" t="e">
        <f>(AT212+AT220+AT222+AT227+AT228+AT229+AT224+AT225+AT226)*'II. Inputs, Baseline Energy Mix'!$R$19</f>
        <v>#DIV/0!</v>
      </c>
      <c r="AU240" s="1281" t="e">
        <f>(AU212+AU220+AU222+AU227+AU228+AU229+AU224+AU225+AU226)*'II. Inputs, Baseline Energy Mix'!$R$19</f>
        <v>#DIV/0!</v>
      </c>
      <c r="AV240" s="1281" t="e">
        <f>(AV212+AV220+AV222+AV227+AV228+AV229+AV224+AV225+AV226)*'II. Inputs, Baseline Energy Mix'!$R$19</f>
        <v>#DIV/0!</v>
      </c>
      <c r="AW240" s="1281" t="e">
        <f>(AW212+AW220+AW222+AW227+AW228+AW229+AW224+AW225+AW226)*'II. Inputs, Baseline Energy Mix'!$R$19</f>
        <v>#DIV/0!</v>
      </c>
      <c r="AX240" s="1281" t="e">
        <f>(AX212+AX220+AX222+AX227+AX228+AX229+AX224+AX225+AX226)*'II. Inputs, Baseline Energy Mix'!$R$19</f>
        <v>#DIV/0!</v>
      </c>
      <c r="AY240" s="1281" t="e">
        <f>(AY212+AY220+AY222+AY227+AY228+AY229+AY224+AY225+AY226)*'II. Inputs, Baseline Energy Mix'!$R$19</f>
        <v>#DIV/0!</v>
      </c>
      <c r="AZ240" s="1281" t="e">
        <f>(AZ212+AZ220+AZ222+AZ227+AZ228+AZ229+AZ224+AZ225+AZ226)*'II. Inputs, Baseline Energy Mix'!$R$19</f>
        <v>#DIV/0!</v>
      </c>
      <c r="BA240" s="1281" t="e">
        <f>(BA212+BA220+BA222+BA227+BA228+BA229+BA224+BA225+BA226)*'II. Inputs, Baseline Energy Mix'!$R$19</f>
        <v>#DIV/0!</v>
      </c>
      <c r="BB240" s="1281" t="e">
        <f>(BB212+BB220+BB222+BB227+BB228+BB229+BB224+BB225+BB226)*'II. Inputs, Baseline Energy Mix'!$R$19</f>
        <v>#DIV/0!</v>
      </c>
      <c r="BC240" s="1281" t="e">
        <f>(BC212+BC220+BC222+BC227+BC228+BC229+BC224+BC225+BC226)*'II. Inputs, Baseline Energy Mix'!$R$19</f>
        <v>#DIV/0!</v>
      </c>
      <c r="BD240" s="1281" t="e">
        <f>(BD212+BD220+BD222+BD227+BD228+BD229+BD224+BD225+BD226)*'II. Inputs, Baseline Energy Mix'!$R$19</f>
        <v>#DIV/0!</v>
      </c>
      <c r="BE240" s="1282" t="e">
        <f>(BE212+BE220+BE222+BE227+BE228+BE229+BE224+BE225+BE226)*'II. Inputs, Baseline Energy Mix'!$R$19</f>
        <v>#DIV/0!</v>
      </c>
    </row>
    <row r="241" spans="2:57" x14ac:dyDescent="0.25">
      <c r="B241" s="332" t="s">
        <v>104</v>
      </c>
      <c r="C241" s="333"/>
      <c r="D241" s="333"/>
      <c r="E241" s="336"/>
      <c r="F241" s="336" t="s">
        <v>631</v>
      </c>
      <c r="G241" s="1279">
        <f>-IF('II. Inputs, Baseline Energy Mix'!$R$15&gt;0, 'II. Inputs, Baseline Energy Mix'!$R$16*'II. Inputs, Baseline Energy Mix'!$R$17*'II. Inputs, Baseline Energy Mix'!$R$29,0)</f>
        <v>0</v>
      </c>
      <c r="H241" s="1279" t="e">
        <f t="shared" ref="H241:AM241" si="85">SUM(H234:H240)</f>
        <v>#DIV/0!</v>
      </c>
      <c r="I241" s="1279" t="e">
        <f t="shared" si="85"/>
        <v>#DIV/0!</v>
      </c>
      <c r="J241" s="1279" t="e">
        <f t="shared" si="85"/>
        <v>#DIV/0!</v>
      </c>
      <c r="K241" s="1279" t="e">
        <f t="shared" si="85"/>
        <v>#DIV/0!</v>
      </c>
      <c r="L241" s="1279" t="e">
        <f t="shared" si="85"/>
        <v>#DIV/0!</v>
      </c>
      <c r="M241" s="1279" t="e">
        <f t="shared" si="85"/>
        <v>#DIV/0!</v>
      </c>
      <c r="N241" s="1279" t="e">
        <f t="shared" si="85"/>
        <v>#DIV/0!</v>
      </c>
      <c r="O241" s="1279" t="e">
        <f t="shared" si="85"/>
        <v>#DIV/0!</v>
      </c>
      <c r="P241" s="1279" t="e">
        <f t="shared" si="85"/>
        <v>#DIV/0!</v>
      </c>
      <c r="Q241" s="1279" t="e">
        <f t="shared" si="85"/>
        <v>#DIV/0!</v>
      </c>
      <c r="R241" s="1279" t="e">
        <f t="shared" si="85"/>
        <v>#DIV/0!</v>
      </c>
      <c r="S241" s="1279" t="e">
        <f t="shared" si="85"/>
        <v>#DIV/0!</v>
      </c>
      <c r="T241" s="1279" t="e">
        <f t="shared" si="85"/>
        <v>#DIV/0!</v>
      </c>
      <c r="U241" s="1279" t="e">
        <f t="shared" si="85"/>
        <v>#DIV/0!</v>
      </c>
      <c r="V241" s="1279" t="e">
        <f t="shared" si="85"/>
        <v>#DIV/0!</v>
      </c>
      <c r="W241" s="1279" t="e">
        <f t="shared" si="85"/>
        <v>#DIV/0!</v>
      </c>
      <c r="X241" s="1279" t="e">
        <f t="shared" si="85"/>
        <v>#DIV/0!</v>
      </c>
      <c r="Y241" s="1279" t="e">
        <f t="shared" si="85"/>
        <v>#DIV/0!</v>
      </c>
      <c r="Z241" s="1279" t="e">
        <f t="shared" si="85"/>
        <v>#DIV/0!</v>
      </c>
      <c r="AA241" s="1279" t="e">
        <f t="shared" si="85"/>
        <v>#DIV/0!</v>
      </c>
      <c r="AB241" s="1279" t="e">
        <f t="shared" si="85"/>
        <v>#DIV/0!</v>
      </c>
      <c r="AC241" s="1279" t="e">
        <f t="shared" si="85"/>
        <v>#DIV/0!</v>
      </c>
      <c r="AD241" s="1279" t="e">
        <f t="shared" si="85"/>
        <v>#DIV/0!</v>
      </c>
      <c r="AE241" s="1279" t="e">
        <f t="shared" si="85"/>
        <v>#DIV/0!</v>
      </c>
      <c r="AF241" s="1279" t="e">
        <f t="shared" si="85"/>
        <v>#DIV/0!</v>
      </c>
      <c r="AG241" s="1279" t="e">
        <f t="shared" si="85"/>
        <v>#DIV/0!</v>
      </c>
      <c r="AH241" s="1279" t="e">
        <f t="shared" si="85"/>
        <v>#DIV/0!</v>
      </c>
      <c r="AI241" s="1279" t="e">
        <f t="shared" si="85"/>
        <v>#DIV/0!</v>
      </c>
      <c r="AJ241" s="1279" t="e">
        <f t="shared" si="85"/>
        <v>#DIV/0!</v>
      </c>
      <c r="AK241" s="1279" t="e">
        <f t="shared" si="85"/>
        <v>#DIV/0!</v>
      </c>
      <c r="AL241" s="1279" t="e">
        <f t="shared" si="85"/>
        <v>#DIV/0!</v>
      </c>
      <c r="AM241" s="1279" t="e">
        <f t="shared" si="85"/>
        <v>#DIV/0!</v>
      </c>
      <c r="AN241" s="1279" t="e">
        <f t="shared" ref="AN241:BE241" si="86">SUM(AN234:AN240)</f>
        <v>#DIV/0!</v>
      </c>
      <c r="AO241" s="1279" t="e">
        <f t="shared" si="86"/>
        <v>#DIV/0!</v>
      </c>
      <c r="AP241" s="1279" t="e">
        <f t="shared" si="86"/>
        <v>#DIV/0!</v>
      </c>
      <c r="AQ241" s="1279" t="e">
        <f t="shared" si="86"/>
        <v>#DIV/0!</v>
      </c>
      <c r="AR241" s="1279" t="e">
        <f t="shared" si="86"/>
        <v>#DIV/0!</v>
      </c>
      <c r="AS241" s="1279" t="e">
        <f t="shared" si="86"/>
        <v>#DIV/0!</v>
      </c>
      <c r="AT241" s="1279" t="e">
        <f t="shared" si="86"/>
        <v>#DIV/0!</v>
      </c>
      <c r="AU241" s="1279" t="e">
        <f t="shared" si="86"/>
        <v>#DIV/0!</v>
      </c>
      <c r="AV241" s="1279" t="e">
        <f t="shared" si="86"/>
        <v>#DIV/0!</v>
      </c>
      <c r="AW241" s="1279" t="e">
        <f t="shared" si="86"/>
        <v>#DIV/0!</v>
      </c>
      <c r="AX241" s="1279" t="e">
        <f t="shared" si="86"/>
        <v>#DIV/0!</v>
      </c>
      <c r="AY241" s="1279" t="e">
        <f t="shared" si="86"/>
        <v>#DIV/0!</v>
      </c>
      <c r="AZ241" s="1279" t="e">
        <f t="shared" si="86"/>
        <v>#DIV/0!</v>
      </c>
      <c r="BA241" s="1279" t="e">
        <f t="shared" si="86"/>
        <v>#DIV/0!</v>
      </c>
      <c r="BB241" s="1279" t="e">
        <f t="shared" si="86"/>
        <v>#DIV/0!</v>
      </c>
      <c r="BC241" s="1279" t="e">
        <f t="shared" si="86"/>
        <v>#DIV/0!</v>
      </c>
      <c r="BD241" s="1279" t="e">
        <f t="shared" si="86"/>
        <v>#DIV/0!</v>
      </c>
      <c r="BE241" s="1280" t="e">
        <f t="shared" si="86"/>
        <v>#DIV/0!</v>
      </c>
    </row>
    <row r="242" spans="2:57" x14ac:dyDescent="0.25">
      <c r="B242" s="332"/>
      <c r="C242" s="333"/>
      <c r="D242" s="333"/>
      <c r="E242" s="336"/>
      <c r="F242" s="333"/>
      <c r="G242" s="333"/>
      <c r="H242" s="333"/>
      <c r="I242" s="343"/>
      <c r="J242" s="333"/>
      <c r="K242" s="333"/>
      <c r="L242" s="333"/>
      <c r="M242" s="333"/>
      <c r="N242" s="333"/>
      <c r="O242" s="333"/>
      <c r="P242" s="333"/>
      <c r="Q242" s="333"/>
      <c r="R242" s="333"/>
      <c r="S242" s="333"/>
      <c r="T242" s="333"/>
      <c r="U242" s="333"/>
      <c r="V242" s="333"/>
      <c r="W242" s="333"/>
      <c r="X242" s="333"/>
      <c r="Y242" s="333"/>
      <c r="Z242" s="333"/>
      <c r="AA242" s="333"/>
      <c r="AB242" s="333"/>
      <c r="AC242" s="333"/>
      <c r="AD242" s="333"/>
      <c r="AE242" s="333"/>
      <c r="AF242" s="333"/>
      <c r="AG242" s="333"/>
      <c r="AH242" s="333"/>
      <c r="AI242" s="333"/>
      <c r="AJ242" s="333"/>
      <c r="AK242" s="333"/>
      <c r="AL242" s="333"/>
      <c r="AM242" s="333"/>
      <c r="AN242" s="333"/>
      <c r="AO242" s="333"/>
      <c r="AP242" s="333"/>
      <c r="AQ242" s="333"/>
      <c r="AR242" s="333"/>
      <c r="AS242" s="333"/>
      <c r="AT242" s="333"/>
      <c r="AU242" s="333"/>
      <c r="AV242" s="333"/>
      <c r="AW242" s="333"/>
      <c r="AX242" s="333"/>
      <c r="AY242" s="333"/>
      <c r="AZ242" s="333"/>
      <c r="BA242" s="333"/>
      <c r="BB242" s="333"/>
      <c r="BC242" s="333"/>
      <c r="BD242" s="333"/>
      <c r="BE242" s="334"/>
    </row>
    <row r="243" spans="2:57" x14ac:dyDescent="0.25">
      <c r="B243" s="332" t="s">
        <v>105</v>
      </c>
      <c r="C243" s="333"/>
      <c r="D243" s="333"/>
      <c r="E243" s="336"/>
      <c r="F243" s="333"/>
      <c r="G243" s="1132">
        <f>'II. Inputs, Baseline Energy Mix'!$R$37</f>
        <v>0</v>
      </c>
      <c r="H243" s="333"/>
      <c r="I243" s="343"/>
      <c r="J243" s="333"/>
      <c r="K243" s="333"/>
      <c r="L243" s="333"/>
      <c r="M243" s="333"/>
      <c r="N243" s="333"/>
      <c r="O243" s="333"/>
      <c r="P243" s="333"/>
      <c r="Q243" s="333"/>
      <c r="R243" s="333"/>
      <c r="S243" s="333"/>
      <c r="T243" s="333"/>
      <c r="U243" s="333"/>
      <c r="V243" s="333"/>
      <c r="W243" s="333"/>
      <c r="X243" s="333"/>
      <c r="Y243" s="333"/>
      <c r="Z243" s="333"/>
      <c r="AA243" s="333"/>
      <c r="AB243" s="333"/>
      <c r="AC243" s="333"/>
      <c r="AD243" s="333"/>
      <c r="AE243" s="333"/>
      <c r="AF243" s="333"/>
      <c r="AG243" s="333"/>
      <c r="AH243" s="333"/>
      <c r="AI243" s="333"/>
      <c r="AJ243" s="333"/>
      <c r="AK243" s="333"/>
      <c r="AL243" s="333"/>
      <c r="AM243" s="333"/>
      <c r="AN243" s="333"/>
      <c r="AO243" s="333"/>
      <c r="AP243" s="333"/>
      <c r="AQ243" s="333"/>
      <c r="AR243" s="333"/>
      <c r="AS243" s="333"/>
      <c r="AT243" s="333"/>
      <c r="AU243" s="333"/>
      <c r="AV243" s="333"/>
      <c r="AW243" s="333"/>
      <c r="AX243" s="333"/>
      <c r="AY243" s="333"/>
      <c r="AZ243" s="333"/>
      <c r="BA243" s="333"/>
      <c r="BB243" s="333"/>
      <c r="BC243" s="333"/>
      <c r="BD243" s="333"/>
      <c r="BE243" s="334"/>
    </row>
    <row r="244" spans="2:57" x14ac:dyDescent="0.25">
      <c r="B244" s="332" t="s">
        <v>106</v>
      </c>
      <c r="C244" s="333"/>
      <c r="D244" s="333"/>
      <c r="E244" s="336"/>
      <c r="F244" s="333"/>
      <c r="G244" s="1285" t="e">
        <f>IF(G243="NA", "NA", NPV(G243,H241:BE241)+G241)</f>
        <v>#DIV/0!</v>
      </c>
      <c r="H244" s="333"/>
      <c r="I244" s="343"/>
      <c r="J244" s="333"/>
      <c r="K244" s="333"/>
      <c r="L244" s="333"/>
      <c r="M244" s="333"/>
      <c r="N244" s="333"/>
      <c r="O244" s="333"/>
      <c r="P244" s="333"/>
      <c r="Q244" s="333"/>
      <c r="R244" s="333"/>
      <c r="S244" s="333"/>
      <c r="T244" s="333"/>
      <c r="U244" s="333"/>
      <c r="V244" s="333"/>
      <c r="W244" s="333"/>
      <c r="X244" s="333"/>
      <c r="Y244" s="333"/>
      <c r="Z244" s="333"/>
      <c r="AA244" s="333"/>
      <c r="AB244" s="333"/>
      <c r="AC244" s="333"/>
      <c r="AD244" s="333"/>
      <c r="AE244" s="333"/>
      <c r="AF244" s="333"/>
      <c r="AG244" s="333"/>
      <c r="AH244" s="333"/>
      <c r="AI244" s="333"/>
      <c r="AJ244" s="333"/>
      <c r="AK244" s="333"/>
      <c r="AL244" s="333"/>
      <c r="AM244" s="333"/>
      <c r="AN244" s="333"/>
      <c r="AO244" s="333"/>
      <c r="AP244" s="333"/>
      <c r="AQ244" s="333"/>
      <c r="AR244" s="333"/>
      <c r="AS244" s="333"/>
      <c r="AT244" s="333"/>
      <c r="AU244" s="333"/>
      <c r="AV244" s="333"/>
      <c r="AW244" s="333"/>
      <c r="AX244" s="333"/>
      <c r="AY244" s="333"/>
      <c r="AZ244" s="333"/>
      <c r="BA244" s="333"/>
      <c r="BB244" s="333"/>
      <c r="BC244" s="333"/>
      <c r="BD244" s="333"/>
      <c r="BE244" s="334"/>
    </row>
    <row r="245" spans="2:57" x14ac:dyDescent="0.25">
      <c r="B245" s="332" t="s">
        <v>107</v>
      </c>
      <c r="C245" s="333"/>
      <c r="D245" s="333"/>
      <c r="E245" s="336"/>
      <c r="F245" s="333"/>
      <c r="G245" s="1285">
        <f>IF(G243="NA", "NA", -NPV(G243,H208:BE208))</f>
        <v>0</v>
      </c>
      <c r="H245" s="333"/>
      <c r="I245" s="343"/>
      <c r="J245" s="333"/>
      <c r="K245" s="333"/>
      <c r="L245" s="333"/>
      <c r="M245" s="333"/>
      <c r="N245" s="333"/>
      <c r="O245" s="333"/>
      <c r="P245" s="333"/>
      <c r="Q245" s="333"/>
      <c r="R245" s="333"/>
      <c r="S245" s="333"/>
      <c r="T245" s="333"/>
      <c r="U245" s="333"/>
      <c r="V245" s="333"/>
      <c r="W245" s="333"/>
      <c r="X245" s="333"/>
      <c r="Y245" s="333"/>
      <c r="Z245" s="333"/>
      <c r="AA245" s="333"/>
      <c r="AB245" s="333"/>
      <c r="AC245" s="333"/>
      <c r="AD245" s="333"/>
      <c r="AE245" s="333"/>
      <c r="AF245" s="333"/>
      <c r="AG245" s="333"/>
      <c r="AH245" s="333"/>
      <c r="AI245" s="333"/>
      <c r="AJ245" s="333"/>
      <c r="AK245" s="333"/>
      <c r="AL245" s="333"/>
      <c r="AM245" s="333"/>
      <c r="AN245" s="333"/>
      <c r="AO245" s="333"/>
      <c r="AP245" s="333"/>
      <c r="AQ245" s="333"/>
      <c r="AR245" s="333"/>
      <c r="AS245" s="333"/>
      <c r="AT245" s="333"/>
      <c r="AU245" s="333"/>
      <c r="AV245" s="333"/>
      <c r="AW245" s="333"/>
      <c r="AX245" s="333"/>
      <c r="AY245" s="333"/>
      <c r="AZ245" s="333"/>
      <c r="BA245" s="333"/>
      <c r="BB245" s="333"/>
      <c r="BC245" s="333"/>
      <c r="BD245" s="333"/>
      <c r="BE245" s="334"/>
    </row>
    <row r="246" spans="2:57" ht="13.8" thickBot="1" x14ac:dyDescent="0.3">
      <c r="B246" s="332" t="s">
        <v>108</v>
      </c>
      <c r="C246" s="333"/>
      <c r="D246" s="333"/>
      <c r="E246" s="336"/>
      <c r="F246" s="336" t="s">
        <v>633</v>
      </c>
      <c r="G246" s="1286" t="str">
        <f>IF(OR(G245=0,G243="NA"), "NA", G244/G245)</f>
        <v>NA</v>
      </c>
      <c r="H246" s="333"/>
      <c r="I246" s="343"/>
      <c r="J246" s="333"/>
      <c r="K246" s="333"/>
      <c r="L246" s="333"/>
      <c r="M246" s="333"/>
      <c r="N246" s="333"/>
      <c r="O246" s="333"/>
      <c r="P246" s="333"/>
      <c r="Q246" s="333"/>
      <c r="R246" s="333"/>
      <c r="S246" s="333"/>
      <c r="T246" s="333"/>
      <c r="U246" s="333"/>
      <c r="V246" s="333"/>
      <c r="W246" s="333"/>
      <c r="X246" s="333"/>
      <c r="Y246" s="333"/>
      <c r="Z246" s="333"/>
      <c r="AA246" s="333"/>
      <c r="AB246" s="333"/>
      <c r="AC246" s="333"/>
      <c r="AD246" s="333"/>
      <c r="AE246" s="333"/>
      <c r="AF246" s="333"/>
      <c r="AG246" s="333"/>
      <c r="AH246" s="333"/>
      <c r="AI246" s="333"/>
      <c r="AJ246" s="333"/>
      <c r="AK246" s="333"/>
      <c r="AL246" s="333"/>
      <c r="AM246" s="333"/>
      <c r="AN246" s="333"/>
      <c r="AO246" s="333"/>
      <c r="AP246" s="333"/>
      <c r="AQ246" s="333"/>
      <c r="AR246" s="333"/>
      <c r="AS246" s="333"/>
      <c r="AT246" s="333"/>
      <c r="AU246" s="333"/>
      <c r="AV246" s="333"/>
      <c r="AW246" s="333"/>
      <c r="AX246" s="333"/>
      <c r="AY246" s="333"/>
      <c r="AZ246" s="333"/>
      <c r="BA246" s="333"/>
      <c r="BB246" s="333"/>
      <c r="BC246" s="333"/>
      <c r="BD246" s="333"/>
      <c r="BE246" s="334"/>
    </row>
    <row r="247" spans="2:57" ht="13.8" thickBot="1" x14ac:dyDescent="0.3">
      <c r="B247" s="346" t="s">
        <v>109</v>
      </c>
      <c r="C247" s="347"/>
      <c r="D247" s="347"/>
      <c r="E247" s="348"/>
      <c r="F247" s="348" t="s">
        <v>632</v>
      </c>
      <c r="G247" s="1287" t="str">
        <f>IF(G246="NA", "NA", $G$246/(1-'II. Inputs, Baseline Energy Mix'!$R$19))</f>
        <v>NA</v>
      </c>
      <c r="H247" s="333"/>
      <c r="I247" s="343"/>
      <c r="J247" s="333"/>
      <c r="K247" s="333"/>
      <c r="L247" s="333"/>
      <c r="M247" s="333"/>
      <c r="N247" s="333"/>
      <c r="O247" s="333"/>
      <c r="P247" s="333"/>
      <c r="Q247" s="333"/>
      <c r="R247" s="333"/>
      <c r="S247" s="333"/>
      <c r="T247" s="333"/>
      <c r="U247" s="333"/>
      <c r="V247" s="333"/>
      <c r="W247" s="333"/>
      <c r="X247" s="333"/>
      <c r="Y247" s="333"/>
      <c r="Z247" s="333"/>
      <c r="AA247" s="333"/>
      <c r="AB247" s="333"/>
      <c r="AC247" s="333"/>
      <c r="AD247" s="333"/>
      <c r="AE247" s="333"/>
      <c r="AF247" s="333"/>
      <c r="AG247" s="333"/>
      <c r="AH247" s="333"/>
      <c r="AI247" s="333"/>
      <c r="AJ247" s="333"/>
      <c r="AK247" s="333"/>
      <c r="AL247" s="333"/>
      <c r="AM247" s="333"/>
      <c r="AN247" s="333"/>
      <c r="AO247" s="333"/>
      <c r="AP247" s="333"/>
      <c r="AQ247" s="333"/>
      <c r="AR247" s="333"/>
      <c r="AS247" s="333"/>
      <c r="AT247" s="333"/>
      <c r="AU247" s="333"/>
      <c r="AV247" s="333"/>
      <c r="AW247" s="333"/>
      <c r="AX247" s="333"/>
      <c r="AY247" s="333"/>
      <c r="AZ247" s="333"/>
      <c r="BA247" s="333"/>
      <c r="BB247" s="333"/>
      <c r="BC247" s="333"/>
      <c r="BD247" s="333"/>
      <c r="BE247" s="334"/>
    </row>
    <row r="248" spans="2:57" ht="13.8" thickBot="1" x14ac:dyDescent="0.3">
      <c r="B248" s="349"/>
      <c r="C248" s="350"/>
      <c r="D248" s="350"/>
      <c r="E248" s="351"/>
      <c r="F248" s="351"/>
      <c r="G248" s="352"/>
      <c r="H248" s="353"/>
      <c r="I248" s="354"/>
      <c r="J248" s="353"/>
      <c r="K248" s="353"/>
      <c r="L248" s="353"/>
      <c r="M248" s="353"/>
      <c r="N248" s="353"/>
      <c r="O248" s="353"/>
      <c r="P248" s="353"/>
      <c r="Q248" s="353"/>
      <c r="R248" s="353"/>
      <c r="S248" s="353"/>
      <c r="T248" s="353"/>
      <c r="U248" s="353"/>
      <c r="V248" s="353"/>
      <c r="W248" s="353"/>
      <c r="X248" s="353"/>
      <c r="Y248" s="353"/>
      <c r="Z248" s="353"/>
      <c r="AA248" s="353"/>
      <c r="AB248" s="353"/>
      <c r="AC248" s="353"/>
      <c r="AD248" s="353"/>
      <c r="AE248" s="353"/>
      <c r="AF248" s="353"/>
      <c r="AG248" s="353"/>
      <c r="AH248" s="353"/>
      <c r="AI248" s="353"/>
      <c r="AJ248" s="353"/>
      <c r="AK248" s="353"/>
      <c r="AL248" s="353"/>
      <c r="AM248" s="353"/>
      <c r="AN248" s="353"/>
      <c r="AO248" s="353"/>
      <c r="AP248" s="353"/>
      <c r="AQ248" s="353"/>
      <c r="AR248" s="353"/>
      <c r="AS248" s="353"/>
      <c r="AT248" s="353"/>
      <c r="AU248" s="353"/>
      <c r="AV248" s="353"/>
      <c r="AW248" s="353"/>
      <c r="AX248" s="353"/>
      <c r="AY248" s="353"/>
      <c r="AZ248" s="353"/>
      <c r="BA248" s="353"/>
      <c r="BB248" s="353"/>
      <c r="BC248" s="353"/>
      <c r="BD248" s="353"/>
      <c r="BE248" s="355"/>
    </row>
    <row r="249" spans="2:57" ht="13.8" thickBot="1" x14ac:dyDescent="0.3">
      <c r="B249" s="43"/>
      <c r="C249" s="43"/>
      <c r="D249" s="43"/>
      <c r="E249" s="208"/>
      <c r="F249" s="208"/>
      <c r="G249" s="328"/>
      <c r="I249" s="250"/>
    </row>
    <row r="250" spans="2:57" s="36" customFormat="1" x14ac:dyDescent="0.25">
      <c r="B250" s="356" t="s">
        <v>139</v>
      </c>
      <c r="C250" s="357"/>
      <c r="D250" s="357"/>
      <c r="E250" s="357"/>
      <c r="F250" s="357"/>
      <c r="G250" s="357"/>
      <c r="H250" s="357"/>
      <c r="I250" s="357"/>
      <c r="J250" s="357"/>
      <c r="K250" s="357"/>
      <c r="L250" s="357"/>
      <c r="M250" s="357"/>
      <c r="N250" s="357"/>
      <c r="O250" s="357"/>
      <c r="P250" s="357"/>
      <c r="Q250" s="357"/>
      <c r="R250" s="357"/>
      <c r="S250" s="357"/>
      <c r="T250" s="357"/>
      <c r="U250" s="357"/>
      <c r="V250" s="357"/>
      <c r="W250" s="357"/>
      <c r="X250" s="357"/>
      <c r="Y250" s="357"/>
      <c r="Z250" s="357"/>
      <c r="AA250" s="357"/>
      <c r="AB250" s="357"/>
      <c r="AC250" s="357"/>
      <c r="AD250" s="357"/>
      <c r="AE250" s="357"/>
      <c r="AF250" s="357"/>
      <c r="AG250" s="357"/>
      <c r="AH250" s="357"/>
      <c r="AI250" s="357"/>
      <c r="AJ250" s="357"/>
      <c r="AK250" s="357"/>
      <c r="AL250" s="357"/>
      <c r="AM250" s="357"/>
      <c r="AN250" s="357"/>
      <c r="AO250" s="357"/>
      <c r="AP250" s="357"/>
      <c r="AQ250" s="357"/>
      <c r="AR250" s="357"/>
      <c r="AS250" s="357"/>
      <c r="AT250" s="357"/>
      <c r="AU250" s="357"/>
      <c r="AV250" s="357"/>
      <c r="AW250" s="357"/>
      <c r="AX250" s="357"/>
      <c r="AY250" s="357"/>
      <c r="AZ250" s="357"/>
      <c r="BA250" s="357"/>
      <c r="BB250" s="357"/>
      <c r="BC250" s="357"/>
      <c r="BD250" s="357"/>
      <c r="BE250" s="358"/>
    </row>
    <row r="251" spans="2:57" x14ac:dyDescent="0.25">
      <c r="B251" s="359"/>
      <c r="C251" s="360"/>
      <c r="D251" s="360"/>
      <c r="E251" s="360"/>
      <c r="F251" s="360"/>
      <c r="G251" s="360"/>
      <c r="H251" s="360"/>
      <c r="I251" s="360"/>
      <c r="J251" s="360"/>
      <c r="K251" s="360"/>
      <c r="L251" s="360"/>
      <c r="M251" s="360"/>
      <c r="N251" s="360"/>
      <c r="O251" s="360"/>
      <c r="P251" s="360"/>
      <c r="Q251" s="360"/>
      <c r="R251" s="360"/>
      <c r="S251" s="360"/>
      <c r="T251" s="360"/>
      <c r="U251" s="360"/>
      <c r="V251" s="360"/>
      <c r="W251" s="360"/>
      <c r="X251" s="360"/>
      <c r="Y251" s="360"/>
      <c r="Z251" s="360"/>
      <c r="AA251" s="360"/>
      <c r="AB251" s="360"/>
      <c r="AC251" s="360"/>
      <c r="AD251" s="360"/>
      <c r="AE251" s="360"/>
      <c r="AF251" s="360"/>
      <c r="AG251" s="360"/>
      <c r="AH251" s="360"/>
      <c r="AI251" s="360"/>
      <c r="AJ251" s="360"/>
      <c r="AK251" s="360"/>
      <c r="AL251" s="360"/>
      <c r="AM251" s="360"/>
      <c r="AN251" s="360"/>
      <c r="AO251" s="360"/>
      <c r="AP251" s="360"/>
      <c r="AQ251" s="360"/>
      <c r="AR251" s="360"/>
      <c r="AS251" s="360"/>
      <c r="AT251" s="360"/>
      <c r="AU251" s="360"/>
      <c r="AV251" s="360"/>
      <c r="AW251" s="360"/>
      <c r="AX251" s="360"/>
      <c r="AY251" s="360"/>
      <c r="AZ251" s="360"/>
      <c r="BA251" s="360"/>
      <c r="BB251" s="360"/>
      <c r="BC251" s="360"/>
      <c r="BD251" s="360"/>
      <c r="BE251" s="361"/>
    </row>
    <row r="252" spans="2:57" x14ac:dyDescent="0.25">
      <c r="B252" s="359" t="s">
        <v>136</v>
      </c>
      <c r="C252" s="360"/>
      <c r="D252" s="360"/>
      <c r="E252" s="360"/>
      <c r="F252" s="360"/>
      <c r="G252" s="360"/>
      <c r="H252" s="362">
        <f>IF(H$13&gt;'II. Inputs, Baseline Energy Mix'!$S$18,0,1)</f>
        <v>0</v>
      </c>
      <c r="I252" s="360">
        <f>IF(I$13&gt;'II. Inputs, Baseline Energy Mix'!$S$18,0,1)</f>
        <v>0</v>
      </c>
      <c r="J252" s="360">
        <f>IF(J$13&gt;'II. Inputs, Baseline Energy Mix'!$S$18,0,1)</f>
        <v>0</v>
      </c>
      <c r="K252" s="360">
        <f>IF(K$13&gt;'II. Inputs, Baseline Energy Mix'!$S$18,0,1)</f>
        <v>0</v>
      </c>
      <c r="L252" s="360">
        <f>IF(L$13&gt;'II. Inputs, Baseline Energy Mix'!$S$18,0,1)</f>
        <v>0</v>
      </c>
      <c r="M252" s="360">
        <f>IF(M$13&gt;'II. Inputs, Baseline Energy Mix'!$S$18,0,1)</f>
        <v>0</v>
      </c>
      <c r="N252" s="360">
        <f>IF(N$13&gt;'II. Inputs, Baseline Energy Mix'!$S$18,0,1)</f>
        <v>0</v>
      </c>
      <c r="O252" s="360">
        <f>IF(O$13&gt;'II. Inputs, Baseline Energy Mix'!$S$18,0,1)</f>
        <v>0</v>
      </c>
      <c r="P252" s="360">
        <f>IF(P$13&gt;'II. Inputs, Baseline Energy Mix'!$S$18,0,1)</f>
        <v>0</v>
      </c>
      <c r="Q252" s="360">
        <f>IF(Q$13&gt;'II. Inputs, Baseline Energy Mix'!$S$18,0,1)</f>
        <v>0</v>
      </c>
      <c r="R252" s="360">
        <f>IF(R$13&gt;'II. Inputs, Baseline Energy Mix'!$S$18,0,1)</f>
        <v>0</v>
      </c>
      <c r="S252" s="360">
        <f>IF(S$13&gt;'II. Inputs, Baseline Energy Mix'!$S$18,0,1)</f>
        <v>0</v>
      </c>
      <c r="T252" s="360">
        <f>IF(T$13&gt;'II. Inputs, Baseline Energy Mix'!$S$18,0,1)</f>
        <v>0</v>
      </c>
      <c r="U252" s="360">
        <f>IF(U$13&gt;'II. Inputs, Baseline Energy Mix'!$S$18,0,1)</f>
        <v>0</v>
      </c>
      <c r="V252" s="360">
        <f>IF(V$13&gt;'II. Inputs, Baseline Energy Mix'!$S$18,0,1)</f>
        <v>0</v>
      </c>
      <c r="W252" s="360">
        <f>IF(W$13&gt;'II. Inputs, Baseline Energy Mix'!$S$18,0,1)</f>
        <v>0</v>
      </c>
      <c r="X252" s="360">
        <f>IF(X$13&gt;'II. Inputs, Baseline Energy Mix'!$S$18,0,1)</f>
        <v>0</v>
      </c>
      <c r="Y252" s="360">
        <f>IF(Y$13&gt;'II. Inputs, Baseline Energy Mix'!$S$18,0,1)</f>
        <v>0</v>
      </c>
      <c r="Z252" s="360">
        <f>IF(Z$13&gt;'II. Inputs, Baseline Energy Mix'!$S$18,0,1)</f>
        <v>0</v>
      </c>
      <c r="AA252" s="360">
        <f>IF(AA$13&gt;'II. Inputs, Baseline Energy Mix'!$S$18,0,1)</f>
        <v>0</v>
      </c>
      <c r="AB252" s="360">
        <f>IF(AB$13&gt;'II. Inputs, Baseline Energy Mix'!$S$18,0,1)</f>
        <v>0</v>
      </c>
      <c r="AC252" s="360">
        <f>IF(AC$13&gt;'II. Inputs, Baseline Energy Mix'!$S$18,0,1)</f>
        <v>0</v>
      </c>
      <c r="AD252" s="360">
        <f>IF(AD$13&gt;'II. Inputs, Baseline Energy Mix'!$S$18,0,1)</f>
        <v>0</v>
      </c>
      <c r="AE252" s="360">
        <f>IF(AE$13&gt;'II. Inputs, Baseline Energy Mix'!$S$18,0,1)</f>
        <v>0</v>
      </c>
      <c r="AF252" s="360">
        <f>IF(AF$13&gt;'II. Inputs, Baseline Energy Mix'!$S$18,0,1)</f>
        <v>0</v>
      </c>
      <c r="AG252" s="360">
        <f>IF(AG$13&gt;'II. Inputs, Baseline Energy Mix'!$S$18,0,1)</f>
        <v>0</v>
      </c>
      <c r="AH252" s="360">
        <f>IF(AH$13&gt;'II. Inputs, Baseline Energy Mix'!$S$18,0,1)</f>
        <v>0</v>
      </c>
      <c r="AI252" s="360">
        <f>IF(AI$13&gt;'II. Inputs, Baseline Energy Mix'!$S$18,0,1)</f>
        <v>0</v>
      </c>
      <c r="AJ252" s="360">
        <f>IF(AJ$13&gt;'II. Inputs, Baseline Energy Mix'!$S$18,0,1)</f>
        <v>0</v>
      </c>
      <c r="AK252" s="360">
        <f>IF(AK$13&gt;'II. Inputs, Baseline Energy Mix'!$S$18,0,1)</f>
        <v>0</v>
      </c>
      <c r="AL252" s="360">
        <f>IF(AL$13&gt;'II. Inputs, Baseline Energy Mix'!$S$18,0,1)</f>
        <v>0</v>
      </c>
      <c r="AM252" s="360">
        <f>IF(AM$13&gt;'II. Inputs, Baseline Energy Mix'!$S$18,0,1)</f>
        <v>0</v>
      </c>
      <c r="AN252" s="360">
        <f>IF(AN$13&gt;'II. Inputs, Baseline Energy Mix'!$S$18,0,1)</f>
        <v>0</v>
      </c>
      <c r="AO252" s="360">
        <f>IF(AO$13&gt;'II. Inputs, Baseline Energy Mix'!$S$18,0,1)</f>
        <v>0</v>
      </c>
      <c r="AP252" s="360">
        <f>IF(AP$13&gt;'II. Inputs, Baseline Energy Mix'!$S$18,0,1)</f>
        <v>0</v>
      </c>
      <c r="AQ252" s="360">
        <f>IF(AQ$13&gt;'II. Inputs, Baseline Energy Mix'!$S$18,0,1)</f>
        <v>0</v>
      </c>
      <c r="AR252" s="360">
        <f>IF(AR$13&gt;'II. Inputs, Baseline Energy Mix'!$S$18,0,1)</f>
        <v>0</v>
      </c>
      <c r="AS252" s="360">
        <f>IF(AS$13&gt;'II. Inputs, Baseline Energy Mix'!$S$18,0,1)</f>
        <v>0</v>
      </c>
      <c r="AT252" s="360">
        <f>IF(AT$13&gt;'II. Inputs, Baseline Energy Mix'!$S$18,0,1)</f>
        <v>0</v>
      </c>
      <c r="AU252" s="360">
        <f>IF(AU$13&gt;'II. Inputs, Baseline Energy Mix'!$S$18,0,1)</f>
        <v>0</v>
      </c>
      <c r="AV252" s="360">
        <f>IF(AV$13&gt;'II. Inputs, Baseline Energy Mix'!$S$18,0,1)</f>
        <v>0</v>
      </c>
      <c r="AW252" s="360">
        <f>IF(AW$13&gt;'II. Inputs, Baseline Energy Mix'!$S$18,0,1)</f>
        <v>0</v>
      </c>
      <c r="AX252" s="360">
        <f>IF(AX$13&gt;'II. Inputs, Baseline Energy Mix'!$S$18,0,1)</f>
        <v>0</v>
      </c>
      <c r="AY252" s="360">
        <f>IF(AY$13&gt;'II. Inputs, Baseline Energy Mix'!$S$18,0,1)</f>
        <v>0</v>
      </c>
      <c r="AZ252" s="360">
        <f>IF(AZ$13&gt;'II. Inputs, Baseline Energy Mix'!$S$18,0,1)</f>
        <v>0</v>
      </c>
      <c r="BA252" s="360">
        <f>IF(BA$13&gt;'II. Inputs, Baseline Energy Mix'!$S$18,0,1)</f>
        <v>0</v>
      </c>
      <c r="BB252" s="360">
        <f>IF(BB$13&gt;'II. Inputs, Baseline Energy Mix'!$S$18,0,1)</f>
        <v>0</v>
      </c>
      <c r="BC252" s="360">
        <f>IF(BC$13&gt;'II. Inputs, Baseline Energy Mix'!$S$18,0,1)</f>
        <v>0</v>
      </c>
      <c r="BD252" s="360">
        <f>IF(BD$13&gt;'II. Inputs, Baseline Energy Mix'!$S$18,0,1)</f>
        <v>0</v>
      </c>
      <c r="BE252" s="361">
        <f>IF(BE$13&gt;'II. Inputs, Baseline Energy Mix'!$S$18,0,1)</f>
        <v>0</v>
      </c>
    </row>
    <row r="253" spans="2:57" x14ac:dyDescent="0.25">
      <c r="B253" s="359"/>
      <c r="C253" s="360"/>
      <c r="D253" s="360"/>
      <c r="E253" s="360"/>
      <c r="F253" s="360"/>
      <c r="G253" s="360"/>
      <c r="H253" s="362"/>
      <c r="I253" s="360"/>
      <c r="J253" s="360"/>
      <c r="K253" s="360"/>
      <c r="L253" s="360"/>
      <c r="M253" s="360"/>
      <c r="N253" s="360"/>
      <c r="O253" s="360"/>
      <c r="P253" s="360"/>
      <c r="Q253" s="360"/>
      <c r="R253" s="360"/>
      <c r="S253" s="360"/>
      <c r="T253" s="360"/>
      <c r="U253" s="360"/>
      <c r="V253" s="360"/>
      <c r="W253" s="360"/>
      <c r="X253" s="360"/>
      <c r="Y253" s="360"/>
      <c r="Z253" s="360"/>
      <c r="AA253" s="360"/>
      <c r="AB253" s="360"/>
      <c r="AC253" s="360"/>
      <c r="AD253" s="360"/>
      <c r="AE253" s="360"/>
      <c r="AF253" s="360"/>
      <c r="AG253" s="360"/>
      <c r="AH253" s="360"/>
      <c r="AI253" s="360"/>
      <c r="AJ253" s="360"/>
      <c r="AK253" s="360"/>
      <c r="AL253" s="360"/>
      <c r="AM253" s="360"/>
      <c r="AN253" s="360"/>
      <c r="AO253" s="360"/>
      <c r="AP253" s="360"/>
      <c r="AQ253" s="360"/>
      <c r="AR253" s="360"/>
      <c r="AS253" s="360"/>
      <c r="AT253" s="360"/>
      <c r="AU253" s="360"/>
      <c r="AV253" s="360"/>
      <c r="AW253" s="360"/>
      <c r="AX253" s="360"/>
      <c r="AY253" s="360"/>
      <c r="AZ253" s="360"/>
      <c r="BA253" s="360"/>
      <c r="BB253" s="360"/>
      <c r="BC253" s="360"/>
      <c r="BD253" s="360"/>
      <c r="BE253" s="361"/>
    </row>
    <row r="254" spans="2:57" x14ac:dyDescent="0.25">
      <c r="B254" s="359" t="s">
        <v>97</v>
      </c>
      <c r="C254" s="360"/>
      <c r="D254" s="360"/>
      <c r="E254" s="360"/>
      <c r="F254" s="363" t="s">
        <v>98</v>
      </c>
      <c r="G254" s="360"/>
      <c r="H254" s="364">
        <f>IF('II. Inputs, Baseline Energy Mix'!$S$15=0,0,'II. Inputs, Baseline Energy Mix'!$S$92*'II. Inputs, Baseline Energy Mix'!$S$16*H252)</f>
        <v>0</v>
      </c>
      <c r="I254" s="364">
        <f>IF('II. Inputs, Baseline Energy Mix'!$S$15=0,0,'II. Inputs, Baseline Energy Mix'!$S$92*'II. Inputs, Baseline Energy Mix'!$S$16*I252)</f>
        <v>0</v>
      </c>
      <c r="J254" s="364">
        <f>IF('II. Inputs, Baseline Energy Mix'!$S$15=0,0,'II. Inputs, Baseline Energy Mix'!$S$92*'II. Inputs, Baseline Energy Mix'!$S$16*J252)</f>
        <v>0</v>
      </c>
      <c r="K254" s="364">
        <f>IF('II. Inputs, Baseline Energy Mix'!$S$15=0,0,'II. Inputs, Baseline Energy Mix'!$S$92*'II. Inputs, Baseline Energy Mix'!$S$16*K252)</f>
        <v>0</v>
      </c>
      <c r="L254" s="364">
        <f>IF('II. Inputs, Baseline Energy Mix'!$S$15=0,0,'II. Inputs, Baseline Energy Mix'!$S$92*'II. Inputs, Baseline Energy Mix'!$S$16*L252)</f>
        <v>0</v>
      </c>
      <c r="M254" s="364">
        <f>IF('II. Inputs, Baseline Energy Mix'!$S$15=0,0,'II. Inputs, Baseline Energy Mix'!$S$92*'II. Inputs, Baseline Energy Mix'!$S$16*M252)</f>
        <v>0</v>
      </c>
      <c r="N254" s="364">
        <f>IF('II. Inputs, Baseline Energy Mix'!$S$15=0,0,'II. Inputs, Baseline Energy Mix'!$S$92*'II. Inputs, Baseline Energy Mix'!$S$16*N252)</f>
        <v>0</v>
      </c>
      <c r="O254" s="364">
        <f>IF('II. Inputs, Baseline Energy Mix'!$S$15=0,0,'II. Inputs, Baseline Energy Mix'!$S$92*'II. Inputs, Baseline Energy Mix'!$S$16*O252)</f>
        <v>0</v>
      </c>
      <c r="P254" s="364">
        <f>IF('II. Inputs, Baseline Energy Mix'!$S$15=0,0,'II. Inputs, Baseline Energy Mix'!$S$92*'II. Inputs, Baseline Energy Mix'!$S$16*P252)</f>
        <v>0</v>
      </c>
      <c r="Q254" s="364">
        <f>IF('II. Inputs, Baseline Energy Mix'!$S$15=0,0,'II. Inputs, Baseline Energy Mix'!$S$92*'II. Inputs, Baseline Energy Mix'!$S$16*Q252)</f>
        <v>0</v>
      </c>
      <c r="R254" s="364">
        <f>IF('II. Inputs, Baseline Energy Mix'!$S$15=0,0,'II. Inputs, Baseline Energy Mix'!$S$92*'II. Inputs, Baseline Energy Mix'!$S$16*R252)</f>
        <v>0</v>
      </c>
      <c r="S254" s="364">
        <f>IF('II. Inputs, Baseline Energy Mix'!$S$15=0,0,'II. Inputs, Baseline Energy Mix'!$S$92*'II. Inputs, Baseline Energy Mix'!$S$16*S252)</f>
        <v>0</v>
      </c>
      <c r="T254" s="364">
        <f>IF('II. Inputs, Baseline Energy Mix'!$S$15=0,0,'II. Inputs, Baseline Energy Mix'!$S$92*'II. Inputs, Baseline Energy Mix'!$S$16*T252)</f>
        <v>0</v>
      </c>
      <c r="U254" s="364">
        <f>IF('II. Inputs, Baseline Energy Mix'!$S$15=0,0,'II. Inputs, Baseline Energy Mix'!$S$92*'II. Inputs, Baseline Energy Mix'!$S$16*U252)</f>
        <v>0</v>
      </c>
      <c r="V254" s="364">
        <f>IF('II. Inputs, Baseline Energy Mix'!$S$15=0,0,'II. Inputs, Baseline Energy Mix'!$S$92*'II. Inputs, Baseline Energy Mix'!$S$16*V252)</f>
        <v>0</v>
      </c>
      <c r="W254" s="364">
        <f>IF('II. Inputs, Baseline Energy Mix'!$S$15=0,0,'II. Inputs, Baseline Energy Mix'!$S$92*'II. Inputs, Baseline Energy Mix'!$S$16*W252)</f>
        <v>0</v>
      </c>
      <c r="X254" s="364">
        <f>IF('II. Inputs, Baseline Energy Mix'!$S$15=0,0,'II. Inputs, Baseline Energy Mix'!$S$92*'II. Inputs, Baseline Energy Mix'!$S$16*X252)</f>
        <v>0</v>
      </c>
      <c r="Y254" s="364">
        <f>IF('II. Inputs, Baseline Energy Mix'!$S$15=0,0,'II. Inputs, Baseline Energy Mix'!$S$92*'II. Inputs, Baseline Energy Mix'!$S$16*Y252)</f>
        <v>0</v>
      </c>
      <c r="Z254" s="364">
        <f>IF('II. Inputs, Baseline Energy Mix'!$S$15=0,0,'II. Inputs, Baseline Energy Mix'!$S$92*'II. Inputs, Baseline Energy Mix'!$S$16*Z252)</f>
        <v>0</v>
      </c>
      <c r="AA254" s="364">
        <f>IF('II. Inputs, Baseline Energy Mix'!$S$15=0,0,'II. Inputs, Baseline Energy Mix'!$S$92*'II. Inputs, Baseline Energy Mix'!$S$16*AA252)</f>
        <v>0</v>
      </c>
      <c r="AB254" s="364">
        <f>IF('II. Inputs, Baseline Energy Mix'!$S$15=0,0,'II. Inputs, Baseline Energy Mix'!$S$92*'II. Inputs, Baseline Energy Mix'!$S$16*AB252)</f>
        <v>0</v>
      </c>
      <c r="AC254" s="364">
        <f>IF('II. Inputs, Baseline Energy Mix'!$S$15=0,0,'II. Inputs, Baseline Energy Mix'!$S$92*'II. Inputs, Baseline Energy Mix'!$S$16*AC252)</f>
        <v>0</v>
      </c>
      <c r="AD254" s="364">
        <f>IF('II. Inputs, Baseline Energy Mix'!$S$15=0,0,'II. Inputs, Baseline Energy Mix'!$S$92*'II. Inputs, Baseline Energy Mix'!$S$16*AD252)</f>
        <v>0</v>
      </c>
      <c r="AE254" s="364">
        <f>IF('II. Inputs, Baseline Energy Mix'!$S$15=0,0,'II. Inputs, Baseline Energy Mix'!$S$92*'II. Inputs, Baseline Energy Mix'!$S$16*AE252)</f>
        <v>0</v>
      </c>
      <c r="AF254" s="364">
        <f>IF('II. Inputs, Baseline Energy Mix'!$S$15=0,0,'II. Inputs, Baseline Energy Mix'!$S$92*'II. Inputs, Baseline Energy Mix'!$S$16*AF252)</f>
        <v>0</v>
      </c>
      <c r="AG254" s="364">
        <f>IF('II. Inputs, Baseline Energy Mix'!$S$15=0,0,'II. Inputs, Baseline Energy Mix'!$S$92*'II. Inputs, Baseline Energy Mix'!$S$16*AG252)</f>
        <v>0</v>
      </c>
      <c r="AH254" s="364">
        <f>IF('II. Inputs, Baseline Energy Mix'!$S$15=0,0,'II. Inputs, Baseline Energy Mix'!$S$92*'II. Inputs, Baseline Energy Mix'!$S$16*AH252)</f>
        <v>0</v>
      </c>
      <c r="AI254" s="364">
        <f>IF('II. Inputs, Baseline Energy Mix'!$S$15=0,0,'II. Inputs, Baseline Energy Mix'!$S$92*'II. Inputs, Baseline Energy Mix'!$S$16*AI252)</f>
        <v>0</v>
      </c>
      <c r="AJ254" s="364">
        <f>IF('II. Inputs, Baseline Energy Mix'!$S$15=0,0,'II. Inputs, Baseline Energy Mix'!$S$92*'II. Inputs, Baseline Energy Mix'!$S$16*AJ252)</f>
        <v>0</v>
      </c>
      <c r="AK254" s="364">
        <f>IF('II. Inputs, Baseline Energy Mix'!$S$15=0,0,'II. Inputs, Baseline Energy Mix'!$S$92*'II. Inputs, Baseline Energy Mix'!$S$16*AK252)</f>
        <v>0</v>
      </c>
      <c r="AL254" s="364">
        <f>IF('II. Inputs, Baseline Energy Mix'!$S$15=0,0,'II. Inputs, Baseline Energy Mix'!$S$92*'II. Inputs, Baseline Energy Mix'!$S$16*AL252)</f>
        <v>0</v>
      </c>
      <c r="AM254" s="364">
        <f>IF('II. Inputs, Baseline Energy Mix'!$S$15=0,0,'II. Inputs, Baseline Energy Mix'!$S$92*'II. Inputs, Baseline Energy Mix'!$S$16*AM252)</f>
        <v>0</v>
      </c>
      <c r="AN254" s="364">
        <f>IF('II. Inputs, Baseline Energy Mix'!$S$15=0,0,'II. Inputs, Baseline Energy Mix'!$S$92*'II. Inputs, Baseline Energy Mix'!$S$16*AN252)</f>
        <v>0</v>
      </c>
      <c r="AO254" s="364">
        <f>IF('II. Inputs, Baseline Energy Mix'!$S$15=0,0,'II. Inputs, Baseline Energy Mix'!$S$92*'II. Inputs, Baseline Energy Mix'!$S$16*AO252)</f>
        <v>0</v>
      </c>
      <c r="AP254" s="364">
        <f>IF('II. Inputs, Baseline Energy Mix'!$S$15=0,0,'II. Inputs, Baseline Energy Mix'!$S$92*'II. Inputs, Baseline Energy Mix'!$S$16*AP252)</f>
        <v>0</v>
      </c>
      <c r="AQ254" s="364">
        <f>IF('II. Inputs, Baseline Energy Mix'!$S$15=0,0,'II. Inputs, Baseline Energy Mix'!$S$92*'II. Inputs, Baseline Energy Mix'!$S$16*AQ252)</f>
        <v>0</v>
      </c>
      <c r="AR254" s="364">
        <f>IF('II. Inputs, Baseline Energy Mix'!$S$15=0,0,'II. Inputs, Baseline Energy Mix'!$S$92*'II. Inputs, Baseline Energy Mix'!$S$16*AR252)</f>
        <v>0</v>
      </c>
      <c r="AS254" s="364">
        <f>IF('II. Inputs, Baseline Energy Mix'!$S$15=0,0,'II. Inputs, Baseline Energy Mix'!$S$92*'II. Inputs, Baseline Energy Mix'!$S$16*AS252)</f>
        <v>0</v>
      </c>
      <c r="AT254" s="364">
        <f>IF('II. Inputs, Baseline Energy Mix'!$S$15=0,0,'II. Inputs, Baseline Energy Mix'!$S$92*'II. Inputs, Baseline Energy Mix'!$S$16*AT252)</f>
        <v>0</v>
      </c>
      <c r="AU254" s="364">
        <f>IF('II. Inputs, Baseline Energy Mix'!$S$15=0,0,'II. Inputs, Baseline Energy Mix'!$S$92*'II. Inputs, Baseline Energy Mix'!$S$16*AU252)</f>
        <v>0</v>
      </c>
      <c r="AV254" s="364">
        <f>IF('II. Inputs, Baseline Energy Mix'!$S$15=0,0,'II. Inputs, Baseline Energy Mix'!$S$92*'II. Inputs, Baseline Energy Mix'!$S$16*AV252)</f>
        <v>0</v>
      </c>
      <c r="AW254" s="364">
        <f>IF('II. Inputs, Baseline Energy Mix'!$S$15=0,0,'II. Inputs, Baseline Energy Mix'!$S$92*'II. Inputs, Baseline Energy Mix'!$S$16*AW252)</f>
        <v>0</v>
      </c>
      <c r="AX254" s="364">
        <f>IF('II. Inputs, Baseline Energy Mix'!$S$15=0,0,'II. Inputs, Baseline Energy Mix'!$S$92*'II. Inputs, Baseline Energy Mix'!$S$16*AX252)</f>
        <v>0</v>
      </c>
      <c r="AY254" s="364">
        <f>IF('II. Inputs, Baseline Energy Mix'!$S$15=0,0,'II. Inputs, Baseline Energy Mix'!$S$92*'II. Inputs, Baseline Energy Mix'!$S$16*AY252)</f>
        <v>0</v>
      </c>
      <c r="AZ254" s="364">
        <f>IF('II. Inputs, Baseline Energy Mix'!$S$15=0,0,'II. Inputs, Baseline Energy Mix'!$S$92*'II. Inputs, Baseline Energy Mix'!$S$16*AZ252)</f>
        <v>0</v>
      </c>
      <c r="BA254" s="364">
        <f>IF('II. Inputs, Baseline Energy Mix'!$S$15=0,0,'II. Inputs, Baseline Energy Mix'!$S$92*'II. Inputs, Baseline Energy Mix'!$S$16*BA252)</f>
        <v>0</v>
      </c>
      <c r="BB254" s="364">
        <f>IF('II. Inputs, Baseline Energy Mix'!$S$15=0,0,'II. Inputs, Baseline Energy Mix'!$S$92*'II. Inputs, Baseline Energy Mix'!$S$16*BB252)</f>
        <v>0</v>
      </c>
      <c r="BC254" s="364">
        <f>IF('II. Inputs, Baseline Energy Mix'!$S$15=0,0,'II. Inputs, Baseline Energy Mix'!$S$92*'II. Inputs, Baseline Energy Mix'!$S$16*BC252)</f>
        <v>0</v>
      </c>
      <c r="BD254" s="364">
        <f>IF('II. Inputs, Baseline Energy Mix'!$S$15=0,0,'II. Inputs, Baseline Energy Mix'!$S$92*'II. Inputs, Baseline Energy Mix'!$S$16*BD252)</f>
        <v>0</v>
      </c>
      <c r="BE254" s="365">
        <f>IF('II. Inputs, Baseline Energy Mix'!$S$15=0,0,'II. Inputs, Baseline Energy Mix'!$S$92*'II. Inputs, Baseline Energy Mix'!$S$16*BE252)</f>
        <v>0</v>
      </c>
    </row>
    <row r="255" spans="2:57" x14ac:dyDescent="0.25">
      <c r="B255" s="359"/>
      <c r="C255" s="360"/>
      <c r="D255" s="360"/>
      <c r="E255" s="363"/>
      <c r="F255" s="360"/>
      <c r="G255" s="360"/>
      <c r="H255" s="360"/>
      <c r="I255" s="360"/>
      <c r="J255" s="360"/>
      <c r="K255" s="360"/>
      <c r="L255" s="360"/>
      <c r="M255" s="360"/>
      <c r="N255" s="360"/>
      <c r="O255" s="360"/>
      <c r="P255" s="360"/>
      <c r="Q255" s="360"/>
      <c r="R255" s="360"/>
      <c r="S255" s="360"/>
      <c r="T255" s="360"/>
      <c r="U255" s="360"/>
      <c r="V255" s="360"/>
      <c r="W255" s="360"/>
      <c r="X255" s="360"/>
      <c r="Y255" s="360"/>
      <c r="Z255" s="360"/>
      <c r="AA255" s="360"/>
      <c r="AB255" s="360"/>
      <c r="AC255" s="360"/>
      <c r="AD255" s="360"/>
      <c r="AE255" s="360"/>
      <c r="AF255" s="360"/>
      <c r="AG255" s="360"/>
      <c r="AH255" s="360"/>
      <c r="AI255" s="360"/>
      <c r="AJ255" s="360"/>
      <c r="AK255" s="360"/>
      <c r="AL255" s="360"/>
      <c r="AM255" s="360"/>
      <c r="AN255" s="360"/>
      <c r="AO255" s="360"/>
      <c r="AP255" s="360"/>
      <c r="AQ255" s="360"/>
      <c r="AR255" s="360"/>
      <c r="AS255" s="360"/>
      <c r="AT255" s="360"/>
      <c r="AU255" s="360"/>
      <c r="AV255" s="360"/>
      <c r="AW255" s="360"/>
      <c r="AX255" s="360"/>
      <c r="AY255" s="360"/>
      <c r="AZ255" s="360"/>
      <c r="BA255" s="360"/>
      <c r="BB255" s="360"/>
      <c r="BC255" s="360"/>
      <c r="BD255" s="360"/>
      <c r="BE255" s="361"/>
    </row>
    <row r="256" spans="2:57" x14ac:dyDescent="0.25">
      <c r="B256" s="366" t="s">
        <v>99</v>
      </c>
      <c r="C256" s="367"/>
      <c r="D256" s="367"/>
      <c r="E256" s="368"/>
      <c r="F256" s="368"/>
      <c r="G256" s="368"/>
      <c r="H256" s="368"/>
      <c r="I256" s="368"/>
      <c r="J256" s="368"/>
      <c r="K256" s="368"/>
      <c r="L256" s="368"/>
      <c r="M256" s="368"/>
      <c r="N256" s="368"/>
      <c r="O256" s="368"/>
      <c r="P256" s="368"/>
      <c r="Q256" s="368"/>
      <c r="R256" s="368"/>
      <c r="S256" s="368"/>
      <c r="T256" s="368"/>
      <c r="U256" s="368"/>
      <c r="V256" s="368"/>
      <c r="W256" s="368"/>
      <c r="X256" s="368"/>
      <c r="Y256" s="368"/>
      <c r="Z256" s="368"/>
      <c r="AA256" s="368"/>
      <c r="AB256" s="368"/>
      <c r="AC256" s="368"/>
      <c r="AD256" s="368"/>
      <c r="AE256" s="368"/>
      <c r="AF256" s="368"/>
      <c r="AG256" s="368"/>
      <c r="AH256" s="368"/>
      <c r="AI256" s="368"/>
      <c r="AJ256" s="368"/>
      <c r="AK256" s="368"/>
      <c r="AL256" s="368"/>
      <c r="AM256" s="368"/>
      <c r="AN256" s="368"/>
      <c r="AO256" s="368"/>
      <c r="AP256" s="368"/>
      <c r="AQ256" s="368"/>
      <c r="AR256" s="368"/>
      <c r="AS256" s="368"/>
      <c r="AT256" s="368"/>
      <c r="AU256" s="368"/>
      <c r="AV256" s="368"/>
      <c r="AW256" s="368"/>
      <c r="AX256" s="368"/>
      <c r="AY256" s="368"/>
      <c r="AZ256" s="368"/>
      <c r="BA256" s="368"/>
      <c r="BB256" s="368"/>
      <c r="BC256" s="368"/>
      <c r="BD256" s="368"/>
      <c r="BE256" s="369"/>
    </row>
    <row r="257" spans="2:57" x14ac:dyDescent="0.25">
      <c r="B257" s="359"/>
      <c r="C257" s="360"/>
      <c r="D257" s="360"/>
      <c r="E257" s="363"/>
      <c r="F257" s="360"/>
      <c r="G257" s="360"/>
      <c r="H257" s="360"/>
      <c r="I257" s="360"/>
      <c r="J257" s="360"/>
      <c r="K257" s="360"/>
      <c r="L257" s="360"/>
      <c r="M257" s="360"/>
      <c r="N257" s="360"/>
      <c r="O257" s="360"/>
      <c r="P257" s="360"/>
      <c r="Q257" s="360"/>
      <c r="R257" s="360"/>
      <c r="S257" s="360"/>
      <c r="T257" s="360"/>
      <c r="U257" s="360"/>
      <c r="V257" s="360"/>
      <c r="W257" s="360"/>
      <c r="X257" s="360"/>
      <c r="Y257" s="360"/>
      <c r="Z257" s="360"/>
      <c r="AA257" s="360"/>
      <c r="AB257" s="360"/>
      <c r="AC257" s="360"/>
      <c r="AD257" s="360"/>
      <c r="AE257" s="360"/>
      <c r="AF257" s="360"/>
      <c r="AG257" s="360"/>
      <c r="AH257" s="360"/>
      <c r="AI257" s="360"/>
      <c r="AJ257" s="360"/>
      <c r="AK257" s="360"/>
      <c r="AL257" s="360"/>
      <c r="AM257" s="360"/>
      <c r="AN257" s="360"/>
      <c r="AO257" s="360"/>
      <c r="AP257" s="360"/>
      <c r="AQ257" s="360"/>
      <c r="AR257" s="360"/>
      <c r="AS257" s="360"/>
      <c r="AT257" s="360"/>
      <c r="AU257" s="360"/>
      <c r="AV257" s="360"/>
      <c r="AW257" s="360"/>
      <c r="AX257" s="360"/>
      <c r="AY257" s="360"/>
      <c r="AZ257" s="360"/>
      <c r="BA257" s="360"/>
      <c r="BB257" s="360"/>
      <c r="BC257" s="360"/>
      <c r="BD257" s="360"/>
      <c r="BE257" s="361"/>
    </row>
    <row r="258" spans="2:57" x14ac:dyDescent="0.25">
      <c r="B258" s="359" t="s">
        <v>137</v>
      </c>
      <c r="C258" s="360"/>
      <c r="D258" s="360"/>
      <c r="E258" s="363"/>
      <c r="F258" s="363" t="s">
        <v>631</v>
      </c>
      <c r="G258" s="1288"/>
      <c r="H258" s="1289">
        <f>IF('II. Inputs, Baseline Energy Mix'!$S$15=0,0,H252*'II. Inputs, Baseline Energy Mix'!$S$105*(1+'II. Inputs, Baseline Energy Mix'!$S$106)^('IV. LCOE, Baseline Energy Mix'!H$13-1))</f>
        <v>0</v>
      </c>
      <c r="I258" s="1289">
        <f>IF('II. Inputs, Baseline Energy Mix'!$S$15=0,0,I252*'II. Inputs, Baseline Energy Mix'!$S$105*(1+'II. Inputs, Baseline Energy Mix'!$S$106)^('IV. LCOE, Baseline Energy Mix'!I$13-1))</f>
        <v>0</v>
      </c>
      <c r="J258" s="1289">
        <f>IF('II. Inputs, Baseline Energy Mix'!$S$15=0,0,J252*'II. Inputs, Baseline Energy Mix'!$S$105*(1+'II. Inputs, Baseline Energy Mix'!$S$106)^('IV. LCOE, Baseline Energy Mix'!J$13-1))</f>
        <v>0</v>
      </c>
      <c r="K258" s="1289">
        <f>IF('II. Inputs, Baseline Energy Mix'!$S$15=0,0,K252*'II. Inputs, Baseline Energy Mix'!$S$105*(1+'II. Inputs, Baseline Energy Mix'!$S$106)^('IV. LCOE, Baseline Energy Mix'!K$13-1))</f>
        <v>0</v>
      </c>
      <c r="L258" s="1289">
        <f>IF('II. Inputs, Baseline Energy Mix'!$S$15=0,0,L252*'II. Inputs, Baseline Energy Mix'!$S$105*(1+'II. Inputs, Baseline Energy Mix'!$S$106)^('IV. LCOE, Baseline Energy Mix'!L$13-1))</f>
        <v>0</v>
      </c>
      <c r="M258" s="1289">
        <f>IF('II. Inputs, Baseline Energy Mix'!$S$15=0,0,M252*'II. Inputs, Baseline Energy Mix'!$S$105*(1+'II. Inputs, Baseline Energy Mix'!$S$106)^('IV. LCOE, Baseline Energy Mix'!M$13-1))</f>
        <v>0</v>
      </c>
      <c r="N258" s="1289">
        <f>IF('II. Inputs, Baseline Energy Mix'!$S$15=0,0,N252*'II. Inputs, Baseline Energy Mix'!$S$105*(1+'II. Inputs, Baseline Energy Mix'!$S$106)^('IV. LCOE, Baseline Energy Mix'!N$13-1))</f>
        <v>0</v>
      </c>
      <c r="O258" s="1289">
        <f>IF('II. Inputs, Baseline Energy Mix'!$S$15=0,0,O252*'II. Inputs, Baseline Energy Mix'!$S$105*(1+'II. Inputs, Baseline Energy Mix'!$S$106)^('IV. LCOE, Baseline Energy Mix'!O$13-1))</f>
        <v>0</v>
      </c>
      <c r="P258" s="1289">
        <f>IF('II. Inputs, Baseline Energy Mix'!$S$15=0,0,P252*'II. Inputs, Baseline Energy Mix'!$S$105*(1+'II. Inputs, Baseline Energy Mix'!$S$106)^('IV. LCOE, Baseline Energy Mix'!P$13-1))</f>
        <v>0</v>
      </c>
      <c r="Q258" s="1289">
        <f>IF('II. Inputs, Baseline Energy Mix'!$S$15=0,0,Q252*'II. Inputs, Baseline Energy Mix'!$S$105*(1+'II. Inputs, Baseline Energy Mix'!$S$106)^('IV. LCOE, Baseline Energy Mix'!Q$13-1))</f>
        <v>0</v>
      </c>
      <c r="R258" s="1289">
        <f>IF('II. Inputs, Baseline Energy Mix'!$S$15=0,0,R252*'II. Inputs, Baseline Energy Mix'!$S$105*(1+'II. Inputs, Baseline Energy Mix'!$S$106)^('IV. LCOE, Baseline Energy Mix'!R$13-1))</f>
        <v>0</v>
      </c>
      <c r="S258" s="1289">
        <f>IF('II. Inputs, Baseline Energy Mix'!$S$15=0,0,S252*'II. Inputs, Baseline Energy Mix'!$S$105*(1+'II. Inputs, Baseline Energy Mix'!$S$106)^('IV. LCOE, Baseline Energy Mix'!S$13-1))</f>
        <v>0</v>
      </c>
      <c r="T258" s="1289">
        <f>IF('II. Inputs, Baseline Energy Mix'!$S$15=0,0,T252*'II. Inputs, Baseline Energy Mix'!$S$105*(1+'II. Inputs, Baseline Energy Mix'!$S$106)^('IV. LCOE, Baseline Energy Mix'!T$13-1))</f>
        <v>0</v>
      </c>
      <c r="U258" s="1289">
        <f>IF('II. Inputs, Baseline Energy Mix'!$S$15=0,0,U252*'II. Inputs, Baseline Energy Mix'!$S$105*(1+'II. Inputs, Baseline Energy Mix'!$S$106)^('IV. LCOE, Baseline Energy Mix'!U$13-1))</f>
        <v>0</v>
      </c>
      <c r="V258" s="1289">
        <f>IF('II. Inputs, Baseline Energy Mix'!$S$15=0,0,V252*'II. Inputs, Baseline Energy Mix'!$S$105*(1+'II. Inputs, Baseline Energy Mix'!$S$106)^('IV. LCOE, Baseline Energy Mix'!V$13-1))</f>
        <v>0</v>
      </c>
      <c r="W258" s="1289">
        <f>IF('II. Inputs, Baseline Energy Mix'!$S$15=0,0,W252*'II. Inputs, Baseline Energy Mix'!$S$105*(1+'II. Inputs, Baseline Energy Mix'!$S$106)^('IV. LCOE, Baseline Energy Mix'!W$13-1))</f>
        <v>0</v>
      </c>
      <c r="X258" s="1289">
        <f>IF('II. Inputs, Baseline Energy Mix'!$S$15=0,0,X252*'II. Inputs, Baseline Energy Mix'!$S$105*(1+'II. Inputs, Baseline Energy Mix'!$S$106)^('IV. LCOE, Baseline Energy Mix'!X$13-1))</f>
        <v>0</v>
      </c>
      <c r="Y258" s="1289">
        <f>IF('II. Inputs, Baseline Energy Mix'!$S$15=0,0,Y252*'II. Inputs, Baseline Energy Mix'!$S$105*(1+'II. Inputs, Baseline Energy Mix'!$S$106)^('IV. LCOE, Baseline Energy Mix'!Y$13-1))</f>
        <v>0</v>
      </c>
      <c r="Z258" s="1289">
        <f>IF('II. Inputs, Baseline Energy Mix'!$S$15=0,0,Z252*'II. Inputs, Baseline Energy Mix'!$S$105*(1+'II. Inputs, Baseline Energy Mix'!$S$106)^('IV. LCOE, Baseline Energy Mix'!Z$13-1))</f>
        <v>0</v>
      </c>
      <c r="AA258" s="1289">
        <f>IF('II. Inputs, Baseline Energy Mix'!$S$15=0,0,AA252*'II. Inputs, Baseline Energy Mix'!$S$105*(1+'II. Inputs, Baseline Energy Mix'!$S$106)^('IV. LCOE, Baseline Energy Mix'!AA$13-1))</f>
        <v>0</v>
      </c>
      <c r="AB258" s="1289">
        <f>IF('II. Inputs, Baseline Energy Mix'!$S$15=0,0,AB252*'II. Inputs, Baseline Energy Mix'!$S$105*(1+'II. Inputs, Baseline Energy Mix'!$S$106)^('IV. LCOE, Baseline Energy Mix'!AB$13-1))</f>
        <v>0</v>
      </c>
      <c r="AC258" s="1289">
        <f>IF('II. Inputs, Baseline Energy Mix'!$S$15=0,0,AC252*'II. Inputs, Baseline Energy Mix'!$S$105*(1+'II. Inputs, Baseline Energy Mix'!$S$106)^('IV. LCOE, Baseline Energy Mix'!AC$13-1))</f>
        <v>0</v>
      </c>
      <c r="AD258" s="1289">
        <f>IF('II. Inputs, Baseline Energy Mix'!$S$15=0,0,AD252*'II. Inputs, Baseline Energy Mix'!$S$105*(1+'II. Inputs, Baseline Energy Mix'!$S$106)^('IV. LCOE, Baseline Energy Mix'!AD$13-1))</f>
        <v>0</v>
      </c>
      <c r="AE258" s="1289">
        <f>IF('II. Inputs, Baseline Energy Mix'!$S$15=0,0,AE252*'II. Inputs, Baseline Energy Mix'!$S$105*(1+'II. Inputs, Baseline Energy Mix'!$S$106)^('IV. LCOE, Baseline Energy Mix'!AE$13-1))</f>
        <v>0</v>
      </c>
      <c r="AF258" s="1289">
        <f>IF('II. Inputs, Baseline Energy Mix'!$S$15=0,0,AF252*'II. Inputs, Baseline Energy Mix'!$S$105*(1+'II. Inputs, Baseline Energy Mix'!$S$106)^('IV. LCOE, Baseline Energy Mix'!AF$13-1))</f>
        <v>0</v>
      </c>
      <c r="AG258" s="1289">
        <f>IF('II. Inputs, Baseline Energy Mix'!$S$15=0,0,AG252*'II. Inputs, Baseline Energy Mix'!$S$105*(1+'II. Inputs, Baseline Energy Mix'!$S$106)^('IV. LCOE, Baseline Energy Mix'!AG$13-1))</f>
        <v>0</v>
      </c>
      <c r="AH258" s="1289">
        <f>IF('II. Inputs, Baseline Energy Mix'!$S$15=0,0,AH252*'II. Inputs, Baseline Energy Mix'!$S$105*(1+'II. Inputs, Baseline Energy Mix'!$S$106)^('IV. LCOE, Baseline Energy Mix'!AH$13-1))</f>
        <v>0</v>
      </c>
      <c r="AI258" s="1289">
        <f>IF('II. Inputs, Baseline Energy Mix'!$S$15=0,0,AI252*'II. Inputs, Baseline Energy Mix'!$S$105*(1+'II. Inputs, Baseline Energy Mix'!$S$106)^('IV. LCOE, Baseline Energy Mix'!AI$13-1))</f>
        <v>0</v>
      </c>
      <c r="AJ258" s="1289">
        <f>IF('II. Inputs, Baseline Energy Mix'!$S$15=0,0,AJ252*'II. Inputs, Baseline Energy Mix'!$S$105*(1+'II. Inputs, Baseline Energy Mix'!$S$106)^('IV. LCOE, Baseline Energy Mix'!AJ$13-1))</f>
        <v>0</v>
      </c>
      <c r="AK258" s="1289">
        <f>IF('II. Inputs, Baseline Energy Mix'!$S$15=0,0,AK252*'II. Inputs, Baseline Energy Mix'!$S$105*(1+'II. Inputs, Baseline Energy Mix'!$S$106)^('IV. LCOE, Baseline Energy Mix'!AK$13-1))</f>
        <v>0</v>
      </c>
      <c r="AL258" s="1289">
        <f>IF('II. Inputs, Baseline Energy Mix'!$S$15=0,0,AL252*'II. Inputs, Baseline Energy Mix'!$S$105*(1+'II. Inputs, Baseline Energy Mix'!$S$106)^('IV. LCOE, Baseline Energy Mix'!AL$13-1))</f>
        <v>0</v>
      </c>
      <c r="AM258" s="1289">
        <f>IF('II. Inputs, Baseline Energy Mix'!$S$15=0,0,AM252*'II. Inputs, Baseline Energy Mix'!$S$105*(1+'II. Inputs, Baseline Energy Mix'!$S$106)^('IV. LCOE, Baseline Energy Mix'!AM$13-1))</f>
        <v>0</v>
      </c>
      <c r="AN258" s="1289">
        <f>IF('II. Inputs, Baseline Energy Mix'!$S$15=0,0,AN252*'II. Inputs, Baseline Energy Mix'!$S$105*(1+'II. Inputs, Baseline Energy Mix'!$S$106)^('IV. LCOE, Baseline Energy Mix'!AN$13-1))</f>
        <v>0</v>
      </c>
      <c r="AO258" s="1289">
        <f>IF('II. Inputs, Baseline Energy Mix'!$S$15=0,0,AO252*'II. Inputs, Baseline Energy Mix'!$S$105*(1+'II. Inputs, Baseline Energy Mix'!$S$106)^('IV. LCOE, Baseline Energy Mix'!AO$13-1))</f>
        <v>0</v>
      </c>
      <c r="AP258" s="1289">
        <f>IF('II. Inputs, Baseline Energy Mix'!$S$15=0,0,AP252*'II. Inputs, Baseline Energy Mix'!$S$105*(1+'II. Inputs, Baseline Energy Mix'!$S$106)^('IV. LCOE, Baseline Energy Mix'!AP$13-1))</f>
        <v>0</v>
      </c>
      <c r="AQ258" s="1289">
        <f>IF('II. Inputs, Baseline Energy Mix'!$S$15=0,0,AQ252*'II. Inputs, Baseline Energy Mix'!$S$105*(1+'II. Inputs, Baseline Energy Mix'!$S$106)^('IV. LCOE, Baseline Energy Mix'!AQ$13-1))</f>
        <v>0</v>
      </c>
      <c r="AR258" s="1289">
        <f>IF('II. Inputs, Baseline Energy Mix'!$S$15=0,0,AR252*'II. Inputs, Baseline Energy Mix'!$S$105*(1+'II. Inputs, Baseline Energy Mix'!$S$106)^('IV. LCOE, Baseline Energy Mix'!AR$13-1))</f>
        <v>0</v>
      </c>
      <c r="AS258" s="1289">
        <f>IF('II. Inputs, Baseline Energy Mix'!$S$15=0,0,AS252*'II. Inputs, Baseline Energy Mix'!$S$105*(1+'II. Inputs, Baseline Energy Mix'!$S$106)^('IV. LCOE, Baseline Energy Mix'!AS$13-1))</f>
        <v>0</v>
      </c>
      <c r="AT258" s="1289">
        <f>IF('II. Inputs, Baseline Energy Mix'!$S$15=0,0,AT252*'II. Inputs, Baseline Energy Mix'!$S$105*(1+'II. Inputs, Baseline Energy Mix'!$S$106)^('IV. LCOE, Baseline Energy Mix'!AT$13-1))</f>
        <v>0</v>
      </c>
      <c r="AU258" s="1289">
        <f>IF('II. Inputs, Baseline Energy Mix'!$S$15=0,0,AU252*'II. Inputs, Baseline Energy Mix'!$S$105*(1+'II. Inputs, Baseline Energy Mix'!$S$106)^('IV. LCOE, Baseline Energy Mix'!AU$13-1))</f>
        <v>0</v>
      </c>
      <c r="AV258" s="1289">
        <f>IF('II. Inputs, Baseline Energy Mix'!$S$15=0,0,AV252*'II. Inputs, Baseline Energy Mix'!$S$105*(1+'II. Inputs, Baseline Energy Mix'!$S$106)^('IV. LCOE, Baseline Energy Mix'!AV$13-1))</f>
        <v>0</v>
      </c>
      <c r="AW258" s="1289">
        <f>IF('II. Inputs, Baseline Energy Mix'!$S$15=0,0,AW252*'II. Inputs, Baseline Energy Mix'!$S$105*(1+'II. Inputs, Baseline Energy Mix'!$S$106)^('IV. LCOE, Baseline Energy Mix'!AW$13-1))</f>
        <v>0</v>
      </c>
      <c r="AX258" s="1289">
        <f>IF('II. Inputs, Baseline Energy Mix'!$S$15=0,0,AX252*'II. Inputs, Baseline Energy Mix'!$S$105*(1+'II. Inputs, Baseline Energy Mix'!$S$106)^('IV. LCOE, Baseline Energy Mix'!AX$13-1))</f>
        <v>0</v>
      </c>
      <c r="AY258" s="1289">
        <f>IF('II. Inputs, Baseline Energy Mix'!$S$15=0,0,AY252*'II. Inputs, Baseline Energy Mix'!$S$105*(1+'II. Inputs, Baseline Energy Mix'!$S$106)^('IV. LCOE, Baseline Energy Mix'!AY$13-1))</f>
        <v>0</v>
      </c>
      <c r="AZ258" s="1289">
        <f>IF('II. Inputs, Baseline Energy Mix'!$S$15=0,0,AZ252*'II. Inputs, Baseline Energy Mix'!$S$105*(1+'II. Inputs, Baseline Energy Mix'!$S$106)^('IV. LCOE, Baseline Energy Mix'!AZ$13-1))</f>
        <v>0</v>
      </c>
      <c r="BA258" s="1289">
        <f>IF('II. Inputs, Baseline Energy Mix'!$S$15=0,0,BA252*'II. Inputs, Baseline Energy Mix'!$S$105*(1+'II. Inputs, Baseline Energy Mix'!$S$106)^('IV. LCOE, Baseline Energy Mix'!BA$13-1))</f>
        <v>0</v>
      </c>
      <c r="BB258" s="1289">
        <f>IF('II. Inputs, Baseline Energy Mix'!$S$15=0,0,BB252*'II. Inputs, Baseline Energy Mix'!$S$105*(1+'II. Inputs, Baseline Energy Mix'!$S$106)^('IV. LCOE, Baseline Energy Mix'!BB$13-1))</f>
        <v>0</v>
      </c>
      <c r="BC258" s="1289">
        <f>IF('II. Inputs, Baseline Energy Mix'!$S$15=0,0,BC252*'II. Inputs, Baseline Energy Mix'!$S$105*(1+'II. Inputs, Baseline Energy Mix'!$S$106)^('IV. LCOE, Baseline Energy Mix'!BC$13-1))</f>
        <v>0</v>
      </c>
      <c r="BD258" s="1289">
        <f>IF('II. Inputs, Baseline Energy Mix'!$S$15=0,0,BD252*'II. Inputs, Baseline Energy Mix'!$S$105*(1+'II. Inputs, Baseline Energy Mix'!$S$106)^('IV. LCOE, Baseline Energy Mix'!BD$13-1))</f>
        <v>0</v>
      </c>
      <c r="BE258" s="1290">
        <f>IF('II. Inputs, Baseline Energy Mix'!$S$15=0,0,BE252*'II. Inputs, Baseline Energy Mix'!$S$105*(1+'II. Inputs, Baseline Energy Mix'!$S$106)^('IV. LCOE, Baseline Energy Mix'!BE$13-1))</f>
        <v>0</v>
      </c>
    </row>
    <row r="259" spans="2:57" x14ac:dyDescent="0.25">
      <c r="B259" s="359"/>
      <c r="C259" s="360"/>
      <c r="D259" s="360"/>
      <c r="E259" s="363"/>
      <c r="F259" s="363"/>
      <c r="G259" s="1288"/>
      <c r="H259" s="1289"/>
      <c r="I259" s="1289"/>
      <c r="J259" s="1289"/>
      <c r="K259" s="1289"/>
      <c r="L259" s="1289"/>
      <c r="M259" s="1289"/>
      <c r="N259" s="1289"/>
      <c r="O259" s="1289"/>
      <c r="P259" s="1289"/>
      <c r="Q259" s="1289"/>
      <c r="R259" s="1289"/>
      <c r="S259" s="1289"/>
      <c r="T259" s="1289"/>
      <c r="U259" s="1289"/>
      <c r="V259" s="1289"/>
      <c r="W259" s="1289"/>
      <c r="X259" s="1289"/>
      <c r="Y259" s="1289"/>
      <c r="Z259" s="1289"/>
      <c r="AA259" s="1289"/>
      <c r="AB259" s="1289"/>
      <c r="AC259" s="1289"/>
      <c r="AD259" s="1289"/>
      <c r="AE259" s="1289"/>
      <c r="AF259" s="1289"/>
      <c r="AG259" s="1289"/>
      <c r="AH259" s="1289"/>
      <c r="AI259" s="1289"/>
      <c r="AJ259" s="1289"/>
      <c r="AK259" s="1289"/>
      <c r="AL259" s="1289"/>
      <c r="AM259" s="1289"/>
      <c r="AN259" s="1289"/>
      <c r="AO259" s="1289"/>
      <c r="AP259" s="1289"/>
      <c r="AQ259" s="1289"/>
      <c r="AR259" s="1289"/>
      <c r="AS259" s="1289"/>
      <c r="AT259" s="1289"/>
      <c r="AU259" s="1289"/>
      <c r="AV259" s="1289"/>
      <c r="AW259" s="1289"/>
      <c r="AX259" s="1289"/>
      <c r="AY259" s="1289"/>
      <c r="AZ259" s="1289"/>
      <c r="BA259" s="1289"/>
      <c r="BB259" s="1289"/>
      <c r="BC259" s="1289"/>
      <c r="BD259" s="1289"/>
      <c r="BE259" s="1290"/>
    </row>
    <row r="260" spans="2:57" x14ac:dyDescent="0.25">
      <c r="B260" s="359" t="s">
        <v>38</v>
      </c>
      <c r="C260" s="360"/>
      <c r="D260" s="360"/>
      <c r="E260" s="363"/>
      <c r="F260" s="363" t="s">
        <v>632</v>
      </c>
      <c r="G260" s="1288"/>
      <c r="H260" s="1297">
        <f>IF('II. Inputs, Baseline Energy Mix'!$S$96="Model Default",'IV. LCOE, Baseline Energy Mix'!H261,IF('II. Inputs, Baseline Energy Mix'!$S$96="User-defined, annually adjusted",'IV. LCOE, Baseline Energy Mix'!H262,IF('II. Inputs, Baseline Energy Mix'!$S$96="Manual Entry",'IV. LCOE, Baseline Energy Mix'!H264,H263)))</f>
        <v>0</v>
      </c>
      <c r="I260" s="1297">
        <f>IF('II. Inputs, Baseline Energy Mix'!$S$96="Model Default",'IV. LCOE, Baseline Energy Mix'!I261,IF('II. Inputs, Baseline Energy Mix'!$S$96="User-defined, annually adjusted",'IV. LCOE, Baseline Energy Mix'!I262,IF('II. Inputs, Baseline Energy Mix'!$S$96="Manual Entry",'IV. LCOE, Baseline Energy Mix'!I264,I263)))</f>
        <v>0</v>
      </c>
      <c r="J260" s="1297">
        <f>IF('II. Inputs, Baseline Energy Mix'!$S$96="Model Default",'IV. LCOE, Baseline Energy Mix'!J261,IF('II. Inputs, Baseline Energy Mix'!$S$96="User-defined, annually adjusted",'IV. LCOE, Baseline Energy Mix'!J262,IF('II. Inputs, Baseline Energy Mix'!$S$96="Manual Entry",'IV. LCOE, Baseline Energy Mix'!J264,J263)))</f>
        <v>0</v>
      </c>
      <c r="K260" s="1297">
        <f>IF('II. Inputs, Baseline Energy Mix'!$S$96="Model Default",'IV. LCOE, Baseline Energy Mix'!K261,IF('II. Inputs, Baseline Energy Mix'!$S$96="User-defined, annually adjusted",'IV. LCOE, Baseline Energy Mix'!K262,IF('II. Inputs, Baseline Energy Mix'!$S$96="Manual Entry",'IV. LCOE, Baseline Energy Mix'!K264,K263)))</f>
        <v>0</v>
      </c>
      <c r="L260" s="1297">
        <f>IF('II. Inputs, Baseline Energy Mix'!$S$96="Model Default",'IV. LCOE, Baseline Energy Mix'!L261,IF('II. Inputs, Baseline Energy Mix'!$S$96="User-defined, annually adjusted",'IV. LCOE, Baseline Energy Mix'!L262,IF('II. Inputs, Baseline Energy Mix'!$S$96="Manual Entry",'IV. LCOE, Baseline Energy Mix'!L264,L263)))</f>
        <v>0</v>
      </c>
      <c r="M260" s="1297">
        <f>IF('II. Inputs, Baseline Energy Mix'!$S$96="Model Default",'IV. LCOE, Baseline Energy Mix'!M261,IF('II. Inputs, Baseline Energy Mix'!$S$96="User-defined, annually adjusted",'IV. LCOE, Baseline Energy Mix'!M262,IF('II. Inputs, Baseline Energy Mix'!$S$96="Manual Entry",'IV. LCOE, Baseline Energy Mix'!M264,M263)))</f>
        <v>0</v>
      </c>
      <c r="N260" s="1297">
        <f>IF('II. Inputs, Baseline Energy Mix'!$S$96="Model Default",'IV. LCOE, Baseline Energy Mix'!N261,IF('II. Inputs, Baseline Energy Mix'!$S$96="User-defined, annually adjusted",'IV. LCOE, Baseline Energy Mix'!N262,IF('II. Inputs, Baseline Energy Mix'!$S$96="Manual Entry",'IV. LCOE, Baseline Energy Mix'!N264,N263)))</f>
        <v>0</v>
      </c>
      <c r="O260" s="1297">
        <f>IF('II. Inputs, Baseline Energy Mix'!$S$96="Model Default",'IV. LCOE, Baseline Energy Mix'!O261,IF('II. Inputs, Baseline Energy Mix'!$S$96="User-defined, annually adjusted",'IV. LCOE, Baseline Energy Mix'!O262,IF('II. Inputs, Baseline Energy Mix'!$S$96="Manual Entry",'IV. LCOE, Baseline Energy Mix'!O264,O263)))</f>
        <v>0</v>
      </c>
      <c r="P260" s="1297">
        <f>IF('II. Inputs, Baseline Energy Mix'!$S$96="Model Default",'IV. LCOE, Baseline Energy Mix'!P261,IF('II. Inputs, Baseline Energy Mix'!$S$96="User-defined, annually adjusted",'IV. LCOE, Baseline Energy Mix'!P262,IF('II. Inputs, Baseline Energy Mix'!$S$96="Manual Entry",'IV. LCOE, Baseline Energy Mix'!P264,P263)))</f>
        <v>0</v>
      </c>
      <c r="Q260" s="1297">
        <f>IF('II. Inputs, Baseline Energy Mix'!$S$96="Model Default",'IV. LCOE, Baseline Energy Mix'!Q261,IF('II. Inputs, Baseline Energy Mix'!$S$96="User-defined, annually adjusted",'IV. LCOE, Baseline Energy Mix'!Q262,IF('II. Inputs, Baseline Energy Mix'!$S$96="Manual Entry",'IV. LCOE, Baseline Energy Mix'!Q264,Q263)))</f>
        <v>0</v>
      </c>
      <c r="R260" s="1297">
        <f>IF('II. Inputs, Baseline Energy Mix'!$S$96="Model Default",'IV. LCOE, Baseline Energy Mix'!R261,IF('II. Inputs, Baseline Energy Mix'!$S$96="User-defined, annually adjusted",'IV. LCOE, Baseline Energy Mix'!R262,IF('II. Inputs, Baseline Energy Mix'!$S$96="Manual Entry",'IV. LCOE, Baseline Energy Mix'!R264,R263)))</f>
        <v>0</v>
      </c>
      <c r="S260" s="1297">
        <f>IF('II. Inputs, Baseline Energy Mix'!$S$96="Model Default",'IV. LCOE, Baseline Energy Mix'!S261,IF('II. Inputs, Baseline Energy Mix'!$S$96="User-defined, annually adjusted",'IV. LCOE, Baseline Energy Mix'!S262,IF('II. Inputs, Baseline Energy Mix'!$S$96="Manual Entry",'IV. LCOE, Baseline Energy Mix'!S264,S263)))</f>
        <v>0</v>
      </c>
      <c r="T260" s="1297">
        <f>IF('II. Inputs, Baseline Energy Mix'!$S$96="Model Default",'IV. LCOE, Baseline Energy Mix'!T261,IF('II. Inputs, Baseline Energy Mix'!$S$96="User-defined, annually adjusted",'IV. LCOE, Baseline Energy Mix'!T262,IF('II. Inputs, Baseline Energy Mix'!$S$96="Manual Entry",'IV. LCOE, Baseline Energy Mix'!T264,T263)))</f>
        <v>0</v>
      </c>
      <c r="U260" s="1297">
        <f>IF('II. Inputs, Baseline Energy Mix'!$S$96="Model Default",'IV. LCOE, Baseline Energy Mix'!U261,IF('II. Inputs, Baseline Energy Mix'!$S$96="User-defined, annually adjusted",'IV. LCOE, Baseline Energy Mix'!U262,IF('II. Inputs, Baseline Energy Mix'!$S$96="Manual Entry",'IV. LCOE, Baseline Energy Mix'!U264,U263)))</f>
        <v>0</v>
      </c>
      <c r="V260" s="1297">
        <f>IF('II. Inputs, Baseline Energy Mix'!$S$96="Model Default",'IV. LCOE, Baseline Energy Mix'!V261,IF('II. Inputs, Baseline Energy Mix'!$S$96="User-defined, annually adjusted",'IV. LCOE, Baseline Energy Mix'!V262,IF('II. Inputs, Baseline Energy Mix'!$S$96="Manual Entry",'IV. LCOE, Baseline Energy Mix'!V264,V263)))</f>
        <v>0</v>
      </c>
      <c r="W260" s="1297">
        <f>IF('II. Inputs, Baseline Energy Mix'!$S$96="Model Default",'IV. LCOE, Baseline Energy Mix'!W261,IF('II. Inputs, Baseline Energy Mix'!$S$96="User-defined, annually adjusted",'IV. LCOE, Baseline Energy Mix'!W262,IF('II. Inputs, Baseline Energy Mix'!$S$96="Manual Entry",'IV. LCOE, Baseline Energy Mix'!W264,W263)))</f>
        <v>0</v>
      </c>
      <c r="X260" s="1297">
        <f>IF('II. Inputs, Baseline Energy Mix'!$S$96="Model Default",'IV. LCOE, Baseline Energy Mix'!X261,IF('II. Inputs, Baseline Energy Mix'!$S$96="User-defined, annually adjusted",'IV. LCOE, Baseline Energy Mix'!X262,IF('II. Inputs, Baseline Energy Mix'!$S$96="Manual Entry",'IV. LCOE, Baseline Energy Mix'!X264,X263)))</f>
        <v>0</v>
      </c>
      <c r="Y260" s="1297">
        <f>IF('II. Inputs, Baseline Energy Mix'!$S$96="Model Default",'IV. LCOE, Baseline Energy Mix'!Y261,IF('II. Inputs, Baseline Energy Mix'!$S$96="User-defined, annually adjusted",'IV. LCOE, Baseline Energy Mix'!Y262,IF('II. Inputs, Baseline Energy Mix'!$S$96="Manual Entry",'IV. LCOE, Baseline Energy Mix'!Y264,Y263)))</f>
        <v>0</v>
      </c>
      <c r="Z260" s="1297">
        <f>IF('II. Inputs, Baseline Energy Mix'!$S$96="Model Default",'IV. LCOE, Baseline Energy Mix'!Z261,IF('II. Inputs, Baseline Energy Mix'!$S$96="User-defined, annually adjusted",'IV. LCOE, Baseline Energy Mix'!Z262,IF('II. Inputs, Baseline Energy Mix'!$S$96="Manual Entry",'IV. LCOE, Baseline Energy Mix'!Z264,Z263)))</f>
        <v>0</v>
      </c>
      <c r="AA260" s="1297">
        <f>IF('II. Inputs, Baseline Energy Mix'!$S$96="Model Default",'IV. LCOE, Baseline Energy Mix'!AA261,IF('II. Inputs, Baseline Energy Mix'!$S$96="User-defined, annually adjusted",'IV. LCOE, Baseline Energy Mix'!AA262,IF('II. Inputs, Baseline Energy Mix'!$S$96="Manual Entry",'IV. LCOE, Baseline Energy Mix'!AA264,AA263)))</f>
        <v>0</v>
      </c>
      <c r="AB260" s="1297">
        <f>IF('II. Inputs, Baseline Energy Mix'!$S$96="Model Default",'IV. LCOE, Baseline Energy Mix'!AB261,IF('II. Inputs, Baseline Energy Mix'!$S$96="User-defined, annually adjusted",'IV. LCOE, Baseline Energy Mix'!AB262,IF('II. Inputs, Baseline Energy Mix'!$S$96="Manual Entry",'IV. LCOE, Baseline Energy Mix'!AB264,AB263)))</f>
        <v>0</v>
      </c>
      <c r="AC260" s="1297">
        <f>IF('II. Inputs, Baseline Energy Mix'!$S$96="Model Default",'IV. LCOE, Baseline Energy Mix'!AC261,IF('II. Inputs, Baseline Energy Mix'!$S$96="User-defined, annually adjusted",'IV. LCOE, Baseline Energy Mix'!AC262,IF('II. Inputs, Baseline Energy Mix'!$S$96="Manual Entry",'IV. LCOE, Baseline Energy Mix'!AC264,AC263)))</f>
        <v>0</v>
      </c>
      <c r="AD260" s="1297">
        <f>IF('II. Inputs, Baseline Energy Mix'!$S$96="Model Default",'IV. LCOE, Baseline Energy Mix'!AD261,IF('II. Inputs, Baseline Energy Mix'!$S$96="User-defined, annually adjusted",'IV. LCOE, Baseline Energy Mix'!AD262,IF('II. Inputs, Baseline Energy Mix'!$S$96="Manual Entry",'IV. LCOE, Baseline Energy Mix'!AD264,AD263)))</f>
        <v>0</v>
      </c>
      <c r="AE260" s="1297">
        <f>IF('II. Inputs, Baseline Energy Mix'!$S$96="Model Default",'IV. LCOE, Baseline Energy Mix'!AE261,IF('II. Inputs, Baseline Energy Mix'!$S$96="User-defined, annually adjusted",'IV. LCOE, Baseline Energy Mix'!AE262,IF('II. Inputs, Baseline Energy Mix'!$S$96="Manual Entry",'IV. LCOE, Baseline Energy Mix'!AE264,AE263)))</f>
        <v>0</v>
      </c>
      <c r="AF260" s="1297">
        <f>IF('II. Inputs, Baseline Energy Mix'!$S$96="Model Default",'IV. LCOE, Baseline Energy Mix'!AF261,IF('II. Inputs, Baseline Energy Mix'!$S$96="User-defined, annually adjusted",'IV. LCOE, Baseline Energy Mix'!AF262,IF('II. Inputs, Baseline Energy Mix'!$S$96="Manual Entry",'IV. LCOE, Baseline Energy Mix'!AF264,AF263)))</f>
        <v>0</v>
      </c>
      <c r="AG260" s="1297">
        <f>IF('II. Inputs, Baseline Energy Mix'!$S$96="Model Default",'IV. LCOE, Baseline Energy Mix'!AG261,IF('II. Inputs, Baseline Energy Mix'!$S$96="User-defined, annually adjusted",'IV. LCOE, Baseline Energy Mix'!AG262,IF('II. Inputs, Baseline Energy Mix'!$S$96="Manual Entry",'IV. LCOE, Baseline Energy Mix'!AG264,AG263)))</f>
        <v>0</v>
      </c>
      <c r="AH260" s="1297">
        <f>IF('II. Inputs, Baseline Energy Mix'!$S$96="Model Default",'IV. LCOE, Baseline Energy Mix'!AH261,IF('II. Inputs, Baseline Energy Mix'!$S$96="User-defined, annually adjusted",'IV. LCOE, Baseline Energy Mix'!AH262,IF('II. Inputs, Baseline Energy Mix'!$S$96="Manual Entry",'IV. LCOE, Baseline Energy Mix'!AH264,AH263)))</f>
        <v>0</v>
      </c>
      <c r="AI260" s="1297">
        <f>IF('II. Inputs, Baseline Energy Mix'!$S$96="Model Default",'IV. LCOE, Baseline Energy Mix'!AI261,IF('II. Inputs, Baseline Energy Mix'!$S$96="User-defined, annually adjusted",'IV. LCOE, Baseline Energy Mix'!AI262,IF('II. Inputs, Baseline Energy Mix'!$S$96="Manual Entry",'IV. LCOE, Baseline Energy Mix'!AI264,AI263)))</f>
        <v>0</v>
      </c>
      <c r="AJ260" s="1297">
        <f>IF('II. Inputs, Baseline Energy Mix'!$S$96="Model Default",'IV. LCOE, Baseline Energy Mix'!AJ261,IF('II. Inputs, Baseline Energy Mix'!$S$96="User-defined, annually adjusted",'IV. LCOE, Baseline Energy Mix'!AJ262,IF('II. Inputs, Baseline Energy Mix'!$S$96="Manual Entry",'IV. LCOE, Baseline Energy Mix'!AJ264,AJ263)))</f>
        <v>0</v>
      </c>
      <c r="AK260" s="1297">
        <f>IF('II. Inputs, Baseline Energy Mix'!$S$96="Model Default",'IV. LCOE, Baseline Energy Mix'!AK261,IF('II. Inputs, Baseline Energy Mix'!$S$96="User-defined, annually adjusted",'IV. LCOE, Baseline Energy Mix'!AK262,IF('II. Inputs, Baseline Energy Mix'!$S$96="Manual Entry",'IV. LCOE, Baseline Energy Mix'!AK264,AK263)))</f>
        <v>0</v>
      </c>
      <c r="AL260" s="1297">
        <f>IF('II. Inputs, Baseline Energy Mix'!$S$96="Model Default",'IV. LCOE, Baseline Energy Mix'!AL261,IF('II. Inputs, Baseline Energy Mix'!$S$96="User-defined, annually adjusted",'IV. LCOE, Baseline Energy Mix'!AL262,IF('II. Inputs, Baseline Energy Mix'!$S$96="Manual Entry",'IV. LCOE, Baseline Energy Mix'!AL264,AL263)))</f>
        <v>0</v>
      </c>
      <c r="AM260" s="1297">
        <f>IF('II. Inputs, Baseline Energy Mix'!$S$96="Model Default",'IV. LCOE, Baseline Energy Mix'!AM261,IF('II. Inputs, Baseline Energy Mix'!$S$96="User-defined, annually adjusted",'IV. LCOE, Baseline Energy Mix'!AM262,IF('II. Inputs, Baseline Energy Mix'!$S$96="Manual Entry",'IV. LCOE, Baseline Energy Mix'!AM264,AM263)))</f>
        <v>0</v>
      </c>
      <c r="AN260" s="1297">
        <f>IF('II. Inputs, Baseline Energy Mix'!$S$96="Model Default",'IV. LCOE, Baseline Energy Mix'!AN261,IF('II. Inputs, Baseline Energy Mix'!$S$96="User-defined, annually adjusted",'IV. LCOE, Baseline Energy Mix'!AN262,IF('II. Inputs, Baseline Energy Mix'!$S$96="Manual Entry",'IV. LCOE, Baseline Energy Mix'!AN264,AN263)))</f>
        <v>0</v>
      </c>
      <c r="AO260" s="1297">
        <f>IF('II. Inputs, Baseline Energy Mix'!$S$96="Model Default",'IV. LCOE, Baseline Energy Mix'!AO261,IF('II. Inputs, Baseline Energy Mix'!$S$96="User-defined, annually adjusted",'IV. LCOE, Baseline Energy Mix'!AO262,IF('II. Inputs, Baseline Energy Mix'!$S$96="Manual Entry",'IV. LCOE, Baseline Energy Mix'!AO264,AO263)))</f>
        <v>0</v>
      </c>
      <c r="AP260" s="1297">
        <f>IF('II. Inputs, Baseline Energy Mix'!$S$96="Model Default",'IV. LCOE, Baseline Energy Mix'!AP261,IF('II. Inputs, Baseline Energy Mix'!$S$96="User-defined, annually adjusted",'IV. LCOE, Baseline Energy Mix'!AP262,IF('II. Inputs, Baseline Energy Mix'!$S$96="Manual Entry",'IV. LCOE, Baseline Energy Mix'!AP264,AP263)))</f>
        <v>0</v>
      </c>
      <c r="AQ260" s="1297">
        <f>IF('II. Inputs, Baseline Energy Mix'!$S$96="Model Default",'IV. LCOE, Baseline Energy Mix'!AQ261,IF('II. Inputs, Baseline Energy Mix'!$S$96="User-defined, annually adjusted",'IV. LCOE, Baseline Energy Mix'!AQ262,IF('II. Inputs, Baseline Energy Mix'!$S$96="Manual Entry",'IV. LCOE, Baseline Energy Mix'!AQ264,AQ263)))</f>
        <v>0</v>
      </c>
      <c r="AR260" s="1297">
        <f>IF('II. Inputs, Baseline Energy Mix'!$S$96="Model Default",'IV. LCOE, Baseline Energy Mix'!AR261,IF('II. Inputs, Baseline Energy Mix'!$S$96="User-defined, annually adjusted",'IV. LCOE, Baseline Energy Mix'!AR262,IF('II. Inputs, Baseline Energy Mix'!$S$96="Manual Entry",'IV. LCOE, Baseline Energy Mix'!AR264,AR263)))</f>
        <v>0</v>
      </c>
      <c r="AS260" s="1297">
        <f>IF('II. Inputs, Baseline Energy Mix'!$S$96="Model Default",'IV. LCOE, Baseline Energy Mix'!AS261,IF('II. Inputs, Baseline Energy Mix'!$S$96="User-defined, annually adjusted",'IV. LCOE, Baseline Energy Mix'!AS262,IF('II. Inputs, Baseline Energy Mix'!$S$96="Manual Entry",'IV. LCOE, Baseline Energy Mix'!AS264,AS263)))</f>
        <v>0</v>
      </c>
      <c r="AT260" s="1297">
        <f>IF('II. Inputs, Baseline Energy Mix'!$S$96="Model Default",'IV. LCOE, Baseline Energy Mix'!AT261,IF('II. Inputs, Baseline Energy Mix'!$S$96="User-defined, annually adjusted",'IV. LCOE, Baseline Energy Mix'!AT262,IF('II. Inputs, Baseline Energy Mix'!$S$96="Manual Entry",'IV. LCOE, Baseline Energy Mix'!AT264,AT263)))</f>
        <v>0</v>
      </c>
      <c r="AU260" s="1297">
        <f>IF('II. Inputs, Baseline Energy Mix'!$S$96="Model Default",'IV. LCOE, Baseline Energy Mix'!AU261,IF('II. Inputs, Baseline Energy Mix'!$S$96="User-defined, annually adjusted",'IV. LCOE, Baseline Energy Mix'!AU262,IF('II. Inputs, Baseline Energy Mix'!$S$96="Manual Entry",'IV. LCOE, Baseline Energy Mix'!AU264,AU263)))</f>
        <v>0</v>
      </c>
      <c r="AV260" s="1297">
        <f>IF('II. Inputs, Baseline Energy Mix'!$S$96="Model Default",'IV. LCOE, Baseline Energy Mix'!AV261,IF('II. Inputs, Baseline Energy Mix'!$S$96="User-defined, annually adjusted",'IV. LCOE, Baseline Energy Mix'!AV262,IF('II. Inputs, Baseline Energy Mix'!$S$96="Manual Entry",'IV. LCOE, Baseline Energy Mix'!AV264,AV263)))</f>
        <v>0</v>
      </c>
      <c r="AW260" s="1297">
        <f>IF('II. Inputs, Baseline Energy Mix'!$S$96="Model Default",'IV. LCOE, Baseline Energy Mix'!AW261,IF('II. Inputs, Baseline Energy Mix'!$S$96="User-defined, annually adjusted",'IV. LCOE, Baseline Energy Mix'!AW262,IF('II. Inputs, Baseline Energy Mix'!$S$96="Manual Entry",'IV. LCOE, Baseline Energy Mix'!AW264,AW263)))</f>
        <v>0</v>
      </c>
      <c r="AX260" s="1297">
        <f>IF('II. Inputs, Baseline Energy Mix'!$S$96="Model Default",'IV. LCOE, Baseline Energy Mix'!AX261,IF('II. Inputs, Baseline Energy Mix'!$S$96="User-defined, annually adjusted",'IV. LCOE, Baseline Energy Mix'!AX262,IF('II. Inputs, Baseline Energy Mix'!$S$96="Manual Entry",'IV. LCOE, Baseline Energy Mix'!AX264,AX263)))</f>
        <v>0</v>
      </c>
      <c r="AY260" s="1297">
        <f>IF('II. Inputs, Baseline Energy Mix'!$S$96="Model Default",'IV. LCOE, Baseline Energy Mix'!AY261,IF('II. Inputs, Baseline Energy Mix'!$S$96="User-defined, annually adjusted",'IV. LCOE, Baseline Energy Mix'!AY262,IF('II. Inputs, Baseline Energy Mix'!$S$96="Manual Entry",'IV. LCOE, Baseline Energy Mix'!AY264,AY263)))</f>
        <v>0</v>
      </c>
      <c r="AZ260" s="1297">
        <f>IF('II. Inputs, Baseline Energy Mix'!$S$96="Model Default",'IV. LCOE, Baseline Energy Mix'!AZ261,IF('II. Inputs, Baseline Energy Mix'!$S$96="User-defined, annually adjusted",'IV. LCOE, Baseline Energy Mix'!AZ262,IF('II. Inputs, Baseline Energy Mix'!$S$96="Manual Entry",'IV. LCOE, Baseline Energy Mix'!AZ264,AZ263)))</f>
        <v>0</v>
      </c>
      <c r="BA260" s="1297">
        <f>IF('II. Inputs, Baseline Energy Mix'!$S$96="Model Default",'IV. LCOE, Baseline Energy Mix'!BA261,IF('II. Inputs, Baseline Energy Mix'!$S$96="User-defined, annually adjusted",'IV. LCOE, Baseline Energy Mix'!BA262,IF('II. Inputs, Baseline Energy Mix'!$S$96="Manual Entry",'IV. LCOE, Baseline Energy Mix'!BA264,BA263)))</f>
        <v>0</v>
      </c>
      <c r="BB260" s="1297">
        <f>IF('II. Inputs, Baseline Energy Mix'!$S$96="Model Default",'IV. LCOE, Baseline Energy Mix'!BB261,IF('II. Inputs, Baseline Energy Mix'!$S$96="User-defined, annually adjusted",'IV. LCOE, Baseline Energy Mix'!BB262,IF('II. Inputs, Baseline Energy Mix'!$S$96="Manual Entry",'IV. LCOE, Baseline Energy Mix'!BB264,BB263)))</f>
        <v>0</v>
      </c>
      <c r="BC260" s="1297">
        <f>IF('II. Inputs, Baseline Energy Mix'!$S$96="Model Default",'IV. LCOE, Baseline Energy Mix'!BC261,IF('II. Inputs, Baseline Energy Mix'!$S$96="User-defined, annually adjusted",'IV. LCOE, Baseline Energy Mix'!BC262,IF('II. Inputs, Baseline Energy Mix'!$S$96="Manual Entry",'IV. LCOE, Baseline Energy Mix'!BC264,BC263)))</f>
        <v>0</v>
      </c>
      <c r="BD260" s="1297">
        <f>IF('II. Inputs, Baseline Energy Mix'!$S$96="Model Default",'IV. LCOE, Baseline Energy Mix'!BD261,IF('II. Inputs, Baseline Energy Mix'!$S$96="User-defined, annually adjusted",'IV. LCOE, Baseline Energy Mix'!BD262,IF('II. Inputs, Baseline Energy Mix'!$S$96="Manual Entry",'IV. LCOE, Baseline Energy Mix'!BD264,BD263)))</f>
        <v>0</v>
      </c>
      <c r="BE260" s="1298">
        <f>IF('II. Inputs, Baseline Energy Mix'!$S$96="Model Default",'IV. LCOE, Baseline Energy Mix'!BE261,IF('II. Inputs, Baseline Energy Mix'!$S$96="User-defined, annually adjusted",'IV. LCOE, Baseline Energy Mix'!BE262,IF('II. Inputs, Baseline Energy Mix'!$S$96="Manual Entry",'IV. LCOE, Baseline Energy Mix'!BE264,BE263)))</f>
        <v>0</v>
      </c>
    </row>
    <row r="261" spans="2:57" outlineLevel="1" x14ac:dyDescent="0.25">
      <c r="B261" s="359"/>
      <c r="C261" s="360" t="s">
        <v>160</v>
      </c>
      <c r="D261" s="360"/>
      <c r="E261" s="363"/>
      <c r="F261" s="363"/>
      <c r="G261" s="1288"/>
      <c r="H261" s="1297">
        <f>H252*VLOOKUP('IV. LCOE, Baseline Energy Mix'!H$13,'IX. Additional Data'!$C$17:$V$66,8, FALSE)</f>
        <v>0</v>
      </c>
      <c r="I261" s="1297">
        <f>I252*VLOOKUP('IV. LCOE, Baseline Energy Mix'!I$13,'IX. Additional Data'!$C$17:$V$66,8, FALSE)</f>
        <v>0</v>
      </c>
      <c r="J261" s="1297">
        <f>J252*VLOOKUP('IV. LCOE, Baseline Energy Mix'!J$13,'IX. Additional Data'!$C$17:$V$66,8, FALSE)</f>
        <v>0</v>
      </c>
      <c r="K261" s="1297">
        <f>K252*VLOOKUP('IV. LCOE, Baseline Energy Mix'!K$13,'IX. Additional Data'!$C$17:$V$66,8, FALSE)</f>
        <v>0</v>
      </c>
      <c r="L261" s="1297">
        <f>L252*VLOOKUP('IV. LCOE, Baseline Energy Mix'!L$13,'IX. Additional Data'!$C$17:$V$66,8, FALSE)</f>
        <v>0</v>
      </c>
      <c r="M261" s="1297">
        <f>M252*VLOOKUP('IV. LCOE, Baseline Energy Mix'!M$13,'IX. Additional Data'!$C$17:$V$66,8, FALSE)</f>
        <v>0</v>
      </c>
      <c r="N261" s="1297">
        <f>N252*VLOOKUP('IV. LCOE, Baseline Energy Mix'!N$13,'IX. Additional Data'!$C$17:$V$66,8, FALSE)</f>
        <v>0</v>
      </c>
      <c r="O261" s="1297">
        <f>O252*VLOOKUP('IV. LCOE, Baseline Energy Mix'!O$13,'IX. Additional Data'!$C$17:$V$66,8, FALSE)</f>
        <v>0</v>
      </c>
      <c r="P261" s="1297">
        <f>P252*VLOOKUP('IV. LCOE, Baseline Energy Mix'!P$13,'IX. Additional Data'!$C$17:$V$66,8, FALSE)</f>
        <v>0</v>
      </c>
      <c r="Q261" s="1297">
        <f>Q252*VLOOKUP('IV. LCOE, Baseline Energy Mix'!Q$13,'IX. Additional Data'!$C$17:$V$66,8, FALSE)</f>
        <v>0</v>
      </c>
      <c r="R261" s="1297">
        <f>R252*VLOOKUP('IV. LCOE, Baseline Energy Mix'!R$13,'IX. Additional Data'!$C$17:$V$66,8, FALSE)</f>
        <v>0</v>
      </c>
      <c r="S261" s="1297">
        <f>S252*VLOOKUP('IV. LCOE, Baseline Energy Mix'!S$13,'IX. Additional Data'!$C$17:$V$66,8, FALSE)</f>
        <v>0</v>
      </c>
      <c r="T261" s="1297">
        <f>T252*VLOOKUP('IV. LCOE, Baseline Energy Mix'!T$13,'IX. Additional Data'!$C$17:$V$66,8, FALSE)</f>
        <v>0</v>
      </c>
      <c r="U261" s="1297">
        <f>U252*VLOOKUP('IV. LCOE, Baseline Energy Mix'!U$13,'IX. Additional Data'!$C$17:$V$66,8, FALSE)</f>
        <v>0</v>
      </c>
      <c r="V261" s="1297">
        <f>V252*VLOOKUP('IV. LCOE, Baseline Energy Mix'!V$13,'IX. Additional Data'!$C$17:$V$66,8, FALSE)</f>
        <v>0</v>
      </c>
      <c r="W261" s="1297">
        <f>W252*VLOOKUP('IV. LCOE, Baseline Energy Mix'!W$13,'IX. Additional Data'!$C$17:$V$66,8, FALSE)</f>
        <v>0</v>
      </c>
      <c r="X261" s="1297">
        <f>X252*VLOOKUP('IV. LCOE, Baseline Energy Mix'!X$13,'IX. Additional Data'!$C$17:$V$66,8, FALSE)</f>
        <v>0</v>
      </c>
      <c r="Y261" s="1297">
        <f>Y252*VLOOKUP('IV. LCOE, Baseline Energy Mix'!Y$13,'IX. Additional Data'!$C$17:$V$66,8, FALSE)</f>
        <v>0</v>
      </c>
      <c r="Z261" s="1297">
        <f>Z252*VLOOKUP('IV. LCOE, Baseline Energy Mix'!Z$13,'IX. Additional Data'!$C$17:$V$66,8, FALSE)</f>
        <v>0</v>
      </c>
      <c r="AA261" s="1297">
        <f>AA252*VLOOKUP('IV. LCOE, Baseline Energy Mix'!AA$13,'IX. Additional Data'!$C$17:$V$66,8, FALSE)</f>
        <v>0</v>
      </c>
      <c r="AB261" s="1297">
        <f>AB252*VLOOKUP('IV. LCOE, Baseline Energy Mix'!AB$13,'IX. Additional Data'!$C$17:$V$66,8, FALSE)</f>
        <v>0</v>
      </c>
      <c r="AC261" s="1297">
        <f>AC252*VLOOKUP('IV. LCOE, Baseline Energy Mix'!AC$13,'IX. Additional Data'!$C$17:$V$66,8, FALSE)</f>
        <v>0</v>
      </c>
      <c r="AD261" s="1297">
        <f>AD252*VLOOKUP('IV. LCOE, Baseline Energy Mix'!AD$13,'IX. Additional Data'!$C$17:$V$66,8, FALSE)</f>
        <v>0</v>
      </c>
      <c r="AE261" s="1297">
        <f>AE252*VLOOKUP('IV. LCOE, Baseline Energy Mix'!AE$13,'IX. Additional Data'!$C$17:$V$66,8, FALSE)</f>
        <v>0</v>
      </c>
      <c r="AF261" s="1297">
        <f>AF252*VLOOKUP('IV. LCOE, Baseline Energy Mix'!AF$13,'IX. Additional Data'!$C$17:$V$66,8, FALSE)</f>
        <v>0</v>
      </c>
      <c r="AG261" s="1297">
        <f>AG252*VLOOKUP('IV. LCOE, Baseline Energy Mix'!AG$13,'IX. Additional Data'!$C$17:$V$66,8, FALSE)</f>
        <v>0</v>
      </c>
      <c r="AH261" s="1297">
        <f>AH252*VLOOKUP('IV. LCOE, Baseline Energy Mix'!AH$13,'IX. Additional Data'!$C$17:$V$66,8, FALSE)</f>
        <v>0</v>
      </c>
      <c r="AI261" s="1297">
        <f>AI252*VLOOKUP('IV. LCOE, Baseline Energy Mix'!AI$13,'IX. Additional Data'!$C$17:$V$66,8, FALSE)</f>
        <v>0</v>
      </c>
      <c r="AJ261" s="1297">
        <f>AJ252*VLOOKUP('IV. LCOE, Baseline Energy Mix'!AJ$13,'IX. Additional Data'!$C$17:$V$66,8, FALSE)</f>
        <v>0</v>
      </c>
      <c r="AK261" s="1297">
        <f>AK252*VLOOKUP('IV. LCOE, Baseline Energy Mix'!AK$13,'IX. Additional Data'!$C$17:$V$66,8, FALSE)</f>
        <v>0</v>
      </c>
      <c r="AL261" s="1297">
        <f>AL252*VLOOKUP('IV. LCOE, Baseline Energy Mix'!AL$13,'IX. Additional Data'!$C$17:$V$66,8, FALSE)</f>
        <v>0</v>
      </c>
      <c r="AM261" s="1297">
        <f>AM252*VLOOKUP('IV. LCOE, Baseline Energy Mix'!AM$13,'IX. Additional Data'!$C$17:$V$66,8, FALSE)</f>
        <v>0</v>
      </c>
      <c r="AN261" s="1297">
        <f>AN252*VLOOKUP('IV. LCOE, Baseline Energy Mix'!AN$13,'IX. Additional Data'!$C$17:$V$66,8, FALSE)</f>
        <v>0</v>
      </c>
      <c r="AO261" s="1297">
        <f>AO252*VLOOKUP('IV. LCOE, Baseline Energy Mix'!AO$13,'IX. Additional Data'!$C$17:$V$66,8, FALSE)</f>
        <v>0</v>
      </c>
      <c r="AP261" s="1297">
        <f>AP252*VLOOKUP('IV. LCOE, Baseline Energy Mix'!AP$13,'IX. Additional Data'!$C$17:$V$66,8, FALSE)</f>
        <v>0</v>
      </c>
      <c r="AQ261" s="1297">
        <f>AQ252*VLOOKUP('IV. LCOE, Baseline Energy Mix'!AQ$13,'IX. Additional Data'!$C$17:$V$66,8, FALSE)</f>
        <v>0</v>
      </c>
      <c r="AR261" s="1297">
        <f>AR252*VLOOKUP('IV. LCOE, Baseline Energy Mix'!AR$13,'IX. Additional Data'!$C$17:$V$66,8, FALSE)</f>
        <v>0</v>
      </c>
      <c r="AS261" s="1297">
        <f>AS252*VLOOKUP('IV. LCOE, Baseline Energy Mix'!AS$13,'IX. Additional Data'!$C$17:$V$66,8, FALSE)</f>
        <v>0</v>
      </c>
      <c r="AT261" s="1297">
        <f>AT252*VLOOKUP('IV. LCOE, Baseline Energy Mix'!AT$13,'IX. Additional Data'!$C$17:$V$66,8, FALSE)</f>
        <v>0</v>
      </c>
      <c r="AU261" s="1297">
        <f>AU252*VLOOKUP('IV. LCOE, Baseline Energy Mix'!AU$13,'IX. Additional Data'!$C$17:$V$66,8, FALSE)</f>
        <v>0</v>
      </c>
      <c r="AV261" s="1297">
        <f>AV252*VLOOKUP('IV. LCOE, Baseline Energy Mix'!AV$13,'IX. Additional Data'!$C$17:$V$66,8, FALSE)</f>
        <v>0</v>
      </c>
      <c r="AW261" s="1297">
        <f>AW252*VLOOKUP('IV. LCOE, Baseline Energy Mix'!AW$13,'IX. Additional Data'!$C$17:$V$66,8, FALSE)</f>
        <v>0</v>
      </c>
      <c r="AX261" s="1297">
        <f>AX252*VLOOKUP('IV. LCOE, Baseline Energy Mix'!AX$13,'IX. Additional Data'!$C$17:$V$66,8, FALSE)</f>
        <v>0</v>
      </c>
      <c r="AY261" s="1297">
        <f>AY252*VLOOKUP('IV. LCOE, Baseline Energy Mix'!AY$13,'IX. Additional Data'!$C$17:$V$66,8, FALSE)</f>
        <v>0</v>
      </c>
      <c r="AZ261" s="1297">
        <f>AZ252*VLOOKUP('IV. LCOE, Baseline Energy Mix'!AZ$13,'IX. Additional Data'!$C$17:$V$66,8, FALSE)</f>
        <v>0</v>
      </c>
      <c r="BA261" s="1297">
        <f>BA252*VLOOKUP('IV. LCOE, Baseline Energy Mix'!BA$13,'IX. Additional Data'!$C$17:$V$66,8, FALSE)</f>
        <v>0</v>
      </c>
      <c r="BB261" s="1297">
        <f>BB252*VLOOKUP('IV. LCOE, Baseline Energy Mix'!BB$13,'IX. Additional Data'!$C$17:$V$66,8, FALSE)</f>
        <v>0</v>
      </c>
      <c r="BC261" s="1297">
        <f>BC252*VLOOKUP('IV. LCOE, Baseline Energy Mix'!BC$13,'IX. Additional Data'!$C$17:$V$66,8, FALSE)</f>
        <v>0</v>
      </c>
      <c r="BD261" s="1297">
        <f>BD252*VLOOKUP('IV. LCOE, Baseline Energy Mix'!BD$13,'IX. Additional Data'!$C$17:$V$66,8, FALSE)</f>
        <v>0</v>
      </c>
      <c r="BE261" s="1298">
        <f>BE252*VLOOKUP('IV. LCOE, Baseline Energy Mix'!BE$13,'IX. Additional Data'!$C$17:$V$66,8, FALSE)</f>
        <v>0</v>
      </c>
    </row>
    <row r="262" spans="2:57" outlineLevel="1" x14ac:dyDescent="0.25">
      <c r="B262" s="359"/>
      <c r="C262" s="360" t="s">
        <v>161</v>
      </c>
      <c r="D262" s="360"/>
      <c r="E262" s="363"/>
      <c r="F262" s="363"/>
      <c r="G262" s="1288"/>
      <c r="H262" s="1297">
        <f>H252*'II. Inputs, Baseline Energy Mix'!$S$98*(1+'II. Inputs, Baseline Energy Mix'!$S$99)^('IV. LCOE, Baseline Energy Mix'!H$13-1)</f>
        <v>0</v>
      </c>
      <c r="I262" s="1297">
        <f>I252*'II. Inputs, Baseline Energy Mix'!$S$98*(1+'II. Inputs, Baseline Energy Mix'!$S$99)^('IV. LCOE, Baseline Energy Mix'!I$13-1)</f>
        <v>0</v>
      </c>
      <c r="J262" s="1297">
        <f>J252*'II. Inputs, Baseline Energy Mix'!$S$98*(1+'II. Inputs, Baseline Energy Mix'!$S$99)^('IV. LCOE, Baseline Energy Mix'!J$13-1)</f>
        <v>0</v>
      </c>
      <c r="K262" s="1297">
        <f>K252*'II. Inputs, Baseline Energy Mix'!$S$98*(1+'II. Inputs, Baseline Energy Mix'!$S$99)^('IV. LCOE, Baseline Energy Mix'!K$13-1)</f>
        <v>0</v>
      </c>
      <c r="L262" s="1297">
        <f>L252*'II. Inputs, Baseline Energy Mix'!$S$98*(1+'II. Inputs, Baseline Energy Mix'!$S$99)^('IV. LCOE, Baseline Energy Mix'!L$13-1)</f>
        <v>0</v>
      </c>
      <c r="M262" s="1297">
        <f>M252*'II. Inputs, Baseline Energy Mix'!$S$98*(1+'II. Inputs, Baseline Energy Mix'!$S$99)^('IV. LCOE, Baseline Energy Mix'!M$13-1)</f>
        <v>0</v>
      </c>
      <c r="N262" s="1297">
        <f>N252*'II. Inputs, Baseline Energy Mix'!$S$98*(1+'II. Inputs, Baseline Energy Mix'!$S$99)^('IV. LCOE, Baseline Energy Mix'!N$13-1)</f>
        <v>0</v>
      </c>
      <c r="O262" s="1297">
        <f>O252*'II. Inputs, Baseline Energy Mix'!$S$98*(1+'II. Inputs, Baseline Energy Mix'!$S$99)^('IV. LCOE, Baseline Energy Mix'!O$13-1)</f>
        <v>0</v>
      </c>
      <c r="P262" s="1297">
        <f>P252*'II. Inputs, Baseline Energy Mix'!$S$98*(1+'II. Inputs, Baseline Energy Mix'!$S$99)^('IV. LCOE, Baseline Energy Mix'!P$13-1)</f>
        <v>0</v>
      </c>
      <c r="Q262" s="1297">
        <f>Q252*'II. Inputs, Baseline Energy Mix'!$S$98*(1+'II. Inputs, Baseline Energy Mix'!$S$99)^('IV. LCOE, Baseline Energy Mix'!Q$13-1)</f>
        <v>0</v>
      </c>
      <c r="R262" s="1297">
        <f>R252*'II. Inputs, Baseline Energy Mix'!$S$98*(1+'II. Inputs, Baseline Energy Mix'!$S$99)^('IV. LCOE, Baseline Energy Mix'!R$13-1)</f>
        <v>0</v>
      </c>
      <c r="S262" s="1297">
        <f>S252*'II. Inputs, Baseline Energy Mix'!$S$98*(1+'II. Inputs, Baseline Energy Mix'!$S$99)^('IV. LCOE, Baseline Energy Mix'!S$13-1)</f>
        <v>0</v>
      </c>
      <c r="T262" s="1297">
        <f>T252*'II. Inputs, Baseline Energy Mix'!$S$98*(1+'II. Inputs, Baseline Energy Mix'!$S$99)^('IV. LCOE, Baseline Energy Mix'!T$13-1)</f>
        <v>0</v>
      </c>
      <c r="U262" s="1297">
        <f>U252*'II. Inputs, Baseline Energy Mix'!$S$98*(1+'II. Inputs, Baseline Energy Mix'!$S$99)^('IV. LCOE, Baseline Energy Mix'!U$13-1)</f>
        <v>0</v>
      </c>
      <c r="V262" s="1297">
        <f>V252*'II. Inputs, Baseline Energy Mix'!$S$98*(1+'II. Inputs, Baseline Energy Mix'!$S$99)^('IV. LCOE, Baseline Energy Mix'!V$13-1)</f>
        <v>0</v>
      </c>
      <c r="W262" s="1297">
        <f>W252*'II. Inputs, Baseline Energy Mix'!$S$98*(1+'II. Inputs, Baseline Energy Mix'!$S$99)^('IV. LCOE, Baseline Energy Mix'!W$13-1)</f>
        <v>0</v>
      </c>
      <c r="X262" s="1297">
        <f>X252*'II. Inputs, Baseline Energy Mix'!$S$98*(1+'II. Inputs, Baseline Energy Mix'!$S$99)^('IV. LCOE, Baseline Energy Mix'!X$13-1)</f>
        <v>0</v>
      </c>
      <c r="Y262" s="1297">
        <f>Y252*'II. Inputs, Baseline Energy Mix'!$S$98*(1+'II. Inputs, Baseline Energy Mix'!$S$99)^('IV. LCOE, Baseline Energy Mix'!Y$13-1)</f>
        <v>0</v>
      </c>
      <c r="Z262" s="1297">
        <f>Z252*'II. Inputs, Baseline Energy Mix'!$S$98*(1+'II. Inputs, Baseline Energy Mix'!$S$99)^('IV. LCOE, Baseline Energy Mix'!Z$13-1)</f>
        <v>0</v>
      </c>
      <c r="AA262" s="1297">
        <f>AA252*'II. Inputs, Baseline Energy Mix'!$S$98*(1+'II. Inputs, Baseline Energy Mix'!$S$99)^('IV. LCOE, Baseline Energy Mix'!AA$13-1)</f>
        <v>0</v>
      </c>
      <c r="AB262" s="1297">
        <f>AB252*'II. Inputs, Baseline Energy Mix'!$S$98*(1+'II. Inputs, Baseline Energy Mix'!$S$99)^('IV. LCOE, Baseline Energy Mix'!AB$13-1)</f>
        <v>0</v>
      </c>
      <c r="AC262" s="1297">
        <f>AC252*'II. Inputs, Baseline Energy Mix'!$S$98*(1+'II. Inputs, Baseline Energy Mix'!$S$99)^('IV. LCOE, Baseline Energy Mix'!AC$13-1)</f>
        <v>0</v>
      </c>
      <c r="AD262" s="1297">
        <f>AD252*'II. Inputs, Baseline Energy Mix'!$S$98*(1+'II. Inputs, Baseline Energy Mix'!$S$99)^('IV. LCOE, Baseline Energy Mix'!AD$13-1)</f>
        <v>0</v>
      </c>
      <c r="AE262" s="1297">
        <f>AE252*'II. Inputs, Baseline Energy Mix'!$S$98*(1+'II. Inputs, Baseline Energy Mix'!$S$99)^('IV. LCOE, Baseline Energy Mix'!AE$13-1)</f>
        <v>0</v>
      </c>
      <c r="AF262" s="1297">
        <f>AF252*'II. Inputs, Baseline Energy Mix'!$S$98*(1+'II. Inputs, Baseline Energy Mix'!$S$99)^('IV. LCOE, Baseline Energy Mix'!AF$13-1)</f>
        <v>0</v>
      </c>
      <c r="AG262" s="1297">
        <f>AG252*'II. Inputs, Baseline Energy Mix'!$S$98*(1+'II. Inputs, Baseline Energy Mix'!$S$99)^('IV. LCOE, Baseline Energy Mix'!AG$13-1)</f>
        <v>0</v>
      </c>
      <c r="AH262" s="1297">
        <f>AH252*'II. Inputs, Baseline Energy Mix'!$S$98*(1+'II. Inputs, Baseline Energy Mix'!$S$99)^('IV. LCOE, Baseline Energy Mix'!AH$13-1)</f>
        <v>0</v>
      </c>
      <c r="AI262" s="1297">
        <f>AI252*'II. Inputs, Baseline Energy Mix'!$S$98*(1+'II. Inputs, Baseline Energy Mix'!$S$99)^('IV. LCOE, Baseline Energy Mix'!AI$13-1)</f>
        <v>0</v>
      </c>
      <c r="AJ262" s="1297">
        <f>AJ252*'II. Inputs, Baseline Energy Mix'!$S$98*(1+'II. Inputs, Baseline Energy Mix'!$S$99)^('IV. LCOE, Baseline Energy Mix'!AJ$13-1)</f>
        <v>0</v>
      </c>
      <c r="AK262" s="1297">
        <f>AK252*'II. Inputs, Baseline Energy Mix'!$S$98*(1+'II. Inputs, Baseline Energy Mix'!$S$99)^('IV. LCOE, Baseline Energy Mix'!AK$13-1)</f>
        <v>0</v>
      </c>
      <c r="AL262" s="1297">
        <f>AL252*'II. Inputs, Baseline Energy Mix'!$S$98*(1+'II. Inputs, Baseline Energy Mix'!$S$99)^('IV. LCOE, Baseline Energy Mix'!AL$13-1)</f>
        <v>0</v>
      </c>
      <c r="AM262" s="1297">
        <f>AM252*'II. Inputs, Baseline Energy Mix'!$S$98*(1+'II. Inputs, Baseline Energy Mix'!$S$99)^('IV. LCOE, Baseline Energy Mix'!AM$13-1)</f>
        <v>0</v>
      </c>
      <c r="AN262" s="1297">
        <f>AN252*'II. Inputs, Baseline Energy Mix'!$S$98*(1+'II. Inputs, Baseline Energy Mix'!$S$99)^('IV. LCOE, Baseline Energy Mix'!AN$13-1)</f>
        <v>0</v>
      </c>
      <c r="AO262" s="1297">
        <f>AO252*'II. Inputs, Baseline Energy Mix'!$S$98*(1+'II. Inputs, Baseline Energy Mix'!$S$99)^('IV. LCOE, Baseline Energy Mix'!AO$13-1)</f>
        <v>0</v>
      </c>
      <c r="AP262" s="1297">
        <f>AP252*'II. Inputs, Baseline Energy Mix'!$S$98*(1+'II. Inputs, Baseline Energy Mix'!$S$99)^('IV. LCOE, Baseline Energy Mix'!AP$13-1)</f>
        <v>0</v>
      </c>
      <c r="AQ262" s="1297">
        <f>AQ252*'II. Inputs, Baseline Energy Mix'!$S$98*(1+'II. Inputs, Baseline Energy Mix'!$S$99)^('IV. LCOE, Baseline Energy Mix'!AQ$13-1)</f>
        <v>0</v>
      </c>
      <c r="AR262" s="1297">
        <f>AR252*'II. Inputs, Baseline Energy Mix'!$S$98*(1+'II. Inputs, Baseline Energy Mix'!$S$99)^('IV. LCOE, Baseline Energy Mix'!AR$13-1)</f>
        <v>0</v>
      </c>
      <c r="AS262" s="1297">
        <f>AS252*'II. Inputs, Baseline Energy Mix'!$S$98*(1+'II. Inputs, Baseline Energy Mix'!$S$99)^('IV. LCOE, Baseline Energy Mix'!AS$13-1)</f>
        <v>0</v>
      </c>
      <c r="AT262" s="1297">
        <f>AT252*'II. Inputs, Baseline Energy Mix'!$S$98*(1+'II. Inputs, Baseline Energy Mix'!$S$99)^('IV. LCOE, Baseline Energy Mix'!AT$13-1)</f>
        <v>0</v>
      </c>
      <c r="AU262" s="1297">
        <f>AU252*'II. Inputs, Baseline Energy Mix'!$S$98*(1+'II. Inputs, Baseline Energy Mix'!$S$99)^('IV. LCOE, Baseline Energy Mix'!AU$13-1)</f>
        <v>0</v>
      </c>
      <c r="AV262" s="1297">
        <f>AV252*'II. Inputs, Baseline Energy Mix'!$S$98*(1+'II. Inputs, Baseline Energy Mix'!$S$99)^('IV. LCOE, Baseline Energy Mix'!AV$13-1)</f>
        <v>0</v>
      </c>
      <c r="AW262" s="1297">
        <f>AW252*'II. Inputs, Baseline Energy Mix'!$S$98*(1+'II. Inputs, Baseline Energy Mix'!$S$99)^('IV. LCOE, Baseline Energy Mix'!AW$13-1)</f>
        <v>0</v>
      </c>
      <c r="AX262" s="1297">
        <f>AX252*'II. Inputs, Baseline Energy Mix'!$S$98*(1+'II. Inputs, Baseline Energy Mix'!$S$99)^('IV. LCOE, Baseline Energy Mix'!AX$13-1)</f>
        <v>0</v>
      </c>
      <c r="AY262" s="1297">
        <f>AY252*'II. Inputs, Baseline Energy Mix'!$S$98*(1+'II. Inputs, Baseline Energy Mix'!$S$99)^('IV. LCOE, Baseline Energy Mix'!AY$13-1)</f>
        <v>0</v>
      </c>
      <c r="AZ262" s="1297">
        <f>AZ252*'II. Inputs, Baseline Energy Mix'!$S$98*(1+'II. Inputs, Baseline Energy Mix'!$S$99)^('IV. LCOE, Baseline Energy Mix'!AZ$13-1)</f>
        <v>0</v>
      </c>
      <c r="BA262" s="1297">
        <f>BA252*'II. Inputs, Baseline Energy Mix'!$S$98*(1+'II. Inputs, Baseline Energy Mix'!$S$99)^('IV. LCOE, Baseline Energy Mix'!BA$13-1)</f>
        <v>0</v>
      </c>
      <c r="BB262" s="1297">
        <f>BB252*'II. Inputs, Baseline Energy Mix'!$S$98*(1+'II. Inputs, Baseline Energy Mix'!$S$99)^('IV. LCOE, Baseline Energy Mix'!BB$13-1)</f>
        <v>0</v>
      </c>
      <c r="BC262" s="1297">
        <f>BC252*'II. Inputs, Baseline Energy Mix'!$S$98*(1+'II. Inputs, Baseline Energy Mix'!$S$99)^('IV. LCOE, Baseline Energy Mix'!BC$13-1)</f>
        <v>0</v>
      </c>
      <c r="BD262" s="1297">
        <f>BD252*'II. Inputs, Baseline Energy Mix'!$S$98*(1+'II. Inputs, Baseline Energy Mix'!$S$99)^('IV. LCOE, Baseline Energy Mix'!BD$13-1)</f>
        <v>0</v>
      </c>
      <c r="BE262" s="1298">
        <f>BE252*'II. Inputs, Baseline Energy Mix'!$S$98*(1+'II. Inputs, Baseline Energy Mix'!$S$99)^('IV. LCOE, Baseline Energy Mix'!BE$13-1)</f>
        <v>0</v>
      </c>
    </row>
    <row r="263" spans="2:57" outlineLevel="1" x14ac:dyDescent="0.25">
      <c r="B263" s="359"/>
      <c r="C263" s="360" t="s">
        <v>162</v>
      </c>
      <c r="D263" s="360"/>
      <c r="E263" s="363"/>
      <c r="F263" s="363"/>
      <c r="G263" s="1288"/>
      <c r="H263" s="1297">
        <f xml:space="preserve"> H252*VLOOKUP('IV. LCOE, Baseline Energy Mix'!H$13,'IX. Additional Data'!$C$17:$V$66,14, FALSE)</f>
        <v>0</v>
      </c>
      <c r="I263" s="1297">
        <f xml:space="preserve"> I252*VLOOKUP('IV. LCOE, Baseline Energy Mix'!I$13,'IX. Additional Data'!$C$17:$V$66,14, FALSE)</f>
        <v>0</v>
      </c>
      <c r="J263" s="1297">
        <f xml:space="preserve"> J252*VLOOKUP('IV. LCOE, Baseline Energy Mix'!J$13,'IX. Additional Data'!$C$17:$V$66,14, FALSE)</f>
        <v>0</v>
      </c>
      <c r="K263" s="1297">
        <f xml:space="preserve"> K252*VLOOKUP('IV. LCOE, Baseline Energy Mix'!K$13,'IX. Additional Data'!$C$17:$V$66,14, FALSE)</f>
        <v>0</v>
      </c>
      <c r="L263" s="1297">
        <f xml:space="preserve"> L252*VLOOKUP('IV. LCOE, Baseline Energy Mix'!L$13,'IX. Additional Data'!$C$17:$V$66,14, FALSE)</f>
        <v>0</v>
      </c>
      <c r="M263" s="1297">
        <f xml:space="preserve"> M252*VLOOKUP('IV. LCOE, Baseline Energy Mix'!M$13,'IX. Additional Data'!$C$17:$V$66,14, FALSE)</f>
        <v>0</v>
      </c>
      <c r="N263" s="1297">
        <f xml:space="preserve"> N252*VLOOKUP('IV. LCOE, Baseline Energy Mix'!N$13,'IX. Additional Data'!$C$17:$V$66,14, FALSE)</f>
        <v>0</v>
      </c>
      <c r="O263" s="1297">
        <f xml:space="preserve"> O252*VLOOKUP('IV. LCOE, Baseline Energy Mix'!O$13,'IX. Additional Data'!$C$17:$V$66,14, FALSE)</f>
        <v>0</v>
      </c>
      <c r="P263" s="1297">
        <f xml:space="preserve"> P252*VLOOKUP('IV. LCOE, Baseline Energy Mix'!P$13,'IX. Additional Data'!$C$17:$V$66,14, FALSE)</f>
        <v>0</v>
      </c>
      <c r="Q263" s="1297">
        <f xml:space="preserve"> Q252*VLOOKUP('IV. LCOE, Baseline Energy Mix'!Q$13,'IX. Additional Data'!$C$17:$V$66,14, FALSE)</f>
        <v>0</v>
      </c>
      <c r="R263" s="1297">
        <f xml:space="preserve"> R252*VLOOKUP('IV. LCOE, Baseline Energy Mix'!R$13,'IX. Additional Data'!$C$17:$V$66,14, FALSE)</f>
        <v>0</v>
      </c>
      <c r="S263" s="1297">
        <f xml:space="preserve"> S252*VLOOKUP('IV. LCOE, Baseline Energy Mix'!S$13,'IX. Additional Data'!$C$17:$V$66,14, FALSE)</f>
        <v>0</v>
      </c>
      <c r="T263" s="1297">
        <f xml:space="preserve"> T252*VLOOKUP('IV. LCOE, Baseline Energy Mix'!T$13,'IX. Additional Data'!$C$17:$V$66,14, FALSE)</f>
        <v>0</v>
      </c>
      <c r="U263" s="1297">
        <f xml:space="preserve"> U252*VLOOKUP('IV. LCOE, Baseline Energy Mix'!U$13,'IX. Additional Data'!$C$17:$V$66,14, FALSE)</f>
        <v>0</v>
      </c>
      <c r="V263" s="1297">
        <f xml:space="preserve"> V252*VLOOKUP('IV. LCOE, Baseline Energy Mix'!V$13,'IX. Additional Data'!$C$17:$V$66,14, FALSE)</f>
        <v>0</v>
      </c>
      <c r="W263" s="1297">
        <f xml:space="preserve"> W252*VLOOKUP('IV. LCOE, Baseline Energy Mix'!W$13,'IX. Additional Data'!$C$17:$V$66,14, FALSE)</f>
        <v>0</v>
      </c>
      <c r="X263" s="1297">
        <f xml:space="preserve"> X252*VLOOKUP('IV. LCOE, Baseline Energy Mix'!X$13,'IX. Additional Data'!$C$17:$V$66,14, FALSE)</f>
        <v>0</v>
      </c>
      <c r="Y263" s="1297">
        <f xml:space="preserve"> Y252*VLOOKUP('IV. LCOE, Baseline Energy Mix'!Y$13,'IX. Additional Data'!$C$17:$V$66,14, FALSE)</f>
        <v>0</v>
      </c>
      <c r="Z263" s="1297">
        <f xml:space="preserve"> Z252*VLOOKUP('IV. LCOE, Baseline Energy Mix'!Z$13,'IX. Additional Data'!$C$17:$V$66,14, FALSE)</f>
        <v>0</v>
      </c>
      <c r="AA263" s="1297">
        <f xml:space="preserve"> AA252*VLOOKUP('IV. LCOE, Baseline Energy Mix'!AA$13,'IX. Additional Data'!$C$17:$V$66,14, FALSE)</f>
        <v>0</v>
      </c>
      <c r="AB263" s="1297">
        <f xml:space="preserve"> AB252*VLOOKUP('IV. LCOE, Baseline Energy Mix'!AB$13,'IX. Additional Data'!$C$17:$V$66,14, FALSE)</f>
        <v>0</v>
      </c>
      <c r="AC263" s="1297">
        <f xml:space="preserve"> AC252*VLOOKUP('IV. LCOE, Baseline Energy Mix'!AC$13,'IX. Additional Data'!$C$17:$V$66,14, FALSE)</f>
        <v>0</v>
      </c>
      <c r="AD263" s="1297">
        <f xml:space="preserve"> AD252*VLOOKUP('IV. LCOE, Baseline Energy Mix'!AD$13,'IX. Additional Data'!$C$17:$V$66,14, FALSE)</f>
        <v>0</v>
      </c>
      <c r="AE263" s="1297">
        <f xml:space="preserve"> AE252*VLOOKUP('IV. LCOE, Baseline Energy Mix'!AE$13,'IX. Additional Data'!$C$17:$V$66,14, FALSE)</f>
        <v>0</v>
      </c>
      <c r="AF263" s="1297">
        <f xml:space="preserve"> AF252*VLOOKUP('IV. LCOE, Baseline Energy Mix'!AF$13,'IX. Additional Data'!$C$17:$V$66,14, FALSE)</f>
        <v>0</v>
      </c>
      <c r="AG263" s="1297">
        <f xml:space="preserve"> AG252*VLOOKUP('IV. LCOE, Baseline Energy Mix'!AG$13,'IX. Additional Data'!$C$17:$V$66,14, FALSE)</f>
        <v>0</v>
      </c>
      <c r="AH263" s="1297">
        <f xml:space="preserve"> AH252*VLOOKUP('IV. LCOE, Baseline Energy Mix'!AH$13,'IX. Additional Data'!$C$17:$V$66,14, FALSE)</f>
        <v>0</v>
      </c>
      <c r="AI263" s="1297">
        <f xml:space="preserve"> AI252*VLOOKUP('IV. LCOE, Baseline Energy Mix'!AI$13,'IX. Additional Data'!$C$17:$V$66,14, FALSE)</f>
        <v>0</v>
      </c>
      <c r="AJ263" s="1297">
        <f xml:space="preserve"> AJ252*VLOOKUP('IV. LCOE, Baseline Energy Mix'!AJ$13,'IX. Additional Data'!$C$17:$V$66,14, FALSE)</f>
        <v>0</v>
      </c>
      <c r="AK263" s="1297">
        <f xml:space="preserve"> AK252*VLOOKUP('IV. LCOE, Baseline Energy Mix'!AK$13,'IX. Additional Data'!$C$17:$V$66,14, FALSE)</f>
        <v>0</v>
      </c>
      <c r="AL263" s="1297">
        <f xml:space="preserve"> AL252*VLOOKUP('IV. LCOE, Baseline Energy Mix'!AL$13,'IX. Additional Data'!$C$17:$V$66,14, FALSE)</f>
        <v>0</v>
      </c>
      <c r="AM263" s="1297">
        <f xml:space="preserve"> AM252*VLOOKUP('IV. LCOE, Baseline Energy Mix'!AM$13,'IX. Additional Data'!$C$17:$V$66,14, FALSE)</f>
        <v>0</v>
      </c>
      <c r="AN263" s="1297">
        <f xml:space="preserve"> AN252*VLOOKUP('IV. LCOE, Baseline Energy Mix'!AN$13,'IX. Additional Data'!$C$17:$V$66,14, FALSE)</f>
        <v>0</v>
      </c>
      <c r="AO263" s="1297">
        <f xml:space="preserve"> AO252*VLOOKUP('IV. LCOE, Baseline Energy Mix'!AO$13,'IX. Additional Data'!$C$17:$V$66,14, FALSE)</f>
        <v>0</v>
      </c>
      <c r="AP263" s="1297">
        <f xml:space="preserve"> AP252*VLOOKUP('IV. LCOE, Baseline Energy Mix'!AP$13,'IX. Additional Data'!$C$17:$V$66,14, FALSE)</f>
        <v>0</v>
      </c>
      <c r="AQ263" s="1297">
        <f xml:space="preserve"> AQ252*VLOOKUP('IV. LCOE, Baseline Energy Mix'!AQ$13,'IX. Additional Data'!$C$17:$V$66,14, FALSE)</f>
        <v>0</v>
      </c>
      <c r="AR263" s="1297">
        <f xml:space="preserve"> AR252*VLOOKUP('IV. LCOE, Baseline Energy Mix'!AR$13,'IX. Additional Data'!$C$17:$V$66,14, FALSE)</f>
        <v>0</v>
      </c>
      <c r="AS263" s="1297">
        <f xml:space="preserve"> AS252*VLOOKUP('IV. LCOE, Baseline Energy Mix'!AS$13,'IX. Additional Data'!$C$17:$V$66,14, FALSE)</f>
        <v>0</v>
      </c>
      <c r="AT263" s="1297">
        <f xml:space="preserve"> AT252*VLOOKUP('IV. LCOE, Baseline Energy Mix'!AT$13,'IX. Additional Data'!$C$17:$V$66,14, FALSE)</f>
        <v>0</v>
      </c>
      <c r="AU263" s="1297">
        <f xml:space="preserve"> AU252*VLOOKUP('IV. LCOE, Baseline Energy Mix'!AU$13,'IX. Additional Data'!$C$17:$V$66,14, FALSE)</f>
        <v>0</v>
      </c>
      <c r="AV263" s="1297">
        <f xml:space="preserve"> AV252*VLOOKUP('IV. LCOE, Baseline Energy Mix'!AV$13,'IX. Additional Data'!$C$17:$V$66,14, FALSE)</f>
        <v>0</v>
      </c>
      <c r="AW263" s="1297">
        <f xml:space="preserve"> AW252*VLOOKUP('IV. LCOE, Baseline Energy Mix'!AW$13,'IX. Additional Data'!$C$17:$V$66,14, FALSE)</f>
        <v>0</v>
      </c>
      <c r="AX263" s="1297">
        <f xml:space="preserve"> AX252*VLOOKUP('IV. LCOE, Baseline Energy Mix'!AX$13,'IX. Additional Data'!$C$17:$V$66,14, FALSE)</f>
        <v>0</v>
      </c>
      <c r="AY263" s="1297">
        <f xml:space="preserve"> AY252*VLOOKUP('IV. LCOE, Baseline Energy Mix'!AY$13,'IX. Additional Data'!$C$17:$V$66,14, FALSE)</f>
        <v>0</v>
      </c>
      <c r="AZ263" s="1297">
        <f xml:space="preserve"> AZ252*VLOOKUP('IV. LCOE, Baseline Energy Mix'!AZ$13,'IX. Additional Data'!$C$17:$V$66,14, FALSE)</f>
        <v>0</v>
      </c>
      <c r="BA263" s="1297">
        <f xml:space="preserve"> BA252*VLOOKUP('IV. LCOE, Baseline Energy Mix'!BA$13,'IX. Additional Data'!$C$17:$V$66,14, FALSE)</f>
        <v>0</v>
      </c>
      <c r="BB263" s="1297">
        <f xml:space="preserve"> BB252*VLOOKUP('IV. LCOE, Baseline Energy Mix'!BB$13,'IX. Additional Data'!$C$17:$V$66,14, FALSE)</f>
        <v>0</v>
      </c>
      <c r="BC263" s="1297">
        <f xml:space="preserve"> BC252*VLOOKUP('IV. LCOE, Baseline Energy Mix'!BC$13,'IX. Additional Data'!$C$17:$V$66,14, FALSE)</f>
        <v>0</v>
      </c>
      <c r="BD263" s="1297">
        <f xml:space="preserve"> BD252*VLOOKUP('IV. LCOE, Baseline Energy Mix'!BD$13,'IX. Additional Data'!$C$17:$V$66,14, FALSE)</f>
        <v>0</v>
      </c>
      <c r="BE263" s="1298">
        <f xml:space="preserve"> BE252*VLOOKUP('IV. LCOE, Baseline Energy Mix'!BE$13,'IX. Additional Data'!$C$17:$V$66,14, FALSE)</f>
        <v>0</v>
      </c>
    </row>
    <row r="264" spans="2:57" outlineLevel="1" x14ac:dyDescent="0.25">
      <c r="B264" s="359"/>
      <c r="C264" s="360" t="s">
        <v>163</v>
      </c>
      <c r="D264" s="360"/>
      <c r="E264" s="363"/>
      <c r="F264" s="363"/>
      <c r="G264" s="1288"/>
      <c r="H264" s="1297">
        <f xml:space="preserve"> H252*VLOOKUP('IV. LCOE, Baseline Energy Mix'!H$13,'IX. Additional Data'!$C$17:$V$66,20, FALSE)</f>
        <v>0</v>
      </c>
      <c r="I264" s="1297">
        <f xml:space="preserve"> I252*VLOOKUP('IV. LCOE, Baseline Energy Mix'!I$13,'IX. Additional Data'!$C$17:$V$66,20, FALSE)</f>
        <v>0</v>
      </c>
      <c r="J264" s="1297">
        <f xml:space="preserve"> J252*VLOOKUP('IV. LCOE, Baseline Energy Mix'!J$13,'IX. Additional Data'!$C$17:$V$66,20, FALSE)</f>
        <v>0</v>
      </c>
      <c r="K264" s="1297">
        <f xml:space="preserve"> K252*VLOOKUP('IV. LCOE, Baseline Energy Mix'!K$13,'IX. Additional Data'!$C$17:$V$66,20, FALSE)</f>
        <v>0</v>
      </c>
      <c r="L264" s="1297">
        <f xml:space="preserve"> L252*VLOOKUP('IV. LCOE, Baseline Energy Mix'!L$13,'IX. Additional Data'!$C$17:$V$66,20, FALSE)</f>
        <v>0</v>
      </c>
      <c r="M264" s="1297">
        <f xml:space="preserve"> M252*VLOOKUP('IV. LCOE, Baseline Energy Mix'!M$13,'IX. Additional Data'!$C$17:$V$66,20, FALSE)</f>
        <v>0</v>
      </c>
      <c r="N264" s="1297">
        <f xml:space="preserve"> N252*VLOOKUP('IV. LCOE, Baseline Energy Mix'!N$13,'IX. Additional Data'!$C$17:$V$66,20, FALSE)</f>
        <v>0</v>
      </c>
      <c r="O264" s="1297">
        <f xml:space="preserve"> O252*VLOOKUP('IV. LCOE, Baseline Energy Mix'!O$13,'IX. Additional Data'!$C$17:$V$66,20, FALSE)</f>
        <v>0</v>
      </c>
      <c r="P264" s="1297">
        <f xml:space="preserve"> P252*VLOOKUP('IV. LCOE, Baseline Energy Mix'!P$13,'IX. Additional Data'!$C$17:$V$66,20, FALSE)</f>
        <v>0</v>
      </c>
      <c r="Q264" s="1297">
        <f xml:space="preserve"> Q252*VLOOKUP('IV. LCOE, Baseline Energy Mix'!Q$13,'IX. Additional Data'!$C$17:$V$66,20, FALSE)</f>
        <v>0</v>
      </c>
      <c r="R264" s="1297">
        <f xml:space="preserve"> R252*VLOOKUP('IV. LCOE, Baseline Energy Mix'!R$13,'IX. Additional Data'!$C$17:$V$66,20, FALSE)</f>
        <v>0</v>
      </c>
      <c r="S264" s="1297">
        <f xml:space="preserve"> S252*VLOOKUP('IV. LCOE, Baseline Energy Mix'!S$13,'IX. Additional Data'!$C$17:$V$66,20, FALSE)</f>
        <v>0</v>
      </c>
      <c r="T264" s="1297">
        <f xml:space="preserve"> T252*VLOOKUP('IV. LCOE, Baseline Energy Mix'!T$13,'IX. Additional Data'!$C$17:$V$66,20, FALSE)</f>
        <v>0</v>
      </c>
      <c r="U264" s="1297">
        <f xml:space="preserve"> U252*VLOOKUP('IV. LCOE, Baseline Energy Mix'!U$13,'IX. Additional Data'!$C$17:$V$66,20, FALSE)</f>
        <v>0</v>
      </c>
      <c r="V264" s="1297">
        <f xml:space="preserve"> V252*VLOOKUP('IV. LCOE, Baseline Energy Mix'!V$13,'IX. Additional Data'!$C$17:$V$66,20, FALSE)</f>
        <v>0</v>
      </c>
      <c r="W264" s="1297">
        <f xml:space="preserve"> W252*VLOOKUP('IV. LCOE, Baseline Energy Mix'!W$13,'IX. Additional Data'!$C$17:$V$66,20, FALSE)</f>
        <v>0</v>
      </c>
      <c r="X264" s="1297">
        <f xml:space="preserve"> X252*VLOOKUP('IV. LCOE, Baseline Energy Mix'!X$13,'IX. Additional Data'!$C$17:$V$66,20, FALSE)</f>
        <v>0</v>
      </c>
      <c r="Y264" s="1297">
        <f xml:space="preserve"> Y252*VLOOKUP('IV. LCOE, Baseline Energy Mix'!Y$13,'IX. Additional Data'!$C$17:$V$66,20, FALSE)</f>
        <v>0</v>
      </c>
      <c r="Z264" s="1297">
        <f xml:space="preserve"> Z252*VLOOKUP('IV. LCOE, Baseline Energy Mix'!Z$13,'IX. Additional Data'!$C$17:$V$66,20, FALSE)</f>
        <v>0</v>
      </c>
      <c r="AA264" s="1297">
        <f xml:space="preserve"> AA252*VLOOKUP('IV. LCOE, Baseline Energy Mix'!AA$13,'IX. Additional Data'!$C$17:$V$66,20, FALSE)</f>
        <v>0</v>
      </c>
      <c r="AB264" s="1297">
        <f xml:space="preserve"> AB252*VLOOKUP('IV. LCOE, Baseline Energy Mix'!AB$13,'IX. Additional Data'!$C$17:$V$66,20, FALSE)</f>
        <v>0</v>
      </c>
      <c r="AC264" s="1297">
        <f xml:space="preserve"> AC252*VLOOKUP('IV. LCOE, Baseline Energy Mix'!AC$13,'IX. Additional Data'!$C$17:$V$66,20, FALSE)</f>
        <v>0</v>
      </c>
      <c r="AD264" s="1297">
        <f xml:space="preserve"> AD252*VLOOKUP('IV. LCOE, Baseline Energy Mix'!AD$13,'IX. Additional Data'!$C$17:$V$66,20, FALSE)</f>
        <v>0</v>
      </c>
      <c r="AE264" s="1297">
        <f xml:space="preserve"> AE252*VLOOKUP('IV. LCOE, Baseline Energy Mix'!AE$13,'IX. Additional Data'!$C$17:$V$66,20, FALSE)</f>
        <v>0</v>
      </c>
      <c r="AF264" s="1297">
        <f xml:space="preserve"> AF252*VLOOKUP('IV. LCOE, Baseline Energy Mix'!AF$13,'IX. Additional Data'!$C$17:$V$66,20, FALSE)</f>
        <v>0</v>
      </c>
      <c r="AG264" s="1297">
        <f xml:space="preserve"> AG252*VLOOKUP('IV. LCOE, Baseline Energy Mix'!AG$13,'IX. Additional Data'!$C$17:$V$66,20, FALSE)</f>
        <v>0</v>
      </c>
      <c r="AH264" s="1297">
        <f xml:space="preserve"> AH252*VLOOKUP('IV. LCOE, Baseline Energy Mix'!AH$13,'IX. Additional Data'!$C$17:$V$66,20, FALSE)</f>
        <v>0</v>
      </c>
      <c r="AI264" s="1297">
        <f xml:space="preserve"> AI252*VLOOKUP('IV. LCOE, Baseline Energy Mix'!AI$13,'IX. Additional Data'!$C$17:$V$66,20, FALSE)</f>
        <v>0</v>
      </c>
      <c r="AJ264" s="1297">
        <f xml:space="preserve"> AJ252*VLOOKUP('IV. LCOE, Baseline Energy Mix'!AJ$13,'IX. Additional Data'!$C$17:$V$66,20, FALSE)</f>
        <v>0</v>
      </c>
      <c r="AK264" s="1297">
        <f xml:space="preserve"> AK252*VLOOKUP('IV. LCOE, Baseline Energy Mix'!AK$13,'IX. Additional Data'!$C$17:$V$66,20, FALSE)</f>
        <v>0</v>
      </c>
      <c r="AL264" s="1297">
        <f xml:space="preserve"> AL252*VLOOKUP('IV. LCOE, Baseline Energy Mix'!AL$13,'IX. Additional Data'!$C$17:$V$66,20, FALSE)</f>
        <v>0</v>
      </c>
      <c r="AM264" s="1297">
        <f xml:space="preserve"> AM252*VLOOKUP('IV. LCOE, Baseline Energy Mix'!AM$13,'IX. Additional Data'!$C$17:$V$66,20, FALSE)</f>
        <v>0</v>
      </c>
      <c r="AN264" s="1297">
        <f xml:space="preserve"> AN252*VLOOKUP('IV. LCOE, Baseline Energy Mix'!AN$13,'IX. Additional Data'!$C$17:$V$66,20, FALSE)</f>
        <v>0</v>
      </c>
      <c r="AO264" s="1297">
        <f xml:space="preserve"> AO252*VLOOKUP('IV. LCOE, Baseline Energy Mix'!AO$13,'IX. Additional Data'!$C$17:$V$66,20, FALSE)</f>
        <v>0</v>
      </c>
      <c r="AP264" s="1297">
        <f xml:space="preserve"> AP252*VLOOKUP('IV. LCOE, Baseline Energy Mix'!AP$13,'IX. Additional Data'!$C$17:$V$66,20, FALSE)</f>
        <v>0</v>
      </c>
      <c r="AQ264" s="1297">
        <f xml:space="preserve"> AQ252*VLOOKUP('IV. LCOE, Baseline Energy Mix'!AQ$13,'IX. Additional Data'!$C$17:$V$66,20, FALSE)</f>
        <v>0</v>
      </c>
      <c r="AR264" s="1297">
        <f xml:space="preserve"> AR252*VLOOKUP('IV. LCOE, Baseline Energy Mix'!AR$13,'IX. Additional Data'!$C$17:$V$66,20, FALSE)</f>
        <v>0</v>
      </c>
      <c r="AS264" s="1297">
        <f xml:space="preserve"> AS252*VLOOKUP('IV. LCOE, Baseline Energy Mix'!AS$13,'IX. Additional Data'!$C$17:$V$66,20, FALSE)</f>
        <v>0</v>
      </c>
      <c r="AT264" s="1297">
        <f xml:space="preserve"> AT252*VLOOKUP('IV. LCOE, Baseline Energy Mix'!AT$13,'IX. Additional Data'!$C$17:$V$66,20, FALSE)</f>
        <v>0</v>
      </c>
      <c r="AU264" s="1297">
        <f xml:space="preserve"> AU252*VLOOKUP('IV. LCOE, Baseline Energy Mix'!AU$13,'IX. Additional Data'!$C$17:$V$66,20, FALSE)</f>
        <v>0</v>
      </c>
      <c r="AV264" s="1297">
        <f xml:space="preserve"> AV252*VLOOKUP('IV. LCOE, Baseline Energy Mix'!AV$13,'IX. Additional Data'!$C$17:$V$66,20, FALSE)</f>
        <v>0</v>
      </c>
      <c r="AW264" s="1297">
        <f xml:space="preserve"> AW252*VLOOKUP('IV. LCOE, Baseline Energy Mix'!AW$13,'IX. Additional Data'!$C$17:$V$66,20, FALSE)</f>
        <v>0</v>
      </c>
      <c r="AX264" s="1297">
        <f xml:space="preserve"> AX252*VLOOKUP('IV. LCOE, Baseline Energy Mix'!AX$13,'IX. Additional Data'!$C$17:$V$66,20, FALSE)</f>
        <v>0</v>
      </c>
      <c r="AY264" s="1297">
        <f xml:space="preserve"> AY252*VLOOKUP('IV. LCOE, Baseline Energy Mix'!AY$13,'IX. Additional Data'!$C$17:$V$66,20, FALSE)</f>
        <v>0</v>
      </c>
      <c r="AZ264" s="1297">
        <f xml:space="preserve"> AZ252*VLOOKUP('IV. LCOE, Baseline Energy Mix'!AZ$13,'IX. Additional Data'!$C$17:$V$66,20, FALSE)</f>
        <v>0</v>
      </c>
      <c r="BA264" s="1297">
        <f xml:space="preserve"> BA252*VLOOKUP('IV. LCOE, Baseline Energy Mix'!BA$13,'IX. Additional Data'!$C$17:$V$66,20, FALSE)</f>
        <v>0</v>
      </c>
      <c r="BB264" s="1297">
        <f xml:space="preserve"> BB252*VLOOKUP('IV. LCOE, Baseline Energy Mix'!BB$13,'IX. Additional Data'!$C$17:$V$66,20, FALSE)</f>
        <v>0</v>
      </c>
      <c r="BC264" s="1297">
        <f xml:space="preserve"> BC252*VLOOKUP('IV. LCOE, Baseline Energy Mix'!BC$13,'IX. Additional Data'!$C$17:$V$66,20, FALSE)</f>
        <v>0</v>
      </c>
      <c r="BD264" s="1297">
        <f xml:space="preserve"> BD252*VLOOKUP('IV. LCOE, Baseline Energy Mix'!BD$13,'IX. Additional Data'!$C$17:$V$66,20, FALSE)</f>
        <v>0</v>
      </c>
      <c r="BE264" s="1298">
        <f xml:space="preserve"> BE252*VLOOKUP('IV. LCOE, Baseline Energy Mix'!BE$13,'IX. Additional Data'!$C$17:$V$66,20, FALSE)</f>
        <v>0</v>
      </c>
    </row>
    <row r="265" spans="2:57" outlineLevel="1" x14ac:dyDescent="0.25">
      <c r="B265" s="359"/>
      <c r="C265" s="360"/>
      <c r="D265" s="360"/>
      <c r="E265" s="363"/>
      <c r="F265" s="363"/>
      <c r="G265" s="1288"/>
      <c r="H265" s="1289"/>
      <c r="I265" s="1289"/>
      <c r="J265" s="1289"/>
      <c r="K265" s="1289"/>
      <c r="L265" s="1289"/>
      <c r="M265" s="1289"/>
      <c r="N265" s="1289"/>
      <c r="O265" s="1289"/>
      <c r="P265" s="1289"/>
      <c r="Q265" s="1289"/>
      <c r="R265" s="1289"/>
      <c r="S265" s="1289"/>
      <c r="T265" s="1289"/>
      <c r="U265" s="1289"/>
      <c r="V265" s="1289"/>
      <c r="W265" s="1289"/>
      <c r="X265" s="1289"/>
      <c r="Y265" s="1289"/>
      <c r="Z265" s="1289"/>
      <c r="AA265" s="1289"/>
      <c r="AB265" s="1289"/>
      <c r="AC265" s="1289"/>
      <c r="AD265" s="1289"/>
      <c r="AE265" s="1289"/>
      <c r="AF265" s="1289"/>
      <c r="AG265" s="1289"/>
      <c r="AH265" s="1289"/>
      <c r="AI265" s="1289"/>
      <c r="AJ265" s="1289"/>
      <c r="AK265" s="1289"/>
      <c r="AL265" s="1289"/>
      <c r="AM265" s="1289"/>
      <c r="AN265" s="1289"/>
      <c r="AO265" s="1289"/>
      <c r="AP265" s="1289"/>
      <c r="AQ265" s="1289"/>
      <c r="AR265" s="1289"/>
      <c r="AS265" s="1289"/>
      <c r="AT265" s="1289"/>
      <c r="AU265" s="1289"/>
      <c r="AV265" s="1289"/>
      <c r="AW265" s="1289"/>
      <c r="AX265" s="1289"/>
      <c r="AY265" s="1289"/>
      <c r="AZ265" s="1289"/>
      <c r="BA265" s="1289"/>
      <c r="BB265" s="1289"/>
      <c r="BC265" s="1289"/>
      <c r="BD265" s="1289"/>
      <c r="BE265" s="1290"/>
    </row>
    <row r="266" spans="2:57" x14ac:dyDescent="0.25">
      <c r="B266" s="359" t="s">
        <v>138</v>
      </c>
      <c r="C266" s="360"/>
      <c r="D266" s="360"/>
      <c r="E266" s="363"/>
      <c r="F266" s="363" t="s">
        <v>631</v>
      </c>
      <c r="G266" s="1288"/>
      <c r="H266" s="1289" t="e">
        <f>H260*H254*H252/'II. Inputs, Baseline Energy Mix'!$S$91</f>
        <v>#DIV/0!</v>
      </c>
      <c r="I266" s="1289" t="e">
        <f>I260*I254*I252/'II. Inputs, Baseline Energy Mix'!$S$91</f>
        <v>#DIV/0!</v>
      </c>
      <c r="J266" s="1289" t="e">
        <f>J260*J254*J252/'II. Inputs, Baseline Energy Mix'!$S$91</f>
        <v>#DIV/0!</v>
      </c>
      <c r="K266" s="1289" t="e">
        <f>K260*K254*K252/'II. Inputs, Baseline Energy Mix'!$S$91</f>
        <v>#DIV/0!</v>
      </c>
      <c r="L266" s="1289" t="e">
        <f>L260*L254*L252/'II. Inputs, Baseline Energy Mix'!$S$91</f>
        <v>#DIV/0!</v>
      </c>
      <c r="M266" s="1289" t="e">
        <f>M260*M254*M252/'II. Inputs, Baseline Energy Mix'!$S$91</f>
        <v>#DIV/0!</v>
      </c>
      <c r="N266" s="1289" t="e">
        <f>N260*N254*N252/'II. Inputs, Baseline Energy Mix'!$S$91</f>
        <v>#DIV/0!</v>
      </c>
      <c r="O266" s="1289" t="e">
        <f>O260*O254*O252/'II. Inputs, Baseline Energy Mix'!$S$91</f>
        <v>#DIV/0!</v>
      </c>
      <c r="P266" s="1289" t="e">
        <f>P260*P254*P252/'II. Inputs, Baseline Energy Mix'!$S$91</f>
        <v>#DIV/0!</v>
      </c>
      <c r="Q266" s="1289" t="e">
        <f>Q260*Q254*Q252/'II. Inputs, Baseline Energy Mix'!$S$91</f>
        <v>#DIV/0!</v>
      </c>
      <c r="R266" s="1289" t="e">
        <f>R260*R254*R252/'II. Inputs, Baseline Energy Mix'!$S$91</f>
        <v>#DIV/0!</v>
      </c>
      <c r="S266" s="1289" t="e">
        <f>S260*S254*S252/'II. Inputs, Baseline Energy Mix'!$S$91</f>
        <v>#DIV/0!</v>
      </c>
      <c r="T266" s="1289" t="e">
        <f>T260*T254*T252/'II. Inputs, Baseline Energy Mix'!$S$91</f>
        <v>#DIV/0!</v>
      </c>
      <c r="U266" s="1289" t="e">
        <f>U260*U254*U252/'II. Inputs, Baseline Energy Mix'!$S$91</f>
        <v>#DIV/0!</v>
      </c>
      <c r="V266" s="1289" t="e">
        <f>V260*V254*V252/'II. Inputs, Baseline Energy Mix'!$S$91</f>
        <v>#DIV/0!</v>
      </c>
      <c r="W266" s="1289" t="e">
        <f>W260*W254*W252/'II. Inputs, Baseline Energy Mix'!$S$91</f>
        <v>#DIV/0!</v>
      </c>
      <c r="X266" s="1289" t="e">
        <f>X260*X254*X252/'II. Inputs, Baseline Energy Mix'!$S$91</f>
        <v>#DIV/0!</v>
      </c>
      <c r="Y266" s="1289" t="e">
        <f>Y260*Y254*Y252/'II. Inputs, Baseline Energy Mix'!$S$91</f>
        <v>#DIV/0!</v>
      </c>
      <c r="Z266" s="1289" t="e">
        <f>Z260*Z254*Z252/'II. Inputs, Baseline Energy Mix'!$S$91</f>
        <v>#DIV/0!</v>
      </c>
      <c r="AA266" s="1289" t="e">
        <f>AA260*AA254*AA252/'II. Inputs, Baseline Energy Mix'!$S$91</f>
        <v>#DIV/0!</v>
      </c>
      <c r="AB266" s="1289" t="e">
        <f>AB260*AB254*AB252/'II. Inputs, Baseline Energy Mix'!$S$91</f>
        <v>#DIV/0!</v>
      </c>
      <c r="AC266" s="1289" t="e">
        <f>AC260*AC254*AC252/'II. Inputs, Baseline Energy Mix'!$S$91</f>
        <v>#DIV/0!</v>
      </c>
      <c r="AD266" s="1289" t="e">
        <f>AD260*AD254*AD252/'II. Inputs, Baseline Energy Mix'!$S$91</f>
        <v>#DIV/0!</v>
      </c>
      <c r="AE266" s="1289" t="e">
        <f>AE260*AE254*AE252/'II. Inputs, Baseline Energy Mix'!$S$91</f>
        <v>#DIV/0!</v>
      </c>
      <c r="AF266" s="1289" t="e">
        <f>AF260*AF254*AF252/'II. Inputs, Baseline Energy Mix'!$S$91</f>
        <v>#DIV/0!</v>
      </c>
      <c r="AG266" s="1289" t="e">
        <f>AG260*AG254*AG252/'II. Inputs, Baseline Energy Mix'!$S$91</f>
        <v>#DIV/0!</v>
      </c>
      <c r="AH266" s="1289" t="e">
        <f>AH260*AH254*AH252/'II. Inputs, Baseline Energy Mix'!$S$91</f>
        <v>#DIV/0!</v>
      </c>
      <c r="AI266" s="1289" t="e">
        <f>AI260*AI254*AI252/'II. Inputs, Baseline Energy Mix'!$S$91</f>
        <v>#DIV/0!</v>
      </c>
      <c r="AJ266" s="1289" t="e">
        <f>AJ260*AJ254*AJ252/'II. Inputs, Baseline Energy Mix'!$S$91</f>
        <v>#DIV/0!</v>
      </c>
      <c r="AK266" s="1289" t="e">
        <f>AK260*AK254*AK252/'II. Inputs, Baseline Energy Mix'!$S$91</f>
        <v>#DIV/0!</v>
      </c>
      <c r="AL266" s="1289" t="e">
        <f>AL260*AL254*AL252/'II. Inputs, Baseline Energy Mix'!$S$91</f>
        <v>#DIV/0!</v>
      </c>
      <c r="AM266" s="1289" t="e">
        <f>AM260*AM254*AM252/'II. Inputs, Baseline Energy Mix'!$S$91</f>
        <v>#DIV/0!</v>
      </c>
      <c r="AN266" s="1289" t="e">
        <f>AN260*AN254*AN252/'II. Inputs, Baseline Energy Mix'!$S$91</f>
        <v>#DIV/0!</v>
      </c>
      <c r="AO266" s="1289" t="e">
        <f>AO260*AO254*AO252/'II. Inputs, Baseline Energy Mix'!$S$91</f>
        <v>#DIV/0!</v>
      </c>
      <c r="AP266" s="1289" t="e">
        <f>AP260*AP254*AP252/'II. Inputs, Baseline Energy Mix'!$S$91</f>
        <v>#DIV/0!</v>
      </c>
      <c r="AQ266" s="1289" t="e">
        <f>AQ260*AQ254*AQ252/'II. Inputs, Baseline Energy Mix'!$S$91</f>
        <v>#DIV/0!</v>
      </c>
      <c r="AR266" s="1289" t="e">
        <f>AR260*AR254*AR252/'II. Inputs, Baseline Energy Mix'!$S$91</f>
        <v>#DIV/0!</v>
      </c>
      <c r="AS266" s="1289" t="e">
        <f>AS260*AS254*AS252/'II. Inputs, Baseline Energy Mix'!$S$91</f>
        <v>#DIV/0!</v>
      </c>
      <c r="AT266" s="1289" t="e">
        <f>AT260*AT254*AT252/'II. Inputs, Baseline Energy Mix'!$S$91</f>
        <v>#DIV/0!</v>
      </c>
      <c r="AU266" s="1289" t="e">
        <f>AU260*AU254*AU252/'II. Inputs, Baseline Energy Mix'!$S$91</f>
        <v>#DIV/0!</v>
      </c>
      <c r="AV266" s="1289" t="e">
        <f>AV260*AV254*AV252/'II. Inputs, Baseline Energy Mix'!$S$91</f>
        <v>#DIV/0!</v>
      </c>
      <c r="AW266" s="1289" t="e">
        <f>AW260*AW254*AW252/'II. Inputs, Baseline Energy Mix'!$S$91</f>
        <v>#DIV/0!</v>
      </c>
      <c r="AX266" s="1289" t="e">
        <f>AX260*AX254*AX252/'II. Inputs, Baseline Energy Mix'!$S$91</f>
        <v>#DIV/0!</v>
      </c>
      <c r="AY266" s="1289" t="e">
        <f>AY260*AY254*AY252/'II. Inputs, Baseline Energy Mix'!$S$91</f>
        <v>#DIV/0!</v>
      </c>
      <c r="AZ266" s="1289" t="e">
        <f>AZ260*AZ254*AZ252/'II. Inputs, Baseline Energy Mix'!$S$91</f>
        <v>#DIV/0!</v>
      </c>
      <c r="BA266" s="1289" t="e">
        <f>BA260*BA254*BA252/'II. Inputs, Baseline Energy Mix'!$S$91</f>
        <v>#DIV/0!</v>
      </c>
      <c r="BB266" s="1289" t="e">
        <f>BB260*BB254*BB252/'II. Inputs, Baseline Energy Mix'!$S$91</f>
        <v>#DIV/0!</v>
      </c>
      <c r="BC266" s="1289" t="e">
        <f>BC260*BC254*BC252/'II. Inputs, Baseline Energy Mix'!$S$91</f>
        <v>#DIV/0!</v>
      </c>
      <c r="BD266" s="1289" t="e">
        <f>BD260*BD254*BD252/'II. Inputs, Baseline Energy Mix'!$S$91</f>
        <v>#DIV/0!</v>
      </c>
      <c r="BE266" s="1290" t="e">
        <f>BE260*BE254*BE252/'II. Inputs, Baseline Energy Mix'!$S$91</f>
        <v>#DIV/0!</v>
      </c>
    </row>
    <row r="267" spans="2:57" x14ac:dyDescent="0.25">
      <c r="B267" s="359"/>
      <c r="C267" s="360"/>
      <c r="D267" s="360"/>
      <c r="E267" s="363"/>
      <c r="F267" s="363"/>
      <c r="G267" s="1288"/>
      <c r="H267" s="1289"/>
      <c r="I267" s="1288"/>
      <c r="J267" s="1288"/>
      <c r="K267" s="1288"/>
      <c r="L267" s="1288"/>
      <c r="M267" s="1288"/>
      <c r="N267" s="1288"/>
      <c r="O267" s="1288"/>
      <c r="P267" s="1288"/>
      <c r="Q267" s="1288"/>
      <c r="R267" s="1288"/>
      <c r="S267" s="1288"/>
      <c r="T267" s="1288"/>
      <c r="U267" s="1288"/>
      <c r="V267" s="1288"/>
      <c r="W267" s="1288"/>
      <c r="X267" s="1288"/>
      <c r="Y267" s="1288"/>
      <c r="Z267" s="1288"/>
      <c r="AA267" s="1288"/>
      <c r="AB267" s="1288"/>
      <c r="AC267" s="1288"/>
      <c r="AD267" s="1288"/>
      <c r="AE267" s="1288"/>
      <c r="AF267" s="1288"/>
      <c r="AG267" s="1288"/>
      <c r="AH267" s="1288"/>
      <c r="AI267" s="1288"/>
      <c r="AJ267" s="1288"/>
      <c r="AK267" s="1288"/>
      <c r="AL267" s="1288"/>
      <c r="AM267" s="1288"/>
      <c r="AN267" s="1288"/>
      <c r="AO267" s="1288"/>
      <c r="AP267" s="1288"/>
      <c r="AQ267" s="1288"/>
      <c r="AR267" s="1288"/>
      <c r="AS267" s="1288"/>
      <c r="AT267" s="1288"/>
      <c r="AU267" s="1288"/>
      <c r="AV267" s="1288"/>
      <c r="AW267" s="1288"/>
      <c r="AX267" s="1288"/>
      <c r="AY267" s="1288"/>
      <c r="AZ267" s="1288"/>
      <c r="BA267" s="1288"/>
      <c r="BB267" s="1288"/>
      <c r="BC267" s="1288"/>
      <c r="BD267" s="1288"/>
      <c r="BE267" s="1291"/>
    </row>
    <row r="268" spans="2:57" x14ac:dyDescent="0.25">
      <c r="B268" s="359" t="s">
        <v>101</v>
      </c>
      <c r="C268" s="360"/>
      <c r="D268" s="360"/>
      <c r="E268" s="363"/>
      <c r="F268" s="363" t="s">
        <v>631</v>
      </c>
      <c r="G268" s="1288"/>
      <c r="H268" s="1288">
        <f>H846</f>
        <v>0</v>
      </c>
      <c r="I268" s="1288">
        <f t="shared" ref="I268:BE268" si="87">I846</f>
        <v>0</v>
      </c>
      <c r="J268" s="1288">
        <f t="shared" si="87"/>
        <v>0</v>
      </c>
      <c r="K268" s="1288">
        <f t="shared" si="87"/>
        <v>0</v>
      </c>
      <c r="L268" s="1288">
        <f t="shared" si="87"/>
        <v>0</v>
      </c>
      <c r="M268" s="1288">
        <f t="shared" si="87"/>
        <v>0</v>
      </c>
      <c r="N268" s="1288">
        <f t="shared" si="87"/>
        <v>0</v>
      </c>
      <c r="O268" s="1288">
        <f t="shared" si="87"/>
        <v>0</v>
      </c>
      <c r="P268" s="1288">
        <f t="shared" si="87"/>
        <v>0</v>
      </c>
      <c r="Q268" s="1288">
        <f t="shared" si="87"/>
        <v>0</v>
      </c>
      <c r="R268" s="1288">
        <f t="shared" si="87"/>
        <v>0</v>
      </c>
      <c r="S268" s="1288">
        <f t="shared" si="87"/>
        <v>0</v>
      </c>
      <c r="T268" s="1288">
        <f t="shared" si="87"/>
        <v>0</v>
      </c>
      <c r="U268" s="1288">
        <f t="shared" si="87"/>
        <v>0</v>
      </c>
      <c r="V268" s="1288">
        <f t="shared" si="87"/>
        <v>0</v>
      </c>
      <c r="W268" s="1288">
        <f t="shared" si="87"/>
        <v>0</v>
      </c>
      <c r="X268" s="1288">
        <f t="shared" si="87"/>
        <v>0</v>
      </c>
      <c r="Y268" s="1288">
        <f t="shared" si="87"/>
        <v>0</v>
      </c>
      <c r="Z268" s="1288">
        <f t="shared" si="87"/>
        <v>0</v>
      </c>
      <c r="AA268" s="1288">
        <f t="shared" si="87"/>
        <v>0</v>
      </c>
      <c r="AB268" s="1288">
        <f t="shared" si="87"/>
        <v>0</v>
      </c>
      <c r="AC268" s="1288">
        <f t="shared" si="87"/>
        <v>0</v>
      </c>
      <c r="AD268" s="1288">
        <f t="shared" si="87"/>
        <v>0</v>
      </c>
      <c r="AE268" s="1288">
        <f t="shared" si="87"/>
        <v>0</v>
      </c>
      <c r="AF268" s="1288">
        <f t="shared" si="87"/>
        <v>0</v>
      </c>
      <c r="AG268" s="1288">
        <f t="shared" si="87"/>
        <v>0</v>
      </c>
      <c r="AH268" s="1288">
        <f t="shared" si="87"/>
        <v>0</v>
      </c>
      <c r="AI268" s="1288">
        <f t="shared" si="87"/>
        <v>0</v>
      </c>
      <c r="AJ268" s="1288">
        <f t="shared" si="87"/>
        <v>0</v>
      </c>
      <c r="AK268" s="1288">
        <f t="shared" si="87"/>
        <v>0</v>
      </c>
      <c r="AL268" s="1288">
        <f t="shared" si="87"/>
        <v>0</v>
      </c>
      <c r="AM268" s="1288">
        <f t="shared" si="87"/>
        <v>0</v>
      </c>
      <c r="AN268" s="1288">
        <f t="shared" si="87"/>
        <v>0</v>
      </c>
      <c r="AO268" s="1288">
        <f t="shared" si="87"/>
        <v>0</v>
      </c>
      <c r="AP268" s="1288">
        <f t="shared" si="87"/>
        <v>0</v>
      </c>
      <c r="AQ268" s="1288">
        <f t="shared" si="87"/>
        <v>0</v>
      </c>
      <c r="AR268" s="1288">
        <f t="shared" si="87"/>
        <v>0</v>
      </c>
      <c r="AS268" s="1288">
        <f t="shared" si="87"/>
        <v>0</v>
      </c>
      <c r="AT268" s="1288">
        <f t="shared" si="87"/>
        <v>0</v>
      </c>
      <c r="AU268" s="1288">
        <f t="shared" si="87"/>
        <v>0</v>
      </c>
      <c r="AV268" s="1288">
        <f t="shared" si="87"/>
        <v>0</v>
      </c>
      <c r="AW268" s="1288">
        <f t="shared" si="87"/>
        <v>0</v>
      </c>
      <c r="AX268" s="1288">
        <f t="shared" si="87"/>
        <v>0</v>
      </c>
      <c r="AY268" s="1288">
        <f t="shared" si="87"/>
        <v>0</v>
      </c>
      <c r="AZ268" s="1288">
        <f t="shared" si="87"/>
        <v>0</v>
      </c>
      <c r="BA268" s="1288">
        <f t="shared" si="87"/>
        <v>0</v>
      </c>
      <c r="BB268" s="1288">
        <f t="shared" si="87"/>
        <v>0</v>
      </c>
      <c r="BC268" s="1288">
        <f t="shared" si="87"/>
        <v>0</v>
      </c>
      <c r="BD268" s="1288">
        <f t="shared" si="87"/>
        <v>0</v>
      </c>
      <c r="BE268" s="1291">
        <f t="shared" si="87"/>
        <v>0</v>
      </c>
    </row>
    <row r="269" spans="2:57" x14ac:dyDescent="0.25">
      <c r="B269" s="359"/>
      <c r="C269" s="360"/>
      <c r="D269" s="360"/>
      <c r="E269" s="363"/>
      <c r="F269" s="363"/>
      <c r="G269" s="1288"/>
      <c r="H269" s="1288"/>
      <c r="I269" s="1288"/>
      <c r="J269" s="1288"/>
      <c r="K269" s="1288"/>
      <c r="L269" s="1288"/>
      <c r="M269" s="1288"/>
      <c r="N269" s="1288"/>
      <c r="O269" s="1288"/>
      <c r="P269" s="1288"/>
      <c r="Q269" s="1288"/>
      <c r="R269" s="1288"/>
      <c r="S269" s="1288"/>
      <c r="T269" s="1288"/>
      <c r="U269" s="1288"/>
      <c r="V269" s="1288"/>
      <c r="W269" s="1288"/>
      <c r="X269" s="1288"/>
      <c r="Y269" s="1288"/>
      <c r="Z269" s="1288"/>
      <c r="AA269" s="1288"/>
      <c r="AB269" s="1288"/>
      <c r="AC269" s="1288"/>
      <c r="AD269" s="1288"/>
      <c r="AE269" s="1288"/>
      <c r="AF269" s="1288"/>
      <c r="AG269" s="1288"/>
      <c r="AH269" s="1288"/>
      <c r="AI269" s="1288"/>
      <c r="AJ269" s="1288"/>
      <c r="AK269" s="1288"/>
      <c r="AL269" s="1288"/>
      <c r="AM269" s="1288"/>
      <c r="AN269" s="1288"/>
      <c r="AO269" s="1288"/>
      <c r="AP269" s="1288"/>
      <c r="AQ269" s="1288"/>
      <c r="AR269" s="1288"/>
      <c r="AS269" s="1288"/>
      <c r="AT269" s="1288"/>
      <c r="AU269" s="1288"/>
      <c r="AV269" s="1288"/>
      <c r="AW269" s="1288"/>
      <c r="AX269" s="1288"/>
      <c r="AY269" s="1288"/>
      <c r="AZ269" s="1288"/>
      <c r="BA269" s="1288"/>
      <c r="BB269" s="1288"/>
      <c r="BC269" s="1288"/>
      <c r="BD269" s="1288"/>
      <c r="BE269" s="1291"/>
    </row>
    <row r="270" spans="2:57" x14ac:dyDescent="0.25">
      <c r="B270" s="359" t="s">
        <v>257</v>
      </c>
      <c r="C270" s="360"/>
      <c r="D270" s="360"/>
      <c r="E270" s="363"/>
      <c r="F270" s="363" t="s">
        <v>631</v>
      </c>
      <c r="G270" s="1288"/>
      <c r="H270" s="1288">
        <f>H694</f>
        <v>0</v>
      </c>
      <c r="I270" s="1288">
        <f t="shared" ref="I270:BE270" si="88">I694</f>
        <v>0</v>
      </c>
      <c r="J270" s="1288">
        <f t="shared" si="88"/>
        <v>0</v>
      </c>
      <c r="K270" s="1288">
        <f t="shared" si="88"/>
        <v>0</v>
      </c>
      <c r="L270" s="1288">
        <f t="shared" si="88"/>
        <v>0</v>
      </c>
      <c r="M270" s="1288">
        <f t="shared" si="88"/>
        <v>0</v>
      </c>
      <c r="N270" s="1288">
        <f t="shared" si="88"/>
        <v>0</v>
      </c>
      <c r="O270" s="1288">
        <f t="shared" si="88"/>
        <v>0</v>
      </c>
      <c r="P270" s="1288">
        <f t="shared" si="88"/>
        <v>0</v>
      </c>
      <c r="Q270" s="1288">
        <f t="shared" si="88"/>
        <v>0</v>
      </c>
      <c r="R270" s="1288">
        <f t="shared" si="88"/>
        <v>0</v>
      </c>
      <c r="S270" s="1288">
        <f t="shared" si="88"/>
        <v>0</v>
      </c>
      <c r="T270" s="1288">
        <f t="shared" si="88"/>
        <v>0</v>
      </c>
      <c r="U270" s="1288">
        <f t="shared" si="88"/>
        <v>0</v>
      </c>
      <c r="V270" s="1288">
        <f t="shared" si="88"/>
        <v>0</v>
      </c>
      <c r="W270" s="1288">
        <f t="shared" si="88"/>
        <v>0</v>
      </c>
      <c r="X270" s="1288">
        <f t="shared" si="88"/>
        <v>0</v>
      </c>
      <c r="Y270" s="1288">
        <f t="shared" si="88"/>
        <v>0</v>
      </c>
      <c r="Z270" s="1288">
        <f t="shared" si="88"/>
        <v>0</v>
      </c>
      <c r="AA270" s="1288">
        <f t="shared" si="88"/>
        <v>0</v>
      </c>
      <c r="AB270" s="1288">
        <f t="shared" si="88"/>
        <v>0</v>
      </c>
      <c r="AC270" s="1288">
        <f t="shared" si="88"/>
        <v>0</v>
      </c>
      <c r="AD270" s="1288">
        <f t="shared" si="88"/>
        <v>0</v>
      </c>
      <c r="AE270" s="1288">
        <f t="shared" si="88"/>
        <v>0</v>
      </c>
      <c r="AF270" s="1288">
        <f t="shared" si="88"/>
        <v>0</v>
      </c>
      <c r="AG270" s="1288">
        <f t="shared" si="88"/>
        <v>0</v>
      </c>
      <c r="AH270" s="1288">
        <f t="shared" si="88"/>
        <v>0</v>
      </c>
      <c r="AI270" s="1288">
        <f t="shared" si="88"/>
        <v>0</v>
      </c>
      <c r="AJ270" s="1288">
        <f t="shared" si="88"/>
        <v>0</v>
      </c>
      <c r="AK270" s="1288">
        <f t="shared" si="88"/>
        <v>0</v>
      </c>
      <c r="AL270" s="1288">
        <f t="shared" si="88"/>
        <v>0</v>
      </c>
      <c r="AM270" s="1288">
        <f t="shared" si="88"/>
        <v>0</v>
      </c>
      <c r="AN270" s="1288">
        <f t="shared" si="88"/>
        <v>0</v>
      </c>
      <c r="AO270" s="1288">
        <f t="shared" si="88"/>
        <v>0</v>
      </c>
      <c r="AP270" s="1288">
        <f t="shared" si="88"/>
        <v>0</v>
      </c>
      <c r="AQ270" s="1288">
        <f t="shared" si="88"/>
        <v>0</v>
      </c>
      <c r="AR270" s="1288">
        <f t="shared" si="88"/>
        <v>0</v>
      </c>
      <c r="AS270" s="1288">
        <f t="shared" si="88"/>
        <v>0</v>
      </c>
      <c r="AT270" s="1288">
        <f t="shared" si="88"/>
        <v>0</v>
      </c>
      <c r="AU270" s="1288">
        <f t="shared" si="88"/>
        <v>0</v>
      </c>
      <c r="AV270" s="1288">
        <f t="shared" si="88"/>
        <v>0</v>
      </c>
      <c r="AW270" s="1288">
        <f t="shared" si="88"/>
        <v>0</v>
      </c>
      <c r="AX270" s="1288">
        <f t="shared" si="88"/>
        <v>0</v>
      </c>
      <c r="AY270" s="1288">
        <f t="shared" si="88"/>
        <v>0</v>
      </c>
      <c r="AZ270" s="1288">
        <f t="shared" si="88"/>
        <v>0</v>
      </c>
      <c r="BA270" s="1288">
        <f t="shared" si="88"/>
        <v>0</v>
      </c>
      <c r="BB270" s="1288">
        <f t="shared" si="88"/>
        <v>0</v>
      </c>
      <c r="BC270" s="1288">
        <f t="shared" si="88"/>
        <v>0</v>
      </c>
      <c r="BD270" s="1288">
        <f t="shared" si="88"/>
        <v>0</v>
      </c>
      <c r="BE270" s="1291">
        <f t="shared" si="88"/>
        <v>0</v>
      </c>
    </row>
    <row r="271" spans="2:57" x14ac:dyDescent="0.25">
      <c r="B271" s="359" t="s">
        <v>189</v>
      </c>
      <c r="C271" s="360"/>
      <c r="D271" s="360"/>
      <c r="E271" s="363"/>
      <c r="F271" s="363" t="s">
        <v>631</v>
      </c>
      <c r="G271" s="1288"/>
      <c r="H271" s="1288">
        <f>H715</f>
        <v>0</v>
      </c>
      <c r="I271" s="1288">
        <f t="shared" ref="I271:BE271" si="89">I715</f>
        <v>0</v>
      </c>
      <c r="J271" s="1288">
        <f t="shared" si="89"/>
        <v>0</v>
      </c>
      <c r="K271" s="1288">
        <f t="shared" si="89"/>
        <v>0</v>
      </c>
      <c r="L271" s="1288">
        <f t="shared" si="89"/>
        <v>0</v>
      </c>
      <c r="M271" s="1288">
        <f t="shared" si="89"/>
        <v>0</v>
      </c>
      <c r="N271" s="1288">
        <f t="shared" si="89"/>
        <v>0</v>
      </c>
      <c r="O271" s="1288">
        <f t="shared" si="89"/>
        <v>0</v>
      </c>
      <c r="P271" s="1288">
        <f t="shared" si="89"/>
        <v>0</v>
      </c>
      <c r="Q271" s="1288">
        <f t="shared" si="89"/>
        <v>0</v>
      </c>
      <c r="R271" s="1288">
        <f t="shared" si="89"/>
        <v>0</v>
      </c>
      <c r="S271" s="1288">
        <f t="shared" si="89"/>
        <v>0</v>
      </c>
      <c r="T271" s="1288">
        <f t="shared" si="89"/>
        <v>0</v>
      </c>
      <c r="U271" s="1288">
        <f t="shared" si="89"/>
        <v>0</v>
      </c>
      <c r="V271" s="1288">
        <f t="shared" si="89"/>
        <v>0</v>
      </c>
      <c r="W271" s="1288">
        <f t="shared" si="89"/>
        <v>0</v>
      </c>
      <c r="X271" s="1288">
        <f t="shared" si="89"/>
        <v>0</v>
      </c>
      <c r="Y271" s="1288">
        <f t="shared" si="89"/>
        <v>0</v>
      </c>
      <c r="Z271" s="1288">
        <f t="shared" si="89"/>
        <v>0</v>
      </c>
      <c r="AA271" s="1288">
        <f t="shared" si="89"/>
        <v>0</v>
      </c>
      <c r="AB271" s="1288">
        <f t="shared" si="89"/>
        <v>0</v>
      </c>
      <c r="AC271" s="1288">
        <f t="shared" si="89"/>
        <v>0</v>
      </c>
      <c r="AD271" s="1288">
        <f t="shared" si="89"/>
        <v>0</v>
      </c>
      <c r="AE271" s="1288">
        <f t="shared" si="89"/>
        <v>0</v>
      </c>
      <c r="AF271" s="1288">
        <f t="shared" si="89"/>
        <v>0</v>
      </c>
      <c r="AG271" s="1288">
        <f t="shared" si="89"/>
        <v>0</v>
      </c>
      <c r="AH271" s="1288">
        <f t="shared" si="89"/>
        <v>0</v>
      </c>
      <c r="AI271" s="1288">
        <f t="shared" si="89"/>
        <v>0</v>
      </c>
      <c r="AJ271" s="1288">
        <f t="shared" si="89"/>
        <v>0</v>
      </c>
      <c r="AK271" s="1288">
        <f t="shared" si="89"/>
        <v>0</v>
      </c>
      <c r="AL271" s="1288">
        <f t="shared" si="89"/>
        <v>0</v>
      </c>
      <c r="AM271" s="1288">
        <f t="shared" si="89"/>
        <v>0</v>
      </c>
      <c r="AN271" s="1288">
        <f t="shared" si="89"/>
        <v>0</v>
      </c>
      <c r="AO271" s="1288">
        <f t="shared" si="89"/>
        <v>0</v>
      </c>
      <c r="AP271" s="1288">
        <f t="shared" si="89"/>
        <v>0</v>
      </c>
      <c r="AQ271" s="1288">
        <f t="shared" si="89"/>
        <v>0</v>
      </c>
      <c r="AR271" s="1288">
        <f t="shared" si="89"/>
        <v>0</v>
      </c>
      <c r="AS271" s="1288">
        <f t="shared" si="89"/>
        <v>0</v>
      </c>
      <c r="AT271" s="1288">
        <f t="shared" si="89"/>
        <v>0</v>
      </c>
      <c r="AU271" s="1288">
        <f t="shared" si="89"/>
        <v>0</v>
      </c>
      <c r="AV271" s="1288">
        <f t="shared" si="89"/>
        <v>0</v>
      </c>
      <c r="AW271" s="1288">
        <f t="shared" si="89"/>
        <v>0</v>
      </c>
      <c r="AX271" s="1288">
        <f t="shared" si="89"/>
        <v>0</v>
      </c>
      <c r="AY271" s="1288">
        <f t="shared" si="89"/>
        <v>0</v>
      </c>
      <c r="AZ271" s="1288">
        <f t="shared" si="89"/>
        <v>0</v>
      </c>
      <c r="BA271" s="1288">
        <f t="shared" si="89"/>
        <v>0</v>
      </c>
      <c r="BB271" s="1288">
        <f t="shared" si="89"/>
        <v>0</v>
      </c>
      <c r="BC271" s="1288">
        <f t="shared" si="89"/>
        <v>0</v>
      </c>
      <c r="BD271" s="1288">
        <f t="shared" si="89"/>
        <v>0</v>
      </c>
      <c r="BE271" s="1291">
        <f t="shared" si="89"/>
        <v>0</v>
      </c>
    </row>
    <row r="272" spans="2:57" x14ac:dyDescent="0.25">
      <c r="B272" s="359" t="s">
        <v>190</v>
      </c>
      <c r="C272" s="360"/>
      <c r="D272" s="360"/>
      <c r="E272" s="363"/>
      <c r="F272" s="363" t="s">
        <v>631</v>
      </c>
      <c r="G272" s="1288"/>
      <c r="H272" s="1288">
        <f>H736</f>
        <v>0</v>
      </c>
      <c r="I272" s="1288">
        <f t="shared" ref="I272:BE272" si="90">I736</f>
        <v>0</v>
      </c>
      <c r="J272" s="1288">
        <f t="shared" si="90"/>
        <v>0</v>
      </c>
      <c r="K272" s="1288">
        <f t="shared" si="90"/>
        <v>0</v>
      </c>
      <c r="L272" s="1288">
        <f t="shared" si="90"/>
        <v>0</v>
      </c>
      <c r="M272" s="1288">
        <f t="shared" si="90"/>
        <v>0</v>
      </c>
      <c r="N272" s="1288">
        <f t="shared" si="90"/>
        <v>0</v>
      </c>
      <c r="O272" s="1288">
        <f t="shared" si="90"/>
        <v>0</v>
      </c>
      <c r="P272" s="1288">
        <f t="shared" si="90"/>
        <v>0</v>
      </c>
      <c r="Q272" s="1288">
        <f t="shared" si="90"/>
        <v>0</v>
      </c>
      <c r="R272" s="1288">
        <f t="shared" si="90"/>
        <v>0</v>
      </c>
      <c r="S272" s="1288">
        <f t="shared" si="90"/>
        <v>0</v>
      </c>
      <c r="T272" s="1288">
        <f t="shared" si="90"/>
        <v>0</v>
      </c>
      <c r="U272" s="1288">
        <f t="shared" si="90"/>
        <v>0</v>
      </c>
      <c r="V272" s="1288">
        <f t="shared" si="90"/>
        <v>0</v>
      </c>
      <c r="W272" s="1288">
        <f t="shared" si="90"/>
        <v>0</v>
      </c>
      <c r="X272" s="1288">
        <f t="shared" si="90"/>
        <v>0</v>
      </c>
      <c r="Y272" s="1288">
        <f t="shared" si="90"/>
        <v>0</v>
      </c>
      <c r="Z272" s="1288">
        <f t="shared" si="90"/>
        <v>0</v>
      </c>
      <c r="AA272" s="1288">
        <f t="shared" si="90"/>
        <v>0</v>
      </c>
      <c r="AB272" s="1288">
        <f t="shared" si="90"/>
        <v>0</v>
      </c>
      <c r="AC272" s="1288">
        <f t="shared" si="90"/>
        <v>0</v>
      </c>
      <c r="AD272" s="1288">
        <f t="shared" si="90"/>
        <v>0</v>
      </c>
      <c r="AE272" s="1288">
        <f t="shared" si="90"/>
        <v>0</v>
      </c>
      <c r="AF272" s="1288">
        <f t="shared" si="90"/>
        <v>0</v>
      </c>
      <c r="AG272" s="1288">
        <f t="shared" si="90"/>
        <v>0</v>
      </c>
      <c r="AH272" s="1288">
        <f t="shared" si="90"/>
        <v>0</v>
      </c>
      <c r="AI272" s="1288">
        <f t="shared" si="90"/>
        <v>0</v>
      </c>
      <c r="AJ272" s="1288">
        <f t="shared" si="90"/>
        <v>0</v>
      </c>
      <c r="AK272" s="1288">
        <f t="shared" si="90"/>
        <v>0</v>
      </c>
      <c r="AL272" s="1288">
        <f t="shared" si="90"/>
        <v>0</v>
      </c>
      <c r="AM272" s="1288">
        <f t="shared" si="90"/>
        <v>0</v>
      </c>
      <c r="AN272" s="1288">
        <f t="shared" si="90"/>
        <v>0</v>
      </c>
      <c r="AO272" s="1288">
        <f t="shared" si="90"/>
        <v>0</v>
      </c>
      <c r="AP272" s="1288">
        <f t="shared" si="90"/>
        <v>0</v>
      </c>
      <c r="AQ272" s="1288">
        <f t="shared" si="90"/>
        <v>0</v>
      </c>
      <c r="AR272" s="1288">
        <f t="shared" si="90"/>
        <v>0</v>
      </c>
      <c r="AS272" s="1288">
        <f t="shared" si="90"/>
        <v>0</v>
      </c>
      <c r="AT272" s="1288">
        <f t="shared" si="90"/>
        <v>0</v>
      </c>
      <c r="AU272" s="1288">
        <f t="shared" si="90"/>
        <v>0</v>
      </c>
      <c r="AV272" s="1288">
        <f t="shared" si="90"/>
        <v>0</v>
      </c>
      <c r="AW272" s="1288">
        <f t="shared" si="90"/>
        <v>0</v>
      </c>
      <c r="AX272" s="1288">
        <f t="shared" si="90"/>
        <v>0</v>
      </c>
      <c r="AY272" s="1288">
        <f t="shared" si="90"/>
        <v>0</v>
      </c>
      <c r="AZ272" s="1288">
        <f t="shared" si="90"/>
        <v>0</v>
      </c>
      <c r="BA272" s="1288">
        <f t="shared" si="90"/>
        <v>0</v>
      </c>
      <c r="BB272" s="1288">
        <f t="shared" si="90"/>
        <v>0</v>
      </c>
      <c r="BC272" s="1288">
        <f t="shared" si="90"/>
        <v>0</v>
      </c>
      <c r="BD272" s="1288">
        <f t="shared" si="90"/>
        <v>0</v>
      </c>
      <c r="BE272" s="1291">
        <f t="shared" si="90"/>
        <v>0</v>
      </c>
    </row>
    <row r="273" spans="2:57" x14ac:dyDescent="0.25">
      <c r="B273" s="359" t="s">
        <v>132</v>
      </c>
      <c r="C273" s="360"/>
      <c r="D273" s="360"/>
      <c r="E273" s="363"/>
      <c r="F273" s="363" t="s">
        <v>631</v>
      </c>
      <c r="G273" s="1288"/>
      <c r="H273" s="1288">
        <f>(H705+H726+H747)</f>
        <v>0</v>
      </c>
      <c r="I273" s="1288">
        <f t="shared" ref="I273:BE273" si="91">(I705+I726+I747)</f>
        <v>0</v>
      </c>
      <c r="J273" s="1288">
        <f t="shared" si="91"/>
        <v>0</v>
      </c>
      <c r="K273" s="1288">
        <f t="shared" si="91"/>
        <v>0</v>
      </c>
      <c r="L273" s="1288">
        <f t="shared" si="91"/>
        <v>0</v>
      </c>
      <c r="M273" s="1288">
        <f t="shared" si="91"/>
        <v>0</v>
      </c>
      <c r="N273" s="1288">
        <f t="shared" si="91"/>
        <v>0</v>
      </c>
      <c r="O273" s="1288">
        <f t="shared" si="91"/>
        <v>0</v>
      </c>
      <c r="P273" s="1288">
        <f t="shared" si="91"/>
        <v>0</v>
      </c>
      <c r="Q273" s="1288">
        <f t="shared" si="91"/>
        <v>0</v>
      </c>
      <c r="R273" s="1288">
        <f t="shared" si="91"/>
        <v>0</v>
      </c>
      <c r="S273" s="1288">
        <f t="shared" si="91"/>
        <v>0</v>
      </c>
      <c r="T273" s="1288">
        <f t="shared" si="91"/>
        <v>0</v>
      </c>
      <c r="U273" s="1288">
        <f t="shared" si="91"/>
        <v>0</v>
      </c>
      <c r="V273" s="1288">
        <f t="shared" si="91"/>
        <v>0</v>
      </c>
      <c r="W273" s="1288">
        <f t="shared" si="91"/>
        <v>0</v>
      </c>
      <c r="X273" s="1288">
        <f t="shared" si="91"/>
        <v>0</v>
      </c>
      <c r="Y273" s="1288">
        <f t="shared" si="91"/>
        <v>0</v>
      </c>
      <c r="Z273" s="1288">
        <f t="shared" si="91"/>
        <v>0</v>
      </c>
      <c r="AA273" s="1288">
        <f t="shared" si="91"/>
        <v>0</v>
      </c>
      <c r="AB273" s="1288">
        <f t="shared" si="91"/>
        <v>0</v>
      </c>
      <c r="AC273" s="1288">
        <f t="shared" si="91"/>
        <v>0</v>
      </c>
      <c r="AD273" s="1288">
        <f t="shared" si="91"/>
        <v>0</v>
      </c>
      <c r="AE273" s="1288">
        <f t="shared" si="91"/>
        <v>0</v>
      </c>
      <c r="AF273" s="1288">
        <f t="shared" si="91"/>
        <v>0</v>
      </c>
      <c r="AG273" s="1288">
        <f t="shared" si="91"/>
        <v>0</v>
      </c>
      <c r="AH273" s="1288">
        <f t="shared" si="91"/>
        <v>0</v>
      </c>
      <c r="AI273" s="1288">
        <f t="shared" si="91"/>
        <v>0</v>
      </c>
      <c r="AJ273" s="1288">
        <f t="shared" si="91"/>
        <v>0</v>
      </c>
      <c r="AK273" s="1288">
        <f t="shared" si="91"/>
        <v>0</v>
      </c>
      <c r="AL273" s="1288">
        <f t="shared" si="91"/>
        <v>0</v>
      </c>
      <c r="AM273" s="1288">
        <f t="shared" si="91"/>
        <v>0</v>
      </c>
      <c r="AN273" s="1288">
        <f t="shared" si="91"/>
        <v>0</v>
      </c>
      <c r="AO273" s="1288">
        <f t="shared" si="91"/>
        <v>0</v>
      </c>
      <c r="AP273" s="1288">
        <f t="shared" si="91"/>
        <v>0</v>
      </c>
      <c r="AQ273" s="1288">
        <f t="shared" si="91"/>
        <v>0</v>
      </c>
      <c r="AR273" s="1288">
        <f t="shared" si="91"/>
        <v>0</v>
      </c>
      <c r="AS273" s="1288">
        <f t="shared" si="91"/>
        <v>0</v>
      </c>
      <c r="AT273" s="1288">
        <f t="shared" si="91"/>
        <v>0</v>
      </c>
      <c r="AU273" s="1288">
        <f t="shared" si="91"/>
        <v>0</v>
      </c>
      <c r="AV273" s="1288">
        <f t="shared" si="91"/>
        <v>0</v>
      </c>
      <c r="AW273" s="1288">
        <f t="shared" si="91"/>
        <v>0</v>
      </c>
      <c r="AX273" s="1288">
        <f t="shared" si="91"/>
        <v>0</v>
      </c>
      <c r="AY273" s="1288">
        <f t="shared" si="91"/>
        <v>0</v>
      </c>
      <c r="AZ273" s="1288">
        <f t="shared" si="91"/>
        <v>0</v>
      </c>
      <c r="BA273" s="1288">
        <f t="shared" si="91"/>
        <v>0</v>
      </c>
      <c r="BB273" s="1288">
        <f t="shared" si="91"/>
        <v>0</v>
      </c>
      <c r="BC273" s="1288">
        <f t="shared" si="91"/>
        <v>0</v>
      </c>
      <c r="BD273" s="1288">
        <f t="shared" si="91"/>
        <v>0</v>
      </c>
      <c r="BE273" s="1291">
        <f t="shared" si="91"/>
        <v>0</v>
      </c>
    </row>
    <row r="274" spans="2:57" x14ac:dyDescent="0.25">
      <c r="B274" s="359" t="s">
        <v>191</v>
      </c>
      <c r="C274" s="360"/>
      <c r="D274" s="360"/>
      <c r="E274" s="363"/>
      <c r="F274" s="363" t="s">
        <v>631</v>
      </c>
      <c r="G274" s="1288"/>
      <c r="H274" s="1288">
        <f>(H727+H728)</f>
        <v>0</v>
      </c>
      <c r="I274" s="1288">
        <f t="shared" ref="I274:BE274" si="92">(I727+I728)</f>
        <v>0</v>
      </c>
      <c r="J274" s="1288">
        <f t="shared" si="92"/>
        <v>0</v>
      </c>
      <c r="K274" s="1288">
        <f t="shared" si="92"/>
        <v>0</v>
      </c>
      <c r="L274" s="1288">
        <f t="shared" si="92"/>
        <v>0</v>
      </c>
      <c r="M274" s="1288">
        <f t="shared" si="92"/>
        <v>0</v>
      </c>
      <c r="N274" s="1288">
        <f t="shared" si="92"/>
        <v>0</v>
      </c>
      <c r="O274" s="1288">
        <f t="shared" si="92"/>
        <v>0</v>
      </c>
      <c r="P274" s="1288">
        <f t="shared" si="92"/>
        <v>0</v>
      </c>
      <c r="Q274" s="1288">
        <f t="shared" si="92"/>
        <v>0</v>
      </c>
      <c r="R274" s="1288">
        <f t="shared" si="92"/>
        <v>0</v>
      </c>
      <c r="S274" s="1288">
        <f t="shared" si="92"/>
        <v>0</v>
      </c>
      <c r="T274" s="1288">
        <f t="shared" si="92"/>
        <v>0</v>
      </c>
      <c r="U274" s="1288">
        <f t="shared" si="92"/>
        <v>0</v>
      </c>
      <c r="V274" s="1288">
        <f t="shared" si="92"/>
        <v>0</v>
      </c>
      <c r="W274" s="1288">
        <f t="shared" si="92"/>
        <v>0</v>
      </c>
      <c r="X274" s="1288">
        <f t="shared" si="92"/>
        <v>0</v>
      </c>
      <c r="Y274" s="1288">
        <f t="shared" si="92"/>
        <v>0</v>
      </c>
      <c r="Z274" s="1288">
        <f t="shared" si="92"/>
        <v>0</v>
      </c>
      <c r="AA274" s="1288">
        <f t="shared" si="92"/>
        <v>0</v>
      </c>
      <c r="AB274" s="1288">
        <f t="shared" si="92"/>
        <v>0</v>
      </c>
      <c r="AC274" s="1288">
        <f t="shared" si="92"/>
        <v>0</v>
      </c>
      <c r="AD274" s="1288">
        <f t="shared" si="92"/>
        <v>0</v>
      </c>
      <c r="AE274" s="1288">
        <f t="shared" si="92"/>
        <v>0</v>
      </c>
      <c r="AF274" s="1288">
        <f t="shared" si="92"/>
        <v>0</v>
      </c>
      <c r="AG274" s="1288">
        <f t="shared" si="92"/>
        <v>0</v>
      </c>
      <c r="AH274" s="1288">
        <f t="shared" si="92"/>
        <v>0</v>
      </c>
      <c r="AI274" s="1288">
        <f t="shared" si="92"/>
        <v>0</v>
      </c>
      <c r="AJ274" s="1288">
        <f t="shared" si="92"/>
        <v>0</v>
      </c>
      <c r="AK274" s="1288">
        <f t="shared" si="92"/>
        <v>0</v>
      </c>
      <c r="AL274" s="1288">
        <f t="shared" si="92"/>
        <v>0</v>
      </c>
      <c r="AM274" s="1288">
        <f t="shared" si="92"/>
        <v>0</v>
      </c>
      <c r="AN274" s="1288">
        <f t="shared" si="92"/>
        <v>0</v>
      </c>
      <c r="AO274" s="1288">
        <f t="shared" si="92"/>
        <v>0</v>
      </c>
      <c r="AP274" s="1288">
        <f t="shared" si="92"/>
        <v>0</v>
      </c>
      <c r="AQ274" s="1288">
        <f t="shared" si="92"/>
        <v>0</v>
      </c>
      <c r="AR274" s="1288">
        <f t="shared" si="92"/>
        <v>0</v>
      </c>
      <c r="AS274" s="1288">
        <f t="shared" si="92"/>
        <v>0</v>
      </c>
      <c r="AT274" s="1288">
        <f t="shared" si="92"/>
        <v>0</v>
      </c>
      <c r="AU274" s="1288">
        <f t="shared" si="92"/>
        <v>0</v>
      </c>
      <c r="AV274" s="1288">
        <f t="shared" si="92"/>
        <v>0</v>
      </c>
      <c r="AW274" s="1288">
        <f t="shared" si="92"/>
        <v>0</v>
      </c>
      <c r="AX274" s="1288">
        <f t="shared" si="92"/>
        <v>0</v>
      </c>
      <c r="AY274" s="1288">
        <f t="shared" si="92"/>
        <v>0</v>
      </c>
      <c r="AZ274" s="1288">
        <f t="shared" si="92"/>
        <v>0</v>
      </c>
      <c r="BA274" s="1288">
        <f t="shared" si="92"/>
        <v>0</v>
      </c>
      <c r="BB274" s="1288">
        <f t="shared" si="92"/>
        <v>0</v>
      </c>
      <c r="BC274" s="1288">
        <f t="shared" si="92"/>
        <v>0</v>
      </c>
      <c r="BD274" s="1288">
        <f t="shared" si="92"/>
        <v>0</v>
      </c>
      <c r="BE274" s="1291">
        <f t="shared" si="92"/>
        <v>0</v>
      </c>
    </row>
    <row r="275" spans="2:57" x14ac:dyDescent="0.25">
      <c r="B275" s="359" t="s">
        <v>134</v>
      </c>
      <c r="C275" s="360"/>
      <c r="D275" s="360"/>
      <c r="E275" s="363"/>
      <c r="F275" s="363" t="s">
        <v>631</v>
      </c>
      <c r="G275" s="1288"/>
      <c r="H275" s="1288">
        <f>(H757+H758)</f>
        <v>0</v>
      </c>
      <c r="I275" s="1288">
        <f t="shared" ref="I275:BE275" si="93">(I757+I758)</f>
        <v>0</v>
      </c>
      <c r="J275" s="1288">
        <f t="shared" si="93"/>
        <v>0</v>
      </c>
      <c r="K275" s="1288">
        <f t="shared" si="93"/>
        <v>0</v>
      </c>
      <c r="L275" s="1288">
        <f t="shared" si="93"/>
        <v>0</v>
      </c>
      <c r="M275" s="1288">
        <f t="shared" si="93"/>
        <v>0</v>
      </c>
      <c r="N275" s="1288">
        <f t="shared" si="93"/>
        <v>0</v>
      </c>
      <c r="O275" s="1288">
        <f t="shared" si="93"/>
        <v>0</v>
      </c>
      <c r="P275" s="1288">
        <f t="shared" si="93"/>
        <v>0</v>
      </c>
      <c r="Q275" s="1288">
        <f t="shared" si="93"/>
        <v>0</v>
      </c>
      <c r="R275" s="1288">
        <f t="shared" si="93"/>
        <v>0</v>
      </c>
      <c r="S275" s="1288">
        <f t="shared" si="93"/>
        <v>0</v>
      </c>
      <c r="T275" s="1288">
        <f t="shared" si="93"/>
        <v>0</v>
      </c>
      <c r="U275" s="1288">
        <f t="shared" si="93"/>
        <v>0</v>
      </c>
      <c r="V275" s="1288">
        <f t="shared" si="93"/>
        <v>0</v>
      </c>
      <c r="W275" s="1288">
        <f t="shared" si="93"/>
        <v>0</v>
      </c>
      <c r="X275" s="1288">
        <f t="shared" si="93"/>
        <v>0</v>
      </c>
      <c r="Y275" s="1288">
        <f t="shared" si="93"/>
        <v>0</v>
      </c>
      <c r="Z275" s="1288">
        <f t="shared" si="93"/>
        <v>0</v>
      </c>
      <c r="AA275" s="1288">
        <f t="shared" si="93"/>
        <v>0</v>
      </c>
      <c r="AB275" s="1288">
        <f t="shared" si="93"/>
        <v>0</v>
      </c>
      <c r="AC275" s="1288">
        <f t="shared" si="93"/>
        <v>0</v>
      </c>
      <c r="AD275" s="1288">
        <f t="shared" si="93"/>
        <v>0</v>
      </c>
      <c r="AE275" s="1288">
        <f t="shared" si="93"/>
        <v>0</v>
      </c>
      <c r="AF275" s="1288">
        <f t="shared" si="93"/>
        <v>0</v>
      </c>
      <c r="AG275" s="1288">
        <f t="shared" si="93"/>
        <v>0</v>
      </c>
      <c r="AH275" s="1288">
        <f t="shared" si="93"/>
        <v>0</v>
      </c>
      <c r="AI275" s="1288">
        <f t="shared" si="93"/>
        <v>0</v>
      </c>
      <c r="AJ275" s="1288">
        <f t="shared" si="93"/>
        <v>0</v>
      </c>
      <c r="AK275" s="1288">
        <f t="shared" si="93"/>
        <v>0</v>
      </c>
      <c r="AL275" s="1288">
        <f t="shared" si="93"/>
        <v>0</v>
      </c>
      <c r="AM275" s="1288">
        <f t="shared" si="93"/>
        <v>0</v>
      </c>
      <c r="AN275" s="1288">
        <f t="shared" si="93"/>
        <v>0</v>
      </c>
      <c r="AO275" s="1288">
        <f t="shared" si="93"/>
        <v>0</v>
      </c>
      <c r="AP275" s="1288">
        <f t="shared" si="93"/>
        <v>0</v>
      </c>
      <c r="AQ275" s="1288">
        <f t="shared" si="93"/>
        <v>0</v>
      </c>
      <c r="AR275" s="1288">
        <f t="shared" si="93"/>
        <v>0</v>
      </c>
      <c r="AS275" s="1288">
        <f t="shared" si="93"/>
        <v>0</v>
      </c>
      <c r="AT275" s="1288">
        <f t="shared" si="93"/>
        <v>0</v>
      </c>
      <c r="AU275" s="1288">
        <f t="shared" si="93"/>
        <v>0</v>
      </c>
      <c r="AV275" s="1288">
        <f t="shared" si="93"/>
        <v>0</v>
      </c>
      <c r="AW275" s="1288">
        <f t="shared" si="93"/>
        <v>0</v>
      </c>
      <c r="AX275" s="1288">
        <f t="shared" si="93"/>
        <v>0</v>
      </c>
      <c r="AY275" s="1288">
        <f t="shared" si="93"/>
        <v>0</v>
      </c>
      <c r="AZ275" s="1288">
        <f t="shared" si="93"/>
        <v>0</v>
      </c>
      <c r="BA275" s="1288">
        <f t="shared" si="93"/>
        <v>0</v>
      </c>
      <c r="BB275" s="1288">
        <f t="shared" si="93"/>
        <v>0</v>
      </c>
      <c r="BC275" s="1288">
        <f t="shared" si="93"/>
        <v>0</v>
      </c>
      <c r="BD275" s="1288">
        <f t="shared" si="93"/>
        <v>0</v>
      </c>
      <c r="BE275" s="1291">
        <f t="shared" si="93"/>
        <v>0</v>
      </c>
    </row>
    <row r="276" spans="2:57" x14ac:dyDescent="0.25">
      <c r="B276" s="359"/>
      <c r="C276" s="360"/>
      <c r="D276" s="360"/>
      <c r="E276" s="363"/>
      <c r="F276" s="363"/>
      <c r="G276" s="1288"/>
      <c r="H276" s="1288"/>
      <c r="I276" s="1288"/>
      <c r="J276" s="1288"/>
      <c r="K276" s="1288"/>
      <c r="L276" s="1288"/>
      <c r="M276" s="1288"/>
      <c r="N276" s="1288"/>
      <c r="O276" s="1288"/>
      <c r="P276" s="1288"/>
      <c r="Q276" s="1288"/>
      <c r="R276" s="1288"/>
      <c r="S276" s="1288"/>
      <c r="T276" s="1288"/>
      <c r="U276" s="1288"/>
      <c r="V276" s="1288"/>
      <c r="W276" s="1288"/>
      <c r="X276" s="1288"/>
      <c r="Y276" s="1288"/>
      <c r="Z276" s="1288"/>
      <c r="AA276" s="1288"/>
      <c r="AB276" s="1288"/>
      <c r="AC276" s="1288"/>
      <c r="AD276" s="1288"/>
      <c r="AE276" s="1288"/>
      <c r="AF276" s="1288"/>
      <c r="AG276" s="1288"/>
      <c r="AH276" s="1288"/>
      <c r="AI276" s="1288"/>
      <c r="AJ276" s="1288"/>
      <c r="AK276" s="1288"/>
      <c r="AL276" s="1288"/>
      <c r="AM276" s="1288"/>
      <c r="AN276" s="1288"/>
      <c r="AO276" s="1288"/>
      <c r="AP276" s="1288"/>
      <c r="AQ276" s="1288"/>
      <c r="AR276" s="1288"/>
      <c r="AS276" s="1288"/>
      <c r="AT276" s="1288"/>
      <c r="AU276" s="1288"/>
      <c r="AV276" s="1288"/>
      <c r="AW276" s="1288"/>
      <c r="AX276" s="1288"/>
      <c r="AY276" s="1288"/>
      <c r="AZ276" s="1288"/>
      <c r="BA276" s="1288"/>
      <c r="BB276" s="1288"/>
      <c r="BC276" s="1288"/>
      <c r="BD276" s="1288"/>
      <c r="BE276" s="1291"/>
    </row>
    <row r="277" spans="2:57" x14ac:dyDescent="0.25">
      <c r="B277" s="359"/>
      <c r="C277" s="360"/>
      <c r="D277" s="360"/>
      <c r="E277" s="363"/>
      <c r="F277" s="363"/>
      <c r="G277" s="1288"/>
      <c r="H277" s="1288"/>
      <c r="I277" s="1288"/>
      <c r="J277" s="1288"/>
      <c r="K277" s="1288"/>
      <c r="L277" s="1288"/>
      <c r="M277" s="1288"/>
      <c r="N277" s="1288"/>
      <c r="O277" s="1288"/>
      <c r="P277" s="1288"/>
      <c r="Q277" s="1288"/>
      <c r="R277" s="1288"/>
      <c r="S277" s="1288"/>
      <c r="T277" s="1288"/>
      <c r="U277" s="1288"/>
      <c r="V277" s="1288"/>
      <c r="W277" s="1288"/>
      <c r="X277" s="1288"/>
      <c r="Y277" s="1288"/>
      <c r="Z277" s="1288"/>
      <c r="AA277" s="1288"/>
      <c r="AB277" s="1288"/>
      <c r="AC277" s="1288"/>
      <c r="AD277" s="1288"/>
      <c r="AE277" s="1288"/>
      <c r="AF277" s="1288"/>
      <c r="AG277" s="1288"/>
      <c r="AH277" s="1288"/>
      <c r="AI277" s="1288"/>
      <c r="AJ277" s="1288"/>
      <c r="AK277" s="1288"/>
      <c r="AL277" s="1288"/>
      <c r="AM277" s="1288"/>
      <c r="AN277" s="1288"/>
      <c r="AO277" s="1288"/>
      <c r="AP277" s="1288"/>
      <c r="AQ277" s="1288"/>
      <c r="AR277" s="1288"/>
      <c r="AS277" s="1288"/>
      <c r="AT277" s="1288"/>
      <c r="AU277" s="1288"/>
      <c r="AV277" s="1288"/>
      <c r="AW277" s="1288"/>
      <c r="AX277" s="1288"/>
      <c r="AY277" s="1288"/>
      <c r="AZ277" s="1288"/>
      <c r="BA277" s="1288"/>
      <c r="BB277" s="1288"/>
      <c r="BC277" s="1288"/>
      <c r="BD277" s="1288"/>
      <c r="BE277" s="1291"/>
    </row>
    <row r="278" spans="2:57" x14ac:dyDescent="0.25">
      <c r="B278" s="371" t="s">
        <v>133</v>
      </c>
      <c r="C278" s="360"/>
      <c r="D278" s="360"/>
      <c r="E278" s="363"/>
      <c r="F278" s="363"/>
      <c r="G278" s="1288"/>
      <c r="H278" s="1288"/>
      <c r="I278" s="1288"/>
      <c r="J278" s="1288"/>
      <c r="K278" s="1288"/>
      <c r="L278" s="1288"/>
      <c r="M278" s="1288"/>
      <c r="N278" s="1288"/>
      <c r="O278" s="1288"/>
      <c r="P278" s="1288"/>
      <c r="Q278" s="1288"/>
      <c r="R278" s="1288"/>
      <c r="S278" s="1288"/>
      <c r="T278" s="1288"/>
      <c r="U278" s="1288"/>
      <c r="V278" s="1288"/>
      <c r="W278" s="1288"/>
      <c r="X278" s="1288"/>
      <c r="Y278" s="1288"/>
      <c r="Z278" s="1288"/>
      <c r="AA278" s="1288"/>
      <c r="AB278" s="1288"/>
      <c r="AC278" s="1288"/>
      <c r="AD278" s="1288"/>
      <c r="AE278" s="1288"/>
      <c r="AF278" s="1288"/>
      <c r="AG278" s="1288"/>
      <c r="AH278" s="1288"/>
      <c r="AI278" s="1288"/>
      <c r="AJ278" s="1288"/>
      <c r="AK278" s="1288"/>
      <c r="AL278" s="1288"/>
      <c r="AM278" s="1288"/>
      <c r="AN278" s="1288"/>
      <c r="AO278" s="1288"/>
      <c r="AP278" s="1288"/>
      <c r="AQ278" s="1288"/>
      <c r="AR278" s="1288"/>
      <c r="AS278" s="1288"/>
      <c r="AT278" s="1288"/>
      <c r="AU278" s="1288"/>
      <c r="AV278" s="1288"/>
      <c r="AW278" s="1288"/>
      <c r="AX278" s="1288"/>
      <c r="AY278" s="1288"/>
      <c r="AZ278" s="1288"/>
      <c r="BA278" s="1288"/>
      <c r="BB278" s="1288"/>
      <c r="BC278" s="1288"/>
      <c r="BD278" s="1288"/>
      <c r="BE278" s="1291"/>
    </row>
    <row r="279" spans="2:57" x14ac:dyDescent="0.25">
      <c r="B279" s="359"/>
      <c r="C279" s="360"/>
      <c r="D279" s="360"/>
      <c r="E279" s="363"/>
      <c r="F279" s="363"/>
      <c r="G279" s="1288"/>
      <c r="H279" s="1288"/>
      <c r="I279" s="1288"/>
      <c r="J279" s="1288"/>
      <c r="K279" s="1288"/>
      <c r="L279" s="1288"/>
      <c r="M279" s="1288"/>
      <c r="N279" s="1288"/>
      <c r="O279" s="1288"/>
      <c r="P279" s="1288"/>
      <c r="Q279" s="1288"/>
      <c r="R279" s="1288"/>
      <c r="S279" s="1288"/>
      <c r="T279" s="1288"/>
      <c r="U279" s="1288"/>
      <c r="V279" s="1288"/>
      <c r="W279" s="1288"/>
      <c r="X279" s="1288"/>
      <c r="Y279" s="1288"/>
      <c r="Z279" s="1288"/>
      <c r="AA279" s="1288"/>
      <c r="AB279" s="1288"/>
      <c r="AC279" s="1288"/>
      <c r="AD279" s="1288"/>
      <c r="AE279" s="1288"/>
      <c r="AF279" s="1288"/>
      <c r="AG279" s="1288"/>
      <c r="AH279" s="1288"/>
      <c r="AI279" s="1288"/>
      <c r="AJ279" s="1288"/>
      <c r="AK279" s="1288"/>
      <c r="AL279" s="1288"/>
      <c r="AM279" s="1288"/>
      <c r="AN279" s="1288"/>
      <c r="AO279" s="1288"/>
      <c r="AP279" s="1288"/>
      <c r="AQ279" s="1288"/>
      <c r="AR279" s="1288"/>
      <c r="AS279" s="1288"/>
      <c r="AT279" s="1288"/>
      <c r="AU279" s="1288"/>
      <c r="AV279" s="1288"/>
      <c r="AW279" s="1288"/>
      <c r="AX279" s="1288"/>
      <c r="AY279" s="1288"/>
      <c r="AZ279" s="1288"/>
      <c r="BA279" s="1288"/>
      <c r="BB279" s="1288"/>
      <c r="BC279" s="1288"/>
      <c r="BD279" s="1288"/>
      <c r="BE279" s="1291"/>
    </row>
    <row r="280" spans="2:57" x14ac:dyDescent="0.25">
      <c r="B280" s="359" t="str">
        <f>B258</f>
        <v>Operations &amp; Maintenance Expenses, excluding fuel cost</v>
      </c>
      <c r="C280" s="360"/>
      <c r="D280" s="360"/>
      <c r="E280" s="363"/>
      <c r="F280" s="363" t="s">
        <v>631</v>
      </c>
      <c r="G280" s="1288"/>
      <c r="H280" s="1288">
        <f>-H258</f>
        <v>0</v>
      </c>
      <c r="I280" s="1288">
        <f t="shared" ref="I280:BE280" si="94">-I258</f>
        <v>0</v>
      </c>
      <c r="J280" s="1288">
        <f t="shared" si="94"/>
        <v>0</v>
      </c>
      <c r="K280" s="1288">
        <f t="shared" si="94"/>
        <v>0</v>
      </c>
      <c r="L280" s="1288">
        <f t="shared" si="94"/>
        <v>0</v>
      </c>
      <c r="M280" s="1288">
        <f t="shared" si="94"/>
        <v>0</v>
      </c>
      <c r="N280" s="1288">
        <f t="shared" si="94"/>
        <v>0</v>
      </c>
      <c r="O280" s="1288">
        <f t="shared" si="94"/>
        <v>0</v>
      </c>
      <c r="P280" s="1288">
        <f t="shared" si="94"/>
        <v>0</v>
      </c>
      <c r="Q280" s="1288">
        <f t="shared" si="94"/>
        <v>0</v>
      </c>
      <c r="R280" s="1288">
        <f t="shared" si="94"/>
        <v>0</v>
      </c>
      <c r="S280" s="1288">
        <f t="shared" si="94"/>
        <v>0</v>
      </c>
      <c r="T280" s="1288">
        <f t="shared" si="94"/>
        <v>0</v>
      </c>
      <c r="U280" s="1288">
        <f t="shared" si="94"/>
        <v>0</v>
      </c>
      <c r="V280" s="1288">
        <f t="shared" si="94"/>
        <v>0</v>
      </c>
      <c r="W280" s="1288">
        <f t="shared" si="94"/>
        <v>0</v>
      </c>
      <c r="X280" s="1288">
        <f t="shared" si="94"/>
        <v>0</v>
      </c>
      <c r="Y280" s="1288">
        <f t="shared" si="94"/>
        <v>0</v>
      </c>
      <c r="Z280" s="1288">
        <f t="shared" si="94"/>
        <v>0</v>
      </c>
      <c r="AA280" s="1288">
        <f t="shared" si="94"/>
        <v>0</v>
      </c>
      <c r="AB280" s="1288">
        <f t="shared" si="94"/>
        <v>0</v>
      </c>
      <c r="AC280" s="1288">
        <f t="shared" si="94"/>
        <v>0</v>
      </c>
      <c r="AD280" s="1288">
        <f t="shared" si="94"/>
        <v>0</v>
      </c>
      <c r="AE280" s="1288">
        <f t="shared" si="94"/>
        <v>0</v>
      </c>
      <c r="AF280" s="1288">
        <f t="shared" si="94"/>
        <v>0</v>
      </c>
      <c r="AG280" s="1288">
        <f t="shared" si="94"/>
        <v>0</v>
      </c>
      <c r="AH280" s="1288">
        <f t="shared" si="94"/>
        <v>0</v>
      </c>
      <c r="AI280" s="1288">
        <f t="shared" si="94"/>
        <v>0</v>
      </c>
      <c r="AJ280" s="1288">
        <f t="shared" si="94"/>
        <v>0</v>
      </c>
      <c r="AK280" s="1288">
        <f t="shared" si="94"/>
        <v>0</v>
      </c>
      <c r="AL280" s="1288">
        <f t="shared" si="94"/>
        <v>0</v>
      </c>
      <c r="AM280" s="1288">
        <f t="shared" si="94"/>
        <v>0</v>
      </c>
      <c r="AN280" s="1288">
        <f t="shared" si="94"/>
        <v>0</v>
      </c>
      <c r="AO280" s="1288">
        <f t="shared" si="94"/>
        <v>0</v>
      </c>
      <c r="AP280" s="1288">
        <f t="shared" si="94"/>
        <v>0</v>
      </c>
      <c r="AQ280" s="1288">
        <f t="shared" si="94"/>
        <v>0</v>
      </c>
      <c r="AR280" s="1288">
        <f t="shared" si="94"/>
        <v>0</v>
      </c>
      <c r="AS280" s="1288">
        <f t="shared" si="94"/>
        <v>0</v>
      </c>
      <c r="AT280" s="1288">
        <f t="shared" si="94"/>
        <v>0</v>
      </c>
      <c r="AU280" s="1288">
        <f t="shared" si="94"/>
        <v>0</v>
      </c>
      <c r="AV280" s="1288">
        <f t="shared" si="94"/>
        <v>0</v>
      </c>
      <c r="AW280" s="1288">
        <f t="shared" si="94"/>
        <v>0</v>
      </c>
      <c r="AX280" s="1288">
        <f t="shared" si="94"/>
        <v>0</v>
      </c>
      <c r="AY280" s="1288">
        <f t="shared" si="94"/>
        <v>0</v>
      </c>
      <c r="AZ280" s="1288">
        <f t="shared" si="94"/>
        <v>0</v>
      </c>
      <c r="BA280" s="1288">
        <f t="shared" si="94"/>
        <v>0</v>
      </c>
      <c r="BB280" s="1288">
        <f t="shared" si="94"/>
        <v>0</v>
      </c>
      <c r="BC280" s="1288">
        <f t="shared" si="94"/>
        <v>0</v>
      </c>
      <c r="BD280" s="1288">
        <f t="shared" si="94"/>
        <v>0</v>
      </c>
      <c r="BE280" s="1291">
        <f t="shared" si="94"/>
        <v>0</v>
      </c>
    </row>
    <row r="281" spans="2:57" x14ac:dyDescent="0.25">
      <c r="B281" s="359" t="s">
        <v>41</v>
      </c>
      <c r="C281" s="360"/>
      <c r="D281" s="360"/>
      <c r="E281" s="363"/>
      <c r="F281" s="363" t="s">
        <v>631</v>
      </c>
      <c r="G281" s="1288"/>
      <c r="H281" s="1288" t="e">
        <f>-H266</f>
        <v>#DIV/0!</v>
      </c>
      <c r="I281" s="1288" t="e">
        <f t="shared" ref="I281:BE281" si="95">-I266</f>
        <v>#DIV/0!</v>
      </c>
      <c r="J281" s="1288" t="e">
        <f t="shared" si="95"/>
        <v>#DIV/0!</v>
      </c>
      <c r="K281" s="1288" t="e">
        <f t="shared" si="95"/>
        <v>#DIV/0!</v>
      </c>
      <c r="L281" s="1288" t="e">
        <f t="shared" si="95"/>
        <v>#DIV/0!</v>
      </c>
      <c r="M281" s="1288" t="e">
        <f t="shared" si="95"/>
        <v>#DIV/0!</v>
      </c>
      <c r="N281" s="1288" t="e">
        <f t="shared" si="95"/>
        <v>#DIV/0!</v>
      </c>
      <c r="O281" s="1288" t="e">
        <f t="shared" si="95"/>
        <v>#DIV/0!</v>
      </c>
      <c r="P281" s="1288" t="e">
        <f t="shared" si="95"/>
        <v>#DIV/0!</v>
      </c>
      <c r="Q281" s="1288" t="e">
        <f t="shared" si="95"/>
        <v>#DIV/0!</v>
      </c>
      <c r="R281" s="1288" t="e">
        <f t="shared" si="95"/>
        <v>#DIV/0!</v>
      </c>
      <c r="S281" s="1288" t="e">
        <f t="shared" si="95"/>
        <v>#DIV/0!</v>
      </c>
      <c r="T281" s="1288" t="e">
        <f t="shared" si="95"/>
        <v>#DIV/0!</v>
      </c>
      <c r="U281" s="1288" t="e">
        <f t="shared" si="95"/>
        <v>#DIV/0!</v>
      </c>
      <c r="V281" s="1288" t="e">
        <f t="shared" si="95"/>
        <v>#DIV/0!</v>
      </c>
      <c r="W281" s="1288" t="e">
        <f t="shared" si="95"/>
        <v>#DIV/0!</v>
      </c>
      <c r="X281" s="1288" t="e">
        <f t="shared" si="95"/>
        <v>#DIV/0!</v>
      </c>
      <c r="Y281" s="1288" t="e">
        <f t="shared" si="95"/>
        <v>#DIV/0!</v>
      </c>
      <c r="Z281" s="1288" t="e">
        <f t="shared" si="95"/>
        <v>#DIV/0!</v>
      </c>
      <c r="AA281" s="1288" t="e">
        <f t="shared" si="95"/>
        <v>#DIV/0!</v>
      </c>
      <c r="AB281" s="1288" t="e">
        <f t="shared" si="95"/>
        <v>#DIV/0!</v>
      </c>
      <c r="AC281" s="1288" t="e">
        <f t="shared" si="95"/>
        <v>#DIV/0!</v>
      </c>
      <c r="AD281" s="1288" t="e">
        <f t="shared" si="95"/>
        <v>#DIV/0!</v>
      </c>
      <c r="AE281" s="1288" t="e">
        <f t="shared" si="95"/>
        <v>#DIV/0!</v>
      </c>
      <c r="AF281" s="1288" t="e">
        <f t="shared" si="95"/>
        <v>#DIV/0!</v>
      </c>
      <c r="AG281" s="1288" t="e">
        <f t="shared" si="95"/>
        <v>#DIV/0!</v>
      </c>
      <c r="AH281" s="1288" t="e">
        <f t="shared" si="95"/>
        <v>#DIV/0!</v>
      </c>
      <c r="AI281" s="1288" t="e">
        <f t="shared" si="95"/>
        <v>#DIV/0!</v>
      </c>
      <c r="AJ281" s="1288" t="e">
        <f t="shared" si="95"/>
        <v>#DIV/0!</v>
      </c>
      <c r="AK281" s="1288" t="e">
        <f t="shared" si="95"/>
        <v>#DIV/0!</v>
      </c>
      <c r="AL281" s="1288" t="e">
        <f t="shared" si="95"/>
        <v>#DIV/0!</v>
      </c>
      <c r="AM281" s="1288" t="e">
        <f t="shared" si="95"/>
        <v>#DIV/0!</v>
      </c>
      <c r="AN281" s="1288" t="e">
        <f t="shared" si="95"/>
        <v>#DIV/0!</v>
      </c>
      <c r="AO281" s="1288" t="e">
        <f t="shared" si="95"/>
        <v>#DIV/0!</v>
      </c>
      <c r="AP281" s="1288" t="e">
        <f t="shared" si="95"/>
        <v>#DIV/0!</v>
      </c>
      <c r="AQ281" s="1288" t="e">
        <f t="shared" si="95"/>
        <v>#DIV/0!</v>
      </c>
      <c r="AR281" s="1288" t="e">
        <f t="shared" si="95"/>
        <v>#DIV/0!</v>
      </c>
      <c r="AS281" s="1288" t="e">
        <f t="shared" si="95"/>
        <v>#DIV/0!</v>
      </c>
      <c r="AT281" s="1288" t="e">
        <f t="shared" si="95"/>
        <v>#DIV/0!</v>
      </c>
      <c r="AU281" s="1288" t="e">
        <f t="shared" si="95"/>
        <v>#DIV/0!</v>
      </c>
      <c r="AV281" s="1288" t="e">
        <f t="shared" si="95"/>
        <v>#DIV/0!</v>
      </c>
      <c r="AW281" s="1288" t="e">
        <f t="shared" si="95"/>
        <v>#DIV/0!</v>
      </c>
      <c r="AX281" s="1288" t="e">
        <f t="shared" si="95"/>
        <v>#DIV/0!</v>
      </c>
      <c r="AY281" s="1288" t="e">
        <f t="shared" si="95"/>
        <v>#DIV/0!</v>
      </c>
      <c r="AZ281" s="1288" t="e">
        <f t="shared" si="95"/>
        <v>#DIV/0!</v>
      </c>
      <c r="BA281" s="1288" t="e">
        <f t="shared" si="95"/>
        <v>#DIV/0!</v>
      </c>
      <c r="BB281" s="1288" t="e">
        <f t="shared" si="95"/>
        <v>#DIV/0!</v>
      </c>
      <c r="BC281" s="1288" t="e">
        <f t="shared" si="95"/>
        <v>#DIV/0!</v>
      </c>
      <c r="BD281" s="1288" t="e">
        <f t="shared" si="95"/>
        <v>#DIV/0!</v>
      </c>
      <c r="BE281" s="1291" t="e">
        <f t="shared" si="95"/>
        <v>#DIV/0!</v>
      </c>
    </row>
    <row r="282" spans="2:57" x14ac:dyDescent="0.25">
      <c r="B282" s="359" t="str">
        <f>B273</f>
        <v xml:space="preserve">Front-end Fees </v>
      </c>
      <c r="C282" s="360"/>
      <c r="D282" s="360"/>
      <c r="E282" s="363"/>
      <c r="F282" s="363" t="s">
        <v>631</v>
      </c>
      <c r="G282" s="1288"/>
      <c r="H282" s="1288">
        <f>-H273</f>
        <v>0</v>
      </c>
      <c r="I282" s="1288">
        <f t="shared" ref="I282:BE282" si="96">-I273</f>
        <v>0</v>
      </c>
      <c r="J282" s="1288">
        <f t="shared" si="96"/>
        <v>0</v>
      </c>
      <c r="K282" s="1288">
        <f t="shared" si="96"/>
        <v>0</v>
      </c>
      <c r="L282" s="1288">
        <f t="shared" si="96"/>
        <v>0</v>
      </c>
      <c r="M282" s="1288">
        <f t="shared" si="96"/>
        <v>0</v>
      </c>
      <c r="N282" s="1288">
        <f t="shared" si="96"/>
        <v>0</v>
      </c>
      <c r="O282" s="1288">
        <f t="shared" si="96"/>
        <v>0</v>
      </c>
      <c r="P282" s="1288">
        <f t="shared" si="96"/>
        <v>0</v>
      </c>
      <c r="Q282" s="1288">
        <f t="shared" si="96"/>
        <v>0</v>
      </c>
      <c r="R282" s="1288">
        <f t="shared" si="96"/>
        <v>0</v>
      </c>
      <c r="S282" s="1288">
        <f t="shared" si="96"/>
        <v>0</v>
      </c>
      <c r="T282" s="1288">
        <f t="shared" si="96"/>
        <v>0</v>
      </c>
      <c r="U282" s="1288">
        <f t="shared" si="96"/>
        <v>0</v>
      </c>
      <c r="V282" s="1288">
        <f t="shared" si="96"/>
        <v>0</v>
      </c>
      <c r="W282" s="1288">
        <f t="shared" si="96"/>
        <v>0</v>
      </c>
      <c r="X282" s="1288">
        <f t="shared" si="96"/>
        <v>0</v>
      </c>
      <c r="Y282" s="1288">
        <f t="shared" si="96"/>
        <v>0</v>
      </c>
      <c r="Z282" s="1288">
        <f t="shared" si="96"/>
        <v>0</v>
      </c>
      <c r="AA282" s="1288">
        <f t="shared" si="96"/>
        <v>0</v>
      </c>
      <c r="AB282" s="1288">
        <f t="shared" si="96"/>
        <v>0</v>
      </c>
      <c r="AC282" s="1288">
        <f t="shared" si="96"/>
        <v>0</v>
      </c>
      <c r="AD282" s="1288">
        <f t="shared" si="96"/>
        <v>0</v>
      </c>
      <c r="AE282" s="1288">
        <f t="shared" si="96"/>
        <v>0</v>
      </c>
      <c r="AF282" s="1288">
        <f t="shared" si="96"/>
        <v>0</v>
      </c>
      <c r="AG282" s="1288">
        <f t="shared" si="96"/>
        <v>0</v>
      </c>
      <c r="AH282" s="1288">
        <f t="shared" si="96"/>
        <v>0</v>
      </c>
      <c r="AI282" s="1288">
        <f t="shared" si="96"/>
        <v>0</v>
      </c>
      <c r="AJ282" s="1288">
        <f t="shared" si="96"/>
        <v>0</v>
      </c>
      <c r="AK282" s="1288">
        <f t="shared" si="96"/>
        <v>0</v>
      </c>
      <c r="AL282" s="1288">
        <f t="shared" si="96"/>
        <v>0</v>
      </c>
      <c r="AM282" s="1288">
        <f t="shared" si="96"/>
        <v>0</v>
      </c>
      <c r="AN282" s="1288">
        <f t="shared" si="96"/>
        <v>0</v>
      </c>
      <c r="AO282" s="1288">
        <f t="shared" si="96"/>
        <v>0</v>
      </c>
      <c r="AP282" s="1288">
        <f t="shared" si="96"/>
        <v>0</v>
      </c>
      <c r="AQ282" s="1288">
        <f t="shared" si="96"/>
        <v>0</v>
      </c>
      <c r="AR282" s="1288">
        <f t="shared" si="96"/>
        <v>0</v>
      </c>
      <c r="AS282" s="1288">
        <f t="shared" si="96"/>
        <v>0</v>
      </c>
      <c r="AT282" s="1288">
        <f t="shared" si="96"/>
        <v>0</v>
      </c>
      <c r="AU282" s="1288">
        <f t="shared" si="96"/>
        <v>0</v>
      </c>
      <c r="AV282" s="1288">
        <f t="shared" si="96"/>
        <v>0</v>
      </c>
      <c r="AW282" s="1288">
        <f t="shared" si="96"/>
        <v>0</v>
      </c>
      <c r="AX282" s="1288">
        <f t="shared" si="96"/>
        <v>0</v>
      </c>
      <c r="AY282" s="1288">
        <f t="shared" si="96"/>
        <v>0</v>
      </c>
      <c r="AZ282" s="1288">
        <f t="shared" si="96"/>
        <v>0</v>
      </c>
      <c r="BA282" s="1288">
        <f t="shared" si="96"/>
        <v>0</v>
      </c>
      <c r="BB282" s="1288">
        <f t="shared" si="96"/>
        <v>0</v>
      </c>
      <c r="BC282" s="1288">
        <f t="shared" si="96"/>
        <v>0</v>
      </c>
      <c r="BD282" s="1288">
        <f t="shared" si="96"/>
        <v>0</v>
      </c>
      <c r="BE282" s="1291">
        <f t="shared" si="96"/>
        <v>0</v>
      </c>
    </row>
    <row r="283" spans="2:57" x14ac:dyDescent="0.25">
      <c r="B283" s="359" t="str">
        <f>B274</f>
        <v xml:space="preserve">Public Guarantee Fees </v>
      </c>
      <c r="C283" s="360"/>
      <c r="D283" s="360"/>
      <c r="E283" s="363"/>
      <c r="F283" s="363" t="s">
        <v>631</v>
      </c>
      <c r="G283" s="1288"/>
      <c r="H283" s="1288">
        <f>-H274</f>
        <v>0</v>
      </c>
      <c r="I283" s="1288">
        <f t="shared" ref="I283:BE283" si="97">-I274</f>
        <v>0</v>
      </c>
      <c r="J283" s="1288">
        <f t="shared" si="97"/>
        <v>0</v>
      </c>
      <c r="K283" s="1288">
        <f t="shared" si="97"/>
        <v>0</v>
      </c>
      <c r="L283" s="1288">
        <f t="shared" si="97"/>
        <v>0</v>
      </c>
      <c r="M283" s="1288">
        <f t="shared" si="97"/>
        <v>0</v>
      </c>
      <c r="N283" s="1288">
        <f t="shared" si="97"/>
        <v>0</v>
      </c>
      <c r="O283" s="1288">
        <f t="shared" si="97"/>
        <v>0</v>
      </c>
      <c r="P283" s="1288">
        <f t="shared" si="97"/>
        <v>0</v>
      </c>
      <c r="Q283" s="1288">
        <f t="shared" si="97"/>
        <v>0</v>
      </c>
      <c r="R283" s="1288">
        <f t="shared" si="97"/>
        <v>0</v>
      </c>
      <c r="S283" s="1288">
        <f t="shared" si="97"/>
        <v>0</v>
      </c>
      <c r="T283" s="1288">
        <f t="shared" si="97"/>
        <v>0</v>
      </c>
      <c r="U283" s="1288">
        <f t="shared" si="97"/>
        <v>0</v>
      </c>
      <c r="V283" s="1288">
        <f t="shared" si="97"/>
        <v>0</v>
      </c>
      <c r="W283" s="1288">
        <f t="shared" si="97"/>
        <v>0</v>
      </c>
      <c r="X283" s="1288">
        <f t="shared" si="97"/>
        <v>0</v>
      </c>
      <c r="Y283" s="1288">
        <f t="shared" si="97"/>
        <v>0</v>
      </c>
      <c r="Z283" s="1288">
        <f t="shared" si="97"/>
        <v>0</v>
      </c>
      <c r="AA283" s="1288">
        <f t="shared" si="97"/>
        <v>0</v>
      </c>
      <c r="AB283" s="1288">
        <f t="shared" si="97"/>
        <v>0</v>
      </c>
      <c r="AC283" s="1288">
        <f t="shared" si="97"/>
        <v>0</v>
      </c>
      <c r="AD283" s="1288">
        <f t="shared" si="97"/>
        <v>0</v>
      </c>
      <c r="AE283" s="1288">
        <f t="shared" si="97"/>
        <v>0</v>
      </c>
      <c r="AF283" s="1288">
        <f t="shared" si="97"/>
        <v>0</v>
      </c>
      <c r="AG283" s="1288">
        <f t="shared" si="97"/>
        <v>0</v>
      </c>
      <c r="AH283" s="1288">
        <f t="shared" si="97"/>
        <v>0</v>
      </c>
      <c r="AI283" s="1288">
        <f t="shared" si="97"/>
        <v>0</v>
      </c>
      <c r="AJ283" s="1288">
        <f t="shared" si="97"/>
        <v>0</v>
      </c>
      <c r="AK283" s="1288">
        <f t="shared" si="97"/>
        <v>0</v>
      </c>
      <c r="AL283" s="1288">
        <f t="shared" si="97"/>
        <v>0</v>
      </c>
      <c r="AM283" s="1288">
        <f t="shared" si="97"/>
        <v>0</v>
      </c>
      <c r="AN283" s="1288">
        <f t="shared" si="97"/>
        <v>0</v>
      </c>
      <c r="AO283" s="1288">
        <f t="shared" si="97"/>
        <v>0</v>
      </c>
      <c r="AP283" s="1288">
        <f t="shared" si="97"/>
        <v>0</v>
      </c>
      <c r="AQ283" s="1288">
        <f t="shared" si="97"/>
        <v>0</v>
      </c>
      <c r="AR283" s="1288">
        <f t="shared" si="97"/>
        <v>0</v>
      </c>
      <c r="AS283" s="1288">
        <f t="shared" si="97"/>
        <v>0</v>
      </c>
      <c r="AT283" s="1288">
        <f t="shared" si="97"/>
        <v>0</v>
      </c>
      <c r="AU283" s="1288">
        <f t="shared" si="97"/>
        <v>0</v>
      </c>
      <c r="AV283" s="1288">
        <f t="shared" si="97"/>
        <v>0</v>
      </c>
      <c r="AW283" s="1288">
        <f t="shared" si="97"/>
        <v>0</v>
      </c>
      <c r="AX283" s="1288">
        <f t="shared" si="97"/>
        <v>0</v>
      </c>
      <c r="AY283" s="1288">
        <f t="shared" si="97"/>
        <v>0</v>
      </c>
      <c r="AZ283" s="1288">
        <f t="shared" si="97"/>
        <v>0</v>
      </c>
      <c r="BA283" s="1288">
        <f t="shared" si="97"/>
        <v>0</v>
      </c>
      <c r="BB283" s="1288">
        <f t="shared" si="97"/>
        <v>0</v>
      </c>
      <c r="BC283" s="1288">
        <f t="shared" si="97"/>
        <v>0</v>
      </c>
      <c r="BD283" s="1288">
        <f t="shared" si="97"/>
        <v>0</v>
      </c>
      <c r="BE283" s="1291">
        <f t="shared" si="97"/>
        <v>0</v>
      </c>
    </row>
    <row r="284" spans="2:57" x14ac:dyDescent="0.25">
      <c r="B284" s="359" t="str">
        <f>B275</f>
        <v>Political Risk Insurance - Fees &amp; Annual Premium Payments</v>
      </c>
      <c r="C284" s="360"/>
      <c r="D284" s="360"/>
      <c r="E284" s="363"/>
      <c r="F284" s="363" t="s">
        <v>631</v>
      </c>
      <c r="G284" s="1288"/>
      <c r="H284" s="1288">
        <f>-H275</f>
        <v>0</v>
      </c>
      <c r="I284" s="1288">
        <f t="shared" ref="I284:BE284" si="98">-I275</f>
        <v>0</v>
      </c>
      <c r="J284" s="1288">
        <f t="shared" si="98"/>
        <v>0</v>
      </c>
      <c r="K284" s="1288">
        <f t="shared" si="98"/>
        <v>0</v>
      </c>
      <c r="L284" s="1288">
        <f t="shared" si="98"/>
        <v>0</v>
      </c>
      <c r="M284" s="1288">
        <f t="shared" si="98"/>
        <v>0</v>
      </c>
      <c r="N284" s="1288">
        <f t="shared" si="98"/>
        <v>0</v>
      </c>
      <c r="O284" s="1288">
        <f t="shared" si="98"/>
        <v>0</v>
      </c>
      <c r="P284" s="1288">
        <f t="shared" si="98"/>
        <v>0</v>
      </c>
      <c r="Q284" s="1288">
        <f t="shared" si="98"/>
        <v>0</v>
      </c>
      <c r="R284" s="1288">
        <f t="shared" si="98"/>
        <v>0</v>
      </c>
      <c r="S284" s="1288">
        <f t="shared" si="98"/>
        <v>0</v>
      </c>
      <c r="T284" s="1288">
        <f t="shared" si="98"/>
        <v>0</v>
      </c>
      <c r="U284" s="1288">
        <f t="shared" si="98"/>
        <v>0</v>
      </c>
      <c r="V284" s="1288">
        <f t="shared" si="98"/>
        <v>0</v>
      </c>
      <c r="W284" s="1288">
        <f t="shared" si="98"/>
        <v>0</v>
      </c>
      <c r="X284" s="1288">
        <f t="shared" si="98"/>
        <v>0</v>
      </c>
      <c r="Y284" s="1288">
        <f t="shared" si="98"/>
        <v>0</v>
      </c>
      <c r="Z284" s="1288">
        <f t="shared" si="98"/>
        <v>0</v>
      </c>
      <c r="AA284" s="1288">
        <f t="shared" si="98"/>
        <v>0</v>
      </c>
      <c r="AB284" s="1288">
        <f t="shared" si="98"/>
        <v>0</v>
      </c>
      <c r="AC284" s="1288">
        <f t="shared" si="98"/>
        <v>0</v>
      </c>
      <c r="AD284" s="1288">
        <f t="shared" si="98"/>
        <v>0</v>
      </c>
      <c r="AE284" s="1288">
        <f t="shared" si="98"/>
        <v>0</v>
      </c>
      <c r="AF284" s="1288">
        <f t="shared" si="98"/>
        <v>0</v>
      </c>
      <c r="AG284" s="1288">
        <f t="shared" si="98"/>
        <v>0</v>
      </c>
      <c r="AH284" s="1288">
        <f t="shared" si="98"/>
        <v>0</v>
      </c>
      <c r="AI284" s="1288">
        <f t="shared" si="98"/>
        <v>0</v>
      </c>
      <c r="AJ284" s="1288">
        <f t="shared" si="98"/>
        <v>0</v>
      </c>
      <c r="AK284" s="1288">
        <f t="shared" si="98"/>
        <v>0</v>
      </c>
      <c r="AL284" s="1288">
        <f t="shared" si="98"/>
        <v>0</v>
      </c>
      <c r="AM284" s="1288">
        <f t="shared" si="98"/>
        <v>0</v>
      </c>
      <c r="AN284" s="1288">
        <f t="shared" si="98"/>
        <v>0</v>
      </c>
      <c r="AO284" s="1288">
        <f t="shared" si="98"/>
        <v>0</v>
      </c>
      <c r="AP284" s="1288">
        <f t="shared" si="98"/>
        <v>0</v>
      </c>
      <c r="AQ284" s="1288">
        <f t="shared" si="98"/>
        <v>0</v>
      </c>
      <c r="AR284" s="1288">
        <f t="shared" si="98"/>
        <v>0</v>
      </c>
      <c r="AS284" s="1288">
        <f t="shared" si="98"/>
        <v>0</v>
      </c>
      <c r="AT284" s="1288">
        <f t="shared" si="98"/>
        <v>0</v>
      </c>
      <c r="AU284" s="1288">
        <f t="shared" si="98"/>
        <v>0</v>
      </c>
      <c r="AV284" s="1288">
        <f t="shared" si="98"/>
        <v>0</v>
      </c>
      <c r="AW284" s="1288">
        <f t="shared" si="98"/>
        <v>0</v>
      </c>
      <c r="AX284" s="1288">
        <f t="shared" si="98"/>
        <v>0</v>
      </c>
      <c r="AY284" s="1288">
        <f t="shared" si="98"/>
        <v>0</v>
      </c>
      <c r="AZ284" s="1288">
        <f t="shared" si="98"/>
        <v>0</v>
      </c>
      <c r="BA284" s="1288">
        <f t="shared" si="98"/>
        <v>0</v>
      </c>
      <c r="BB284" s="1288">
        <f t="shared" si="98"/>
        <v>0</v>
      </c>
      <c r="BC284" s="1288">
        <f t="shared" si="98"/>
        <v>0</v>
      </c>
      <c r="BD284" s="1288">
        <f t="shared" si="98"/>
        <v>0</v>
      </c>
      <c r="BE284" s="1291">
        <f t="shared" si="98"/>
        <v>0</v>
      </c>
    </row>
    <row r="285" spans="2:57" x14ac:dyDescent="0.25">
      <c r="B285" s="359" t="s">
        <v>102</v>
      </c>
      <c r="C285" s="360"/>
      <c r="D285" s="360"/>
      <c r="E285" s="363"/>
      <c r="F285" s="363" t="s">
        <v>631</v>
      </c>
      <c r="G285" s="1288"/>
      <c r="H285" s="1288">
        <f>-(H696+H717+H738)</f>
        <v>0</v>
      </c>
      <c r="I285" s="1288">
        <f t="shared" ref="I285:BE285" si="99">-(I696+I717+I738)</f>
        <v>0</v>
      </c>
      <c r="J285" s="1288">
        <f t="shared" si="99"/>
        <v>0</v>
      </c>
      <c r="K285" s="1288">
        <f t="shared" si="99"/>
        <v>0</v>
      </c>
      <c r="L285" s="1288">
        <f t="shared" si="99"/>
        <v>0</v>
      </c>
      <c r="M285" s="1288">
        <f t="shared" si="99"/>
        <v>0</v>
      </c>
      <c r="N285" s="1288">
        <f t="shared" si="99"/>
        <v>0</v>
      </c>
      <c r="O285" s="1288">
        <f t="shared" si="99"/>
        <v>0</v>
      </c>
      <c r="P285" s="1288">
        <f t="shared" si="99"/>
        <v>0</v>
      </c>
      <c r="Q285" s="1288">
        <f t="shared" si="99"/>
        <v>0</v>
      </c>
      <c r="R285" s="1288">
        <f t="shared" si="99"/>
        <v>0</v>
      </c>
      <c r="S285" s="1288">
        <f t="shared" si="99"/>
        <v>0</v>
      </c>
      <c r="T285" s="1288">
        <f t="shared" si="99"/>
        <v>0</v>
      </c>
      <c r="U285" s="1288">
        <f t="shared" si="99"/>
        <v>0</v>
      </c>
      <c r="V285" s="1288">
        <f t="shared" si="99"/>
        <v>0</v>
      </c>
      <c r="W285" s="1288">
        <f t="shared" si="99"/>
        <v>0</v>
      </c>
      <c r="X285" s="1288">
        <f t="shared" si="99"/>
        <v>0</v>
      </c>
      <c r="Y285" s="1288">
        <f t="shared" si="99"/>
        <v>0</v>
      </c>
      <c r="Z285" s="1288">
        <f t="shared" si="99"/>
        <v>0</v>
      </c>
      <c r="AA285" s="1288">
        <f t="shared" si="99"/>
        <v>0</v>
      </c>
      <c r="AB285" s="1288">
        <f t="shared" si="99"/>
        <v>0</v>
      </c>
      <c r="AC285" s="1288">
        <f t="shared" si="99"/>
        <v>0</v>
      </c>
      <c r="AD285" s="1288">
        <f t="shared" si="99"/>
        <v>0</v>
      </c>
      <c r="AE285" s="1288">
        <f t="shared" si="99"/>
        <v>0</v>
      </c>
      <c r="AF285" s="1288">
        <f t="shared" si="99"/>
        <v>0</v>
      </c>
      <c r="AG285" s="1288">
        <f t="shared" si="99"/>
        <v>0</v>
      </c>
      <c r="AH285" s="1288">
        <f t="shared" si="99"/>
        <v>0</v>
      </c>
      <c r="AI285" s="1288">
        <f t="shared" si="99"/>
        <v>0</v>
      </c>
      <c r="AJ285" s="1288">
        <f t="shared" si="99"/>
        <v>0</v>
      </c>
      <c r="AK285" s="1288">
        <f t="shared" si="99"/>
        <v>0</v>
      </c>
      <c r="AL285" s="1288">
        <f t="shared" si="99"/>
        <v>0</v>
      </c>
      <c r="AM285" s="1288">
        <f t="shared" si="99"/>
        <v>0</v>
      </c>
      <c r="AN285" s="1288">
        <f t="shared" si="99"/>
        <v>0</v>
      </c>
      <c r="AO285" s="1288">
        <f t="shared" si="99"/>
        <v>0</v>
      </c>
      <c r="AP285" s="1288">
        <f t="shared" si="99"/>
        <v>0</v>
      </c>
      <c r="AQ285" s="1288">
        <f t="shared" si="99"/>
        <v>0</v>
      </c>
      <c r="AR285" s="1288">
        <f t="shared" si="99"/>
        <v>0</v>
      </c>
      <c r="AS285" s="1288">
        <f t="shared" si="99"/>
        <v>0</v>
      </c>
      <c r="AT285" s="1288">
        <f t="shared" si="99"/>
        <v>0</v>
      </c>
      <c r="AU285" s="1288">
        <f t="shared" si="99"/>
        <v>0</v>
      </c>
      <c r="AV285" s="1288">
        <f t="shared" si="99"/>
        <v>0</v>
      </c>
      <c r="AW285" s="1288">
        <f t="shared" si="99"/>
        <v>0</v>
      </c>
      <c r="AX285" s="1288">
        <f t="shared" si="99"/>
        <v>0</v>
      </c>
      <c r="AY285" s="1288">
        <f t="shared" si="99"/>
        <v>0</v>
      </c>
      <c r="AZ285" s="1288">
        <f t="shared" si="99"/>
        <v>0</v>
      </c>
      <c r="BA285" s="1288">
        <f t="shared" si="99"/>
        <v>0</v>
      </c>
      <c r="BB285" s="1288">
        <f t="shared" si="99"/>
        <v>0</v>
      </c>
      <c r="BC285" s="1288">
        <f t="shared" si="99"/>
        <v>0</v>
      </c>
      <c r="BD285" s="1288">
        <f t="shared" si="99"/>
        <v>0</v>
      </c>
      <c r="BE285" s="1291">
        <f t="shared" si="99"/>
        <v>0</v>
      </c>
    </row>
    <row r="286" spans="2:57" x14ac:dyDescent="0.25">
      <c r="B286" s="372" t="s">
        <v>103</v>
      </c>
      <c r="C286" s="367"/>
      <c r="D286" s="367"/>
      <c r="E286" s="368"/>
      <c r="F286" s="368" t="s">
        <v>631</v>
      </c>
      <c r="G286" s="1292"/>
      <c r="H286" s="1292" t="e">
        <f>(H258+H266+H268+H273+H274+H275+H270+H271+H272)*'II. Inputs, Baseline Energy Mix'!$S$19</f>
        <v>#DIV/0!</v>
      </c>
      <c r="I286" s="1292" t="e">
        <f>(I258+I266+I268+I273+I274+I275+I270+I271+I272)*'II. Inputs, Baseline Energy Mix'!$S$19</f>
        <v>#DIV/0!</v>
      </c>
      <c r="J286" s="1292" t="e">
        <f>(J258+J266+J268+J273+J274+J275+J270+J271+J272)*'II. Inputs, Baseline Energy Mix'!$S$19</f>
        <v>#DIV/0!</v>
      </c>
      <c r="K286" s="1292" t="e">
        <f>(K258+K266+K268+K273+K274+K275+K270+K271+K272)*'II. Inputs, Baseline Energy Mix'!$S$19</f>
        <v>#DIV/0!</v>
      </c>
      <c r="L286" s="1292" t="e">
        <f>(L258+L266+L268+L273+L274+L275+L270+L271+L272)*'II. Inputs, Baseline Energy Mix'!$S$19</f>
        <v>#DIV/0!</v>
      </c>
      <c r="M286" s="1292" t="e">
        <f>(M258+M266+M268+M273+M274+M275+M270+M271+M272)*'II. Inputs, Baseline Energy Mix'!$S$19</f>
        <v>#DIV/0!</v>
      </c>
      <c r="N286" s="1292" t="e">
        <f>(N258+N266+N268+N273+N274+N275+N270+N271+N272)*'II. Inputs, Baseline Energy Mix'!$S$19</f>
        <v>#DIV/0!</v>
      </c>
      <c r="O286" s="1292" t="e">
        <f>(O258+O266+O268+O273+O274+O275+O270+O271+O272)*'II. Inputs, Baseline Energy Mix'!$S$19</f>
        <v>#DIV/0!</v>
      </c>
      <c r="P286" s="1292" t="e">
        <f>(P258+P266+P268+P273+P274+P275+P270+P271+P272)*'II. Inputs, Baseline Energy Mix'!$S$19</f>
        <v>#DIV/0!</v>
      </c>
      <c r="Q286" s="1292" t="e">
        <f>(Q258+Q266+Q268+Q273+Q274+Q275+Q270+Q271+Q272)*'II. Inputs, Baseline Energy Mix'!$S$19</f>
        <v>#DIV/0!</v>
      </c>
      <c r="R286" s="1292" t="e">
        <f>(R258+R266+R268+R273+R274+R275+R270+R271+R272)*'II. Inputs, Baseline Energy Mix'!$S$19</f>
        <v>#DIV/0!</v>
      </c>
      <c r="S286" s="1292" t="e">
        <f>(S258+S266+S268+S273+S274+S275+S270+S271+S272)*'II. Inputs, Baseline Energy Mix'!$S$19</f>
        <v>#DIV/0!</v>
      </c>
      <c r="T286" s="1292" t="e">
        <f>(T258+T266+T268+T273+T274+T275+T270+T271+T272)*'II. Inputs, Baseline Energy Mix'!$S$19</f>
        <v>#DIV/0!</v>
      </c>
      <c r="U286" s="1292" t="e">
        <f>(U258+U266+U268+U273+U274+U275+U270+U271+U272)*'II. Inputs, Baseline Energy Mix'!$S$19</f>
        <v>#DIV/0!</v>
      </c>
      <c r="V286" s="1292" t="e">
        <f>(V258+V266+V268+V273+V274+V275+V270+V271+V272)*'II. Inputs, Baseline Energy Mix'!$S$19</f>
        <v>#DIV/0!</v>
      </c>
      <c r="W286" s="1292" t="e">
        <f>(W258+W266+W268+W273+W274+W275+W270+W271+W272)*'II. Inputs, Baseline Energy Mix'!$S$19</f>
        <v>#DIV/0!</v>
      </c>
      <c r="X286" s="1292" t="e">
        <f>(X258+X266+X268+X273+X274+X275+X270+X271+X272)*'II. Inputs, Baseline Energy Mix'!$S$19</f>
        <v>#DIV/0!</v>
      </c>
      <c r="Y286" s="1292" t="e">
        <f>(Y258+Y266+Y268+Y273+Y274+Y275+Y270+Y271+Y272)*'II. Inputs, Baseline Energy Mix'!$S$19</f>
        <v>#DIV/0!</v>
      </c>
      <c r="Z286" s="1292" t="e">
        <f>(Z258+Z266+Z268+Z273+Z274+Z275+Z270+Z271+Z272)*'II. Inputs, Baseline Energy Mix'!$S$19</f>
        <v>#DIV/0!</v>
      </c>
      <c r="AA286" s="1292" t="e">
        <f>(AA258+AA266+AA268+AA273+AA274+AA275+AA270+AA271+AA272)*'II. Inputs, Baseline Energy Mix'!$S$19</f>
        <v>#DIV/0!</v>
      </c>
      <c r="AB286" s="1292" t="e">
        <f>(AB258+AB266+AB268+AB273+AB274+AB275+AB270+AB271+AB272)*'II. Inputs, Baseline Energy Mix'!$S$19</f>
        <v>#DIV/0!</v>
      </c>
      <c r="AC286" s="1292" t="e">
        <f>(AC258+AC266+AC268+AC273+AC274+AC275+AC270+AC271+AC272)*'II. Inputs, Baseline Energy Mix'!$S$19</f>
        <v>#DIV/0!</v>
      </c>
      <c r="AD286" s="1292" t="e">
        <f>(AD258+AD266+AD268+AD273+AD274+AD275+AD270+AD271+AD272)*'II. Inputs, Baseline Energy Mix'!$S$19</f>
        <v>#DIV/0!</v>
      </c>
      <c r="AE286" s="1292" t="e">
        <f>(AE258+AE266+AE268+AE273+AE274+AE275+AE270+AE271+AE272)*'II. Inputs, Baseline Energy Mix'!$S$19</f>
        <v>#DIV/0!</v>
      </c>
      <c r="AF286" s="1292" t="e">
        <f>(AF258+AF266+AF268+AF273+AF274+AF275+AF270+AF271+AF272)*'II. Inputs, Baseline Energy Mix'!$S$19</f>
        <v>#DIV/0!</v>
      </c>
      <c r="AG286" s="1292" t="e">
        <f>(AG258+AG266+AG268+AG273+AG274+AG275+AG270+AG271+AG272)*'II. Inputs, Baseline Energy Mix'!$S$19</f>
        <v>#DIV/0!</v>
      </c>
      <c r="AH286" s="1292" t="e">
        <f>(AH258+AH266+AH268+AH273+AH274+AH275+AH270+AH271+AH272)*'II. Inputs, Baseline Energy Mix'!$S$19</f>
        <v>#DIV/0!</v>
      </c>
      <c r="AI286" s="1292" t="e">
        <f>(AI258+AI266+AI268+AI273+AI274+AI275+AI270+AI271+AI272)*'II. Inputs, Baseline Energy Mix'!$S$19</f>
        <v>#DIV/0!</v>
      </c>
      <c r="AJ286" s="1292" t="e">
        <f>(AJ258+AJ266+AJ268+AJ273+AJ274+AJ275+AJ270+AJ271+AJ272)*'II. Inputs, Baseline Energy Mix'!$S$19</f>
        <v>#DIV/0!</v>
      </c>
      <c r="AK286" s="1292" t="e">
        <f>(AK258+AK266+AK268+AK273+AK274+AK275+AK270+AK271+AK272)*'II. Inputs, Baseline Energy Mix'!$S$19</f>
        <v>#DIV/0!</v>
      </c>
      <c r="AL286" s="1292" t="e">
        <f>(AL258+AL266+AL268+AL273+AL274+AL275+AL270+AL271+AL272)*'II. Inputs, Baseline Energy Mix'!$S$19</f>
        <v>#DIV/0!</v>
      </c>
      <c r="AM286" s="1292" t="e">
        <f>(AM258+AM266+AM268+AM273+AM274+AM275+AM270+AM271+AM272)*'II. Inputs, Baseline Energy Mix'!$S$19</f>
        <v>#DIV/0!</v>
      </c>
      <c r="AN286" s="1292" t="e">
        <f>(AN258+AN266+AN268+AN273+AN274+AN275+AN270+AN271+AN272)*'II. Inputs, Baseline Energy Mix'!$S$19</f>
        <v>#DIV/0!</v>
      </c>
      <c r="AO286" s="1292" t="e">
        <f>(AO258+AO266+AO268+AO273+AO274+AO275+AO270+AO271+AO272)*'II. Inputs, Baseline Energy Mix'!$S$19</f>
        <v>#DIV/0!</v>
      </c>
      <c r="AP286" s="1292" t="e">
        <f>(AP258+AP266+AP268+AP273+AP274+AP275+AP270+AP271+AP272)*'II. Inputs, Baseline Energy Mix'!$S$19</f>
        <v>#DIV/0!</v>
      </c>
      <c r="AQ286" s="1292" t="e">
        <f>(AQ258+AQ266+AQ268+AQ273+AQ274+AQ275+AQ270+AQ271+AQ272)*'II. Inputs, Baseline Energy Mix'!$S$19</f>
        <v>#DIV/0!</v>
      </c>
      <c r="AR286" s="1292" t="e">
        <f>(AR258+AR266+AR268+AR273+AR274+AR275+AR270+AR271+AR272)*'II. Inputs, Baseline Energy Mix'!$S$19</f>
        <v>#DIV/0!</v>
      </c>
      <c r="AS286" s="1292" t="e">
        <f>(AS258+AS266+AS268+AS273+AS274+AS275+AS270+AS271+AS272)*'II. Inputs, Baseline Energy Mix'!$S$19</f>
        <v>#DIV/0!</v>
      </c>
      <c r="AT286" s="1292" t="e">
        <f>(AT258+AT266+AT268+AT273+AT274+AT275+AT270+AT271+AT272)*'II. Inputs, Baseline Energy Mix'!$S$19</f>
        <v>#DIV/0!</v>
      </c>
      <c r="AU286" s="1292" t="e">
        <f>(AU258+AU266+AU268+AU273+AU274+AU275+AU270+AU271+AU272)*'II. Inputs, Baseline Energy Mix'!$S$19</f>
        <v>#DIV/0!</v>
      </c>
      <c r="AV286" s="1292" t="e">
        <f>(AV258+AV266+AV268+AV273+AV274+AV275+AV270+AV271+AV272)*'II. Inputs, Baseline Energy Mix'!$S$19</f>
        <v>#DIV/0!</v>
      </c>
      <c r="AW286" s="1292" t="e">
        <f>(AW258+AW266+AW268+AW273+AW274+AW275+AW270+AW271+AW272)*'II. Inputs, Baseline Energy Mix'!$S$19</f>
        <v>#DIV/0!</v>
      </c>
      <c r="AX286" s="1292" t="e">
        <f>(AX258+AX266+AX268+AX273+AX274+AX275+AX270+AX271+AX272)*'II. Inputs, Baseline Energy Mix'!$S$19</f>
        <v>#DIV/0!</v>
      </c>
      <c r="AY286" s="1292" t="e">
        <f>(AY258+AY266+AY268+AY273+AY274+AY275+AY270+AY271+AY272)*'II. Inputs, Baseline Energy Mix'!$S$19</f>
        <v>#DIV/0!</v>
      </c>
      <c r="AZ286" s="1292" t="e">
        <f>(AZ258+AZ266+AZ268+AZ273+AZ274+AZ275+AZ270+AZ271+AZ272)*'II. Inputs, Baseline Energy Mix'!$S$19</f>
        <v>#DIV/0!</v>
      </c>
      <c r="BA286" s="1292" t="e">
        <f>(BA258+BA266+BA268+BA273+BA274+BA275+BA270+BA271+BA272)*'II. Inputs, Baseline Energy Mix'!$S$19</f>
        <v>#DIV/0!</v>
      </c>
      <c r="BB286" s="1292" t="e">
        <f>(BB258+BB266+BB268+BB273+BB274+BB275+BB270+BB271+BB272)*'II. Inputs, Baseline Energy Mix'!$S$19</f>
        <v>#DIV/0!</v>
      </c>
      <c r="BC286" s="1292" t="e">
        <f>(BC258+BC266+BC268+BC273+BC274+BC275+BC270+BC271+BC272)*'II. Inputs, Baseline Energy Mix'!$S$19</f>
        <v>#DIV/0!</v>
      </c>
      <c r="BD286" s="1292" t="e">
        <f>(BD258+BD266+BD268+BD273+BD274+BD275+BD270+BD271+BD272)*'II. Inputs, Baseline Energy Mix'!$S$19</f>
        <v>#DIV/0!</v>
      </c>
      <c r="BE286" s="1293" t="e">
        <f>(BE258+BE266+BE268+BE273+BE274+BE275+BE270+BE271+BE272)*'II. Inputs, Baseline Energy Mix'!$S$19</f>
        <v>#DIV/0!</v>
      </c>
    </row>
    <row r="287" spans="2:57" x14ac:dyDescent="0.25">
      <c r="B287" s="359" t="s">
        <v>104</v>
      </c>
      <c r="C287" s="360"/>
      <c r="D287" s="360"/>
      <c r="E287" s="363"/>
      <c r="F287" s="363" t="s">
        <v>631</v>
      </c>
      <c r="G287" s="1288">
        <f>-IF('II. Inputs, Baseline Energy Mix'!$S$15&gt;0, 'II. Inputs, Baseline Energy Mix'!$S$16*'II. Inputs, Baseline Energy Mix'!$S$17*'II. Inputs, Baseline Energy Mix'!$S$29,0)</f>
        <v>0</v>
      </c>
      <c r="H287" s="1288" t="e">
        <f t="shared" ref="H287:AM287" si="100">SUM(H280:H286)</f>
        <v>#DIV/0!</v>
      </c>
      <c r="I287" s="1288" t="e">
        <f t="shared" si="100"/>
        <v>#DIV/0!</v>
      </c>
      <c r="J287" s="1288" t="e">
        <f t="shared" si="100"/>
        <v>#DIV/0!</v>
      </c>
      <c r="K287" s="1288" t="e">
        <f t="shared" si="100"/>
        <v>#DIV/0!</v>
      </c>
      <c r="L287" s="1288" t="e">
        <f t="shared" si="100"/>
        <v>#DIV/0!</v>
      </c>
      <c r="M287" s="1288" t="e">
        <f t="shared" si="100"/>
        <v>#DIV/0!</v>
      </c>
      <c r="N287" s="1288" t="e">
        <f t="shared" si="100"/>
        <v>#DIV/0!</v>
      </c>
      <c r="O287" s="1288" t="e">
        <f t="shared" si="100"/>
        <v>#DIV/0!</v>
      </c>
      <c r="P287" s="1288" t="e">
        <f t="shared" si="100"/>
        <v>#DIV/0!</v>
      </c>
      <c r="Q287" s="1288" t="e">
        <f t="shared" si="100"/>
        <v>#DIV/0!</v>
      </c>
      <c r="R287" s="1288" t="e">
        <f t="shared" si="100"/>
        <v>#DIV/0!</v>
      </c>
      <c r="S287" s="1288" t="e">
        <f t="shared" si="100"/>
        <v>#DIV/0!</v>
      </c>
      <c r="T287" s="1288" t="e">
        <f t="shared" si="100"/>
        <v>#DIV/0!</v>
      </c>
      <c r="U287" s="1288" t="e">
        <f t="shared" si="100"/>
        <v>#DIV/0!</v>
      </c>
      <c r="V287" s="1288" t="e">
        <f t="shared" si="100"/>
        <v>#DIV/0!</v>
      </c>
      <c r="W287" s="1288" t="e">
        <f t="shared" si="100"/>
        <v>#DIV/0!</v>
      </c>
      <c r="X287" s="1288" t="e">
        <f t="shared" si="100"/>
        <v>#DIV/0!</v>
      </c>
      <c r="Y287" s="1288" t="e">
        <f t="shared" si="100"/>
        <v>#DIV/0!</v>
      </c>
      <c r="Z287" s="1288" t="e">
        <f t="shared" si="100"/>
        <v>#DIV/0!</v>
      </c>
      <c r="AA287" s="1288" t="e">
        <f t="shared" si="100"/>
        <v>#DIV/0!</v>
      </c>
      <c r="AB287" s="1288" t="e">
        <f t="shared" si="100"/>
        <v>#DIV/0!</v>
      </c>
      <c r="AC287" s="1288" t="e">
        <f t="shared" si="100"/>
        <v>#DIV/0!</v>
      </c>
      <c r="AD287" s="1288" t="e">
        <f t="shared" si="100"/>
        <v>#DIV/0!</v>
      </c>
      <c r="AE287" s="1288" t="e">
        <f t="shared" si="100"/>
        <v>#DIV/0!</v>
      </c>
      <c r="AF287" s="1288" t="e">
        <f t="shared" si="100"/>
        <v>#DIV/0!</v>
      </c>
      <c r="AG287" s="1288" t="e">
        <f t="shared" si="100"/>
        <v>#DIV/0!</v>
      </c>
      <c r="AH287" s="1288" t="e">
        <f t="shared" si="100"/>
        <v>#DIV/0!</v>
      </c>
      <c r="AI287" s="1288" t="e">
        <f t="shared" si="100"/>
        <v>#DIV/0!</v>
      </c>
      <c r="AJ287" s="1288" t="e">
        <f t="shared" si="100"/>
        <v>#DIV/0!</v>
      </c>
      <c r="AK287" s="1288" t="e">
        <f t="shared" si="100"/>
        <v>#DIV/0!</v>
      </c>
      <c r="AL287" s="1288" t="e">
        <f t="shared" si="100"/>
        <v>#DIV/0!</v>
      </c>
      <c r="AM287" s="1288" t="e">
        <f t="shared" si="100"/>
        <v>#DIV/0!</v>
      </c>
      <c r="AN287" s="1288" t="e">
        <f t="shared" ref="AN287:BE287" si="101">SUM(AN280:AN286)</f>
        <v>#DIV/0!</v>
      </c>
      <c r="AO287" s="1288" t="e">
        <f t="shared" si="101"/>
        <v>#DIV/0!</v>
      </c>
      <c r="AP287" s="1288" t="e">
        <f t="shared" si="101"/>
        <v>#DIV/0!</v>
      </c>
      <c r="AQ287" s="1288" t="e">
        <f t="shared" si="101"/>
        <v>#DIV/0!</v>
      </c>
      <c r="AR287" s="1288" t="e">
        <f t="shared" si="101"/>
        <v>#DIV/0!</v>
      </c>
      <c r="AS287" s="1288" t="e">
        <f t="shared" si="101"/>
        <v>#DIV/0!</v>
      </c>
      <c r="AT287" s="1288" t="e">
        <f t="shared" si="101"/>
        <v>#DIV/0!</v>
      </c>
      <c r="AU287" s="1288" t="e">
        <f t="shared" si="101"/>
        <v>#DIV/0!</v>
      </c>
      <c r="AV287" s="1288" t="e">
        <f t="shared" si="101"/>
        <v>#DIV/0!</v>
      </c>
      <c r="AW287" s="1288" t="e">
        <f t="shared" si="101"/>
        <v>#DIV/0!</v>
      </c>
      <c r="AX287" s="1288" t="e">
        <f t="shared" si="101"/>
        <v>#DIV/0!</v>
      </c>
      <c r="AY287" s="1288" t="e">
        <f t="shared" si="101"/>
        <v>#DIV/0!</v>
      </c>
      <c r="AZ287" s="1288" t="e">
        <f t="shared" si="101"/>
        <v>#DIV/0!</v>
      </c>
      <c r="BA287" s="1288" t="e">
        <f t="shared" si="101"/>
        <v>#DIV/0!</v>
      </c>
      <c r="BB287" s="1288" t="e">
        <f t="shared" si="101"/>
        <v>#DIV/0!</v>
      </c>
      <c r="BC287" s="1288" t="e">
        <f t="shared" si="101"/>
        <v>#DIV/0!</v>
      </c>
      <c r="BD287" s="1288" t="e">
        <f t="shared" si="101"/>
        <v>#DIV/0!</v>
      </c>
      <c r="BE287" s="1291" t="e">
        <f t="shared" si="101"/>
        <v>#DIV/0!</v>
      </c>
    </row>
    <row r="288" spans="2:57" x14ac:dyDescent="0.25">
      <c r="B288" s="359"/>
      <c r="C288" s="360"/>
      <c r="D288" s="360"/>
      <c r="E288" s="363"/>
      <c r="F288" s="360"/>
      <c r="G288" s="360"/>
      <c r="H288" s="360"/>
      <c r="I288" s="370"/>
      <c r="J288" s="360"/>
      <c r="K288" s="360"/>
      <c r="L288" s="360"/>
      <c r="M288" s="360"/>
      <c r="N288" s="360"/>
      <c r="O288" s="360"/>
      <c r="P288" s="360"/>
      <c r="Q288" s="360"/>
      <c r="R288" s="360"/>
      <c r="S288" s="360"/>
      <c r="T288" s="360"/>
      <c r="U288" s="360"/>
      <c r="V288" s="360"/>
      <c r="W288" s="360"/>
      <c r="X288" s="360"/>
      <c r="Y288" s="360"/>
      <c r="Z288" s="360"/>
      <c r="AA288" s="360"/>
      <c r="AB288" s="360"/>
      <c r="AC288" s="360"/>
      <c r="AD288" s="360"/>
      <c r="AE288" s="360"/>
      <c r="AF288" s="360"/>
      <c r="AG288" s="360"/>
      <c r="AH288" s="360"/>
      <c r="AI288" s="360"/>
      <c r="AJ288" s="360"/>
      <c r="AK288" s="360"/>
      <c r="AL288" s="360"/>
      <c r="AM288" s="360"/>
      <c r="AN288" s="360"/>
      <c r="AO288" s="360"/>
      <c r="AP288" s="360"/>
      <c r="AQ288" s="360"/>
      <c r="AR288" s="360"/>
      <c r="AS288" s="360"/>
      <c r="AT288" s="360"/>
      <c r="AU288" s="360"/>
      <c r="AV288" s="360"/>
      <c r="AW288" s="360"/>
      <c r="AX288" s="360"/>
      <c r="AY288" s="360"/>
      <c r="AZ288" s="360"/>
      <c r="BA288" s="360"/>
      <c r="BB288" s="360"/>
      <c r="BC288" s="360"/>
      <c r="BD288" s="360"/>
      <c r="BE288" s="361"/>
    </row>
    <row r="289" spans="1:57" x14ac:dyDescent="0.25">
      <c r="B289" s="359" t="s">
        <v>105</v>
      </c>
      <c r="C289" s="360"/>
      <c r="D289" s="360"/>
      <c r="E289" s="363"/>
      <c r="F289" s="360"/>
      <c r="G289" s="1133">
        <f>'II. Inputs, Baseline Energy Mix'!$S$37</f>
        <v>0</v>
      </c>
      <c r="H289" s="360"/>
      <c r="I289" s="370"/>
      <c r="J289" s="360"/>
      <c r="K289" s="360"/>
      <c r="L289" s="360"/>
      <c r="M289" s="360"/>
      <c r="N289" s="360"/>
      <c r="O289" s="360"/>
      <c r="P289" s="360"/>
      <c r="Q289" s="360"/>
      <c r="R289" s="360"/>
      <c r="S289" s="360"/>
      <c r="T289" s="360"/>
      <c r="U289" s="360"/>
      <c r="V289" s="360"/>
      <c r="W289" s="360"/>
      <c r="X289" s="360"/>
      <c r="Y289" s="360"/>
      <c r="Z289" s="360"/>
      <c r="AA289" s="360"/>
      <c r="AB289" s="360"/>
      <c r="AC289" s="360"/>
      <c r="AD289" s="360"/>
      <c r="AE289" s="360"/>
      <c r="AF289" s="360"/>
      <c r="AG289" s="360"/>
      <c r="AH289" s="360"/>
      <c r="AI289" s="360"/>
      <c r="AJ289" s="360"/>
      <c r="AK289" s="360"/>
      <c r="AL289" s="360"/>
      <c r="AM289" s="360"/>
      <c r="AN289" s="360"/>
      <c r="AO289" s="360"/>
      <c r="AP289" s="360"/>
      <c r="AQ289" s="360"/>
      <c r="AR289" s="360"/>
      <c r="AS289" s="360"/>
      <c r="AT289" s="360"/>
      <c r="AU289" s="360"/>
      <c r="AV289" s="360"/>
      <c r="AW289" s="360"/>
      <c r="AX289" s="360"/>
      <c r="AY289" s="360"/>
      <c r="AZ289" s="360"/>
      <c r="BA289" s="360"/>
      <c r="BB289" s="360"/>
      <c r="BC289" s="360"/>
      <c r="BD289" s="360"/>
      <c r="BE289" s="361"/>
    </row>
    <row r="290" spans="1:57" x14ac:dyDescent="0.25">
      <c r="B290" s="359" t="s">
        <v>106</v>
      </c>
      <c r="C290" s="360"/>
      <c r="D290" s="360"/>
      <c r="E290" s="363"/>
      <c r="F290" s="360"/>
      <c r="G290" s="1294" t="e">
        <f>IF(G289="NA", "NA", NPV(G289,H287:BE287)+G287)</f>
        <v>#DIV/0!</v>
      </c>
      <c r="H290" s="360"/>
      <c r="I290" s="370"/>
      <c r="J290" s="360"/>
      <c r="K290" s="360"/>
      <c r="L290" s="360"/>
      <c r="M290" s="360"/>
      <c r="N290" s="360"/>
      <c r="O290" s="360"/>
      <c r="P290" s="360"/>
      <c r="Q290" s="360"/>
      <c r="R290" s="360"/>
      <c r="S290" s="360"/>
      <c r="T290" s="360"/>
      <c r="U290" s="360"/>
      <c r="V290" s="360"/>
      <c r="W290" s="360"/>
      <c r="X290" s="360"/>
      <c r="Y290" s="360"/>
      <c r="Z290" s="360"/>
      <c r="AA290" s="360"/>
      <c r="AB290" s="360"/>
      <c r="AC290" s="360"/>
      <c r="AD290" s="360"/>
      <c r="AE290" s="360"/>
      <c r="AF290" s="360"/>
      <c r="AG290" s="360"/>
      <c r="AH290" s="360"/>
      <c r="AI290" s="360"/>
      <c r="AJ290" s="360"/>
      <c r="AK290" s="360"/>
      <c r="AL290" s="360"/>
      <c r="AM290" s="360"/>
      <c r="AN290" s="360"/>
      <c r="AO290" s="360"/>
      <c r="AP290" s="360"/>
      <c r="AQ290" s="360"/>
      <c r="AR290" s="360"/>
      <c r="AS290" s="360"/>
      <c r="AT290" s="360"/>
      <c r="AU290" s="360"/>
      <c r="AV290" s="360"/>
      <c r="AW290" s="360"/>
      <c r="AX290" s="360"/>
      <c r="AY290" s="360"/>
      <c r="AZ290" s="360"/>
      <c r="BA290" s="360"/>
      <c r="BB290" s="360"/>
      <c r="BC290" s="360"/>
      <c r="BD290" s="360"/>
      <c r="BE290" s="361"/>
    </row>
    <row r="291" spans="1:57" x14ac:dyDescent="0.25">
      <c r="B291" s="359" t="s">
        <v>107</v>
      </c>
      <c r="C291" s="360"/>
      <c r="D291" s="360"/>
      <c r="E291" s="363"/>
      <c r="F291" s="360"/>
      <c r="G291" s="1294">
        <f>IF(G289="NA", "NA", -NPV(G289,H254:BE254))</f>
        <v>0</v>
      </c>
      <c r="H291" s="360"/>
      <c r="I291" s="370"/>
      <c r="J291" s="360"/>
      <c r="K291" s="360"/>
      <c r="L291" s="360"/>
      <c r="M291" s="360"/>
      <c r="N291" s="360"/>
      <c r="O291" s="360"/>
      <c r="P291" s="360"/>
      <c r="Q291" s="360"/>
      <c r="R291" s="360"/>
      <c r="S291" s="360"/>
      <c r="T291" s="360"/>
      <c r="U291" s="360"/>
      <c r="V291" s="360"/>
      <c r="W291" s="360"/>
      <c r="X291" s="360"/>
      <c r="Y291" s="360"/>
      <c r="Z291" s="360"/>
      <c r="AA291" s="360"/>
      <c r="AB291" s="360"/>
      <c r="AC291" s="360"/>
      <c r="AD291" s="360"/>
      <c r="AE291" s="360"/>
      <c r="AF291" s="360"/>
      <c r="AG291" s="360"/>
      <c r="AH291" s="360"/>
      <c r="AI291" s="360"/>
      <c r="AJ291" s="360"/>
      <c r="AK291" s="360"/>
      <c r="AL291" s="360"/>
      <c r="AM291" s="360"/>
      <c r="AN291" s="360"/>
      <c r="AO291" s="360"/>
      <c r="AP291" s="360"/>
      <c r="AQ291" s="360"/>
      <c r="AR291" s="360"/>
      <c r="AS291" s="360"/>
      <c r="AT291" s="360"/>
      <c r="AU291" s="360"/>
      <c r="AV291" s="360"/>
      <c r="AW291" s="360"/>
      <c r="AX291" s="360"/>
      <c r="AY291" s="360"/>
      <c r="AZ291" s="360"/>
      <c r="BA291" s="360"/>
      <c r="BB291" s="360"/>
      <c r="BC291" s="360"/>
      <c r="BD291" s="360"/>
      <c r="BE291" s="361"/>
    </row>
    <row r="292" spans="1:57" ht="13.8" thickBot="1" x14ac:dyDescent="0.3">
      <c r="B292" s="359" t="s">
        <v>108</v>
      </c>
      <c r="C292" s="360"/>
      <c r="D292" s="360"/>
      <c r="E292" s="363"/>
      <c r="F292" s="363" t="s">
        <v>633</v>
      </c>
      <c r="G292" s="1295" t="str">
        <f>IF(OR(G291=0,G289="NA"), "NA", G290/G291)</f>
        <v>NA</v>
      </c>
      <c r="H292" s="360"/>
      <c r="I292" s="370"/>
      <c r="J292" s="360"/>
      <c r="K292" s="360"/>
      <c r="L292" s="360"/>
      <c r="M292" s="360"/>
      <c r="N292" s="360"/>
      <c r="O292" s="360"/>
      <c r="P292" s="360"/>
      <c r="Q292" s="360"/>
      <c r="R292" s="360"/>
      <c r="S292" s="360"/>
      <c r="T292" s="360"/>
      <c r="U292" s="360"/>
      <c r="V292" s="360"/>
      <c r="W292" s="360"/>
      <c r="X292" s="360"/>
      <c r="Y292" s="360"/>
      <c r="Z292" s="360"/>
      <c r="AA292" s="360"/>
      <c r="AB292" s="360"/>
      <c r="AC292" s="360"/>
      <c r="AD292" s="360"/>
      <c r="AE292" s="360"/>
      <c r="AF292" s="360"/>
      <c r="AG292" s="360"/>
      <c r="AH292" s="360"/>
      <c r="AI292" s="360"/>
      <c r="AJ292" s="360"/>
      <c r="AK292" s="360"/>
      <c r="AL292" s="360"/>
      <c r="AM292" s="360"/>
      <c r="AN292" s="360"/>
      <c r="AO292" s="360"/>
      <c r="AP292" s="360"/>
      <c r="AQ292" s="360"/>
      <c r="AR292" s="360"/>
      <c r="AS292" s="360"/>
      <c r="AT292" s="360"/>
      <c r="AU292" s="360"/>
      <c r="AV292" s="360"/>
      <c r="AW292" s="360"/>
      <c r="AX292" s="360"/>
      <c r="AY292" s="360"/>
      <c r="AZ292" s="360"/>
      <c r="BA292" s="360"/>
      <c r="BB292" s="360"/>
      <c r="BC292" s="360"/>
      <c r="BD292" s="360"/>
      <c r="BE292" s="361"/>
    </row>
    <row r="293" spans="1:57" ht="13.8" thickBot="1" x14ac:dyDescent="0.3">
      <c r="B293" s="373" t="s">
        <v>109</v>
      </c>
      <c r="C293" s="374"/>
      <c r="D293" s="374"/>
      <c r="E293" s="375"/>
      <c r="F293" s="375" t="s">
        <v>632</v>
      </c>
      <c r="G293" s="1296" t="str">
        <f>IF(G292="NA", "NA", $G$292/(1-'II. Inputs, Baseline Energy Mix'!$S$19))</f>
        <v>NA</v>
      </c>
      <c r="H293" s="360"/>
      <c r="I293" s="370"/>
      <c r="J293" s="360"/>
      <c r="K293" s="360"/>
      <c r="L293" s="360"/>
      <c r="M293" s="360"/>
      <c r="N293" s="360"/>
      <c r="O293" s="360"/>
      <c r="P293" s="360"/>
      <c r="Q293" s="360"/>
      <c r="R293" s="360"/>
      <c r="S293" s="360"/>
      <c r="T293" s="360"/>
      <c r="U293" s="360"/>
      <c r="V293" s="360"/>
      <c r="W293" s="360"/>
      <c r="X293" s="360"/>
      <c r="Y293" s="360"/>
      <c r="Z293" s="360"/>
      <c r="AA293" s="360"/>
      <c r="AB293" s="360"/>
      <c r="AC293" s="360"/>
      <c r="AD293" s="360"/>
      <c r="AE293" s="360"/>
      <c r="AF293" s="360"/>
      <c r="AG293" s="360"/>
      <c r="AH293" s="360"/>
      <c r="AI293" s="360"/>
      <c r="AJ293" s="360"/>
      <c r="AK293" s="360"/>
      <c r="AL293" s="360"/>
      <c r="AM293" s="360"/>
      <c r="AN293" s="360"/>
      <c r="AO293" s="360"/>
      <c r="AP293" s="360"/>
      <c r="AQ293" s="360"/>
      <c r="AR293" s="360"/>
      <c r="AS293" s="360"/>
      <c r="AT293" s="360"/>
      <c r="AU293" s="360"/>
      <c r="AV293" s="360"/>
      <c r="AW293" s="360"/>
      <c r="AX293" s="360"/>
      <c r="AY293" s="360"/>
      <c r="AZ293" s="360"/>
      <c r="BA293" s="360"/>
      <c r="BB293" s="360"/>
      <c r="BC293" s="360"/>
      <c r="BD293" s="360"/>
      <c r="BE293" s="361"/>
    </row>
    <row r="294" spans="1:57" ht="13.8" thickBot="1" x14ac:dyDescent="0.3">
      <c r="B294" s="376"/>
      <c r="C294" s="377"/>
      <c r="D294" s="377"/>
      <c r="E294" s="378"/>
      <c r="F294" s="378"/>
      <c r="G294" s="379"/>
      <c r="H294" s="380"/>
      <c r="I294" s="381"/>
      <c r="J294" s="380"/>
      <c r="K294" s="380"/>
      <c r="L294" s="380"/>
      <c r="M294" s="380"/>
      <c r="N294" s="380"/>
      <c r="O294" s="380"/>
      <c r="P294" s="380"/>
      <c r="Q294" s="380"/>
      <c r="R294" s="380"/>
      <c r="S294" s="380"/>
      <c r="T294" s="380"/>
      <c r="U294" s="380"/>
      <c r="V294" s="380"/>
      <c r="W294" s="380"/>
      <c r="X294" s="380"/>
      <c r="Y294" s="380"/>
      <c r="Z294" s="380"/>
      <c r="AA294" s="380"/>
      <c r="AB294" s="380"/>
      <c r="AC294" s="380"/>
      <c r="AD294" s="380"/>
      <c r="AE294" s="380"/>
      <c r="AF294" s="380"/>
      <c r="AG294" s="380"/>
      <c r="AH294" s="380"/>
      <c r="AI294" s="380"/>
      <c r="AJ294" s="380"/>
      <c r="AK294" s="380"/>
      <c r="AL294" s="380"/>
      <c r="AM294" s="380"/>
      <c r="AN294" s="380"/>
      <c r="AO294" s="380"/>
      <c r="AP294" s="380"/>
      <c r="AQ294" s="380"/>
      <c r="AR294" s="380"/>
      <c r="AS294" s="380"/>
      <c r="AT294" s="380"/>
      <c r="AU294" s="380"/>
      <c r="AV294" s="380"/>
      <c r="AW294" s="380"/>
      <c r="AX294" s="380"/>
      <c r="AY294" s="380"/>
      <c r="AZ294" s="380"/>
      <c r="BA294" s="380"/>
      <c r="BB294" s="380"/>
      <c r="BC294" s="380"/>
      <c r="BD294" s="380"/>
      <c r="BE294" s="382"/>
    </row>
    <row r="295" spans="1:57" x14ac:dyDescent="0.25">
      <c r="B295" s="43"/>
      <c r="C295" s="43"/>
      <c r="D295" s="43"/>
      <c r="E295" s="208"/>
      <c r="F295" s="208"/>
      <c r="G295" s="328"/>
      <c r="I295" s="250"/>
    </row>
    <row r="296" spans="1:57" x14ac:dyDescent="0.25">
      <c r="B296" s="43"/>
      <c r="C296" s="43"/>
      <c r="D296" s="43"/>
      <c r="E296" s="208"/>
      <c r="F296" s="208"/>
      <c r="G296" s="328"/>
      <c r="I296" s="250"/>
    </row>
    <row r="297" spans="1:57" s="8" customFormat="1" ht="12.75" customHeight="1" x14ac:dyDescent="0.25">
      <c r="A297" s="44" t="s">
        <v>261</v>
      </c>
      <c r="B297" s="44"/>
      <c r="C297" s="44"/>
      <c r="D297" s="44"/>
      <c r="E297" s="44"/>
      <c r="F297" s="44"/>
      <c r="G297" s="44"/>
      <c r="H297" s="44"/>
      <c r="I297" s="44"/>
      <c r="J297" s="45"/>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c r="BC297" s="46"/>
      <c r="BD297" s="46"/>
      <c r="BE297" s="46"/>
    </row>
    <row r="298" spans="1:57" x14ac:dyDescent="0.25">
      <c r="B298" s="36"/>
    </row>
    <row r="299" spans="1:57" s="36" customFormat="1" x14ac:dyDescent="0.25">
      <c r="B299" s="214" t="s">
        <v>58</v>
      </c>
      <c r="C299" s="215"/>
      <c r="D299" s="215"/>
      <c r="E299" s="216"/>
      <c r="F299" s="215"/>
      <c r="G299" s="216">
        <v>0</v>
      </c>
      <c r="H299" s="216">
        <v>1</v>
      </c>
      <c r="I299" s="216">
        <v>2</v>
      </c>
      <c r="J299" s="216">
        <v>3</v>
      </c>
      <c r="K299" s="216">
        <v>4</v>
      </c>
      <c r="L299" s="216">
        <v>5</v>
      </c>
      <c r="M299" s="216">
        <v>6</v>
      </c>
      <c r="N299" s="216">
        <v>7</v>
      </c>
      <c r="O299" s="216">
        <v>8</v>
      </c>
      <c r="P299" s="216">
        <v>9</v>
      </c>
      <c r="Q299" s="216">
        <v>10</v>
      </c>
      <c r="R299" s="216">
        <v>11</v>
      </c>
      <c r="S299" s="216">
        <v>12</v>
      </c>
      <c r="T299" s="216">
        <v>13</v>
      </c>
      <c r="U299" s="216">
        <v>14</v>
      </c>
      <c r="V299" s="216">
        <v>15</v>
      </c>
      <c r="W299" s="216">
        <v>16</v>
      </c>
      <c r="X299" s="216">
        <v>17</v>
      </c>
      <c r="Y299" s="216">
        <v>18</v>
      </c>
      <c r="Z299" s="216">
        <v>19</v>
      </c>
      <c r="AA299" s="216">
        <v>20</v>
      </c>
      <c r="AB299" s="216">
        <v>21</v>
      </c>
      <c r="AC299" s="216">
        <v>22</v>
      </c>
      <c r="AD299" s="216">
        <v>23</v>
      </c>
      <c r="AE299" s="216">
        <v>24</v>
      </c>
      <c r="AF299" s="216">
        <v>25</v>
      </c>
      <c r="AG299" s="216">
        <v>26</v>
      </c>
      <c r="AH299" s="216">
        <v>27</v>
      </c>
      <c r="AI299" s="216">
        <v>28</v>
      </c>
      <c r="AJ299" s="216">
        <v>29</v>
      </c>
      <c r="AK299" s="216">
        <v>30</v>
      </c>
      <c r="AL299" s="216">
        <v>31</v>
      </c>
      <c r="AM299" s="216">
        <v>32</v>
      </c>
      <c r="AN299" s="216">
        <v>33</v>
      </c>
      <c r="AO299" s="216">
        <v>34</v>
      </c>
      <c r="AP299" s="216">
        <v>35</v>
      </c>
      <c r="AQ299" s="216">
        <v>36</v>
      </c>
      <c r="AR299" s="216">
        <v>37</v>
      </c>
      <c r="AS299" s="216">
        <v>38</v>
      </c>
      <c r="AT299" s="216">
        <v>39</v>
      </c>
      <c r="AU299" s="216">
        <v>40</v>
      </c>
      <c r="AV299" s="216">
        <v>41</v>
      </c>
      <c r="AW299" s="216">
        <v>42</v>
      </c>
      <c r="AX299" s="216">
        <v>43</v>
      </c>
      <c r="AY299" s="216">
        <v>44</v>
      </c>
      <c r="AZ299" s="216">
        <v>45</v>
      </c>
      <c r="BA299" s="216">
        <v>46</v>
      </c>
      <c r="BB299" s="216">
        <v>47</v>
      </c>
      <c r="BC299" s="216">
        <v>48</v>
      </c>
      <c r="BD299" s="216">
        <v>49</v>
      </c>
      <c r="BE299" s="216">
        <v>50</v>
      </c>
    </row>
    <row r="300" spans="1:57" ht="13.8" thickBot="1" x14ac:dyDescent="0.3">
      <c r="B300" s="33"/>
      <c r="C300" s="34"/>
      <c r="D300" s="34"/>
      <c r="E300" s="209"/>
      <c r="G300" s="209"/>
      <c r="H300" s="209"/>
      <c r="I300" s="209"/>
      <c r="J300" s="209"/>
      <c r="K300" s="209"/>
      <c r="L300" s="209"/>
      <c r="M300" s="209"/>
      <c r="N300" s="209"/>
      <c r="O300" s="209"/>
      <c r="P300" s="209"/>
      <c r="Q300" s="209"/>
      <c r="R300" s="209"/>
      <c r="S300" s="209"/>
      <c r="T300" s="209"/>
      <c r="U300" s="209"/>
      <c r="V300" s="209"/>
      <c r="W300" s="209"/>
      <c r="X300" s="209"/>
      <c r="Y300" s="209"/>
      <c r="Z300" s="209"/>
      <c r="AA300" s="209"/>
      <c r="AB300" s="209"/>
      <c r="AC300" s="209"/>
      <c r="AD300" s="209"/>
      <c r="AE300" s="209"/>
      <c r="AF300" s="209"/>
      <c r="AG300" s="209"/>
      <c r="AH300" s="209"/>
      <c r="AI300" s="209"/>
      <c r="AJ300" s="209"/>
      <c r="AK300" s="209"/>
      <c r="AL300" s="209"/>
      <c r="AM300" s="209"/>
      <c r="AN300" s="209"/>
      <c r="AO300" s="209"/>
      <c r="AP300" s="209"/>
      <c r="AQ300" s="209"/>
      <c r="AR300" s="209"/>
      <c r="AS300" s="209"/>
      <c r="AT300" s="209"/>
      <c r="AU300" s="209"/>
      <c r="AV300" s="209"/>
      <c r="AW300" s="209"/>
      <c r="AX300" s="209"/>
      <c r="AY300" s="209"/>
      <c r="AZ300" s="209"/>
      <c r="BA300" s="209"/>
      <c r="BB300" s="209"/>
      <c r="BC300" s="209"/>
      <c r="BD300" s="209"/>
      <c r="BE300" s="209"/>
    </row>
    <row r="301" spans="1:57" x14ac:dyDescent="0.25">
      <c r="B301" s="217" t="str">
        <f>$B$15</f>
        <v>NATURAL GAS</v>
      </c>
      <c r="C301" s="218"/>
      <c r="D301" s="218"/>
      <c r="E301" s="218"/>
      <c r="F301" s="218"/>
      <c r="G301" s="218"/>
      <c r="H301" s="218"/>
      <c r="I301" s="218"/>
      <c r="J301" s="218"/>
      <c r="K301" s="218"/>
      <c r="L301" s="218"/>
      <c r="M301" s="218"/>
      <c r="N301" s="218"/>
      <c r="O301" s="218"/>
      <c r="P301" s="218"/>
      <c r="Q301" s="218"/>
      <c r="R301" s="218"/>
      <c r="S301" s="218"/>
      <c r="T301" s="218"/>
      <c r="U301" s="218"/>
      <c r="V301" s="218"/>
      <c r="W301" s="218"/>
      <c r="X301" s="218"/>
      <c r="Y301" s="218"/>
      <c r="Z301" s="218"/>
      <c r="AA301" s="218"/>
      <c r="AB301" s="218"/>
      <c r="AC301" s="218"/>
      <c r="AD301" s="218"/>
      <c r="AE301" s="218"/>
      <c r="AF301" s="218"/>
      <c r="AG301" s="218"/>
      <c r="AH301" s="218"/>
      <c r="AI301" s="218"/>
      <c r="AJ301" s="218"/>
      <c r="AK301" s="218"/>
      <c r="AL301" s="218"/>
      <c r="AM301" s="218"/>
      <c r="AN301" s="218"/>
      <c r="AO301" s="218"/>
      <c r="AP301" s="218"/>
      <c r="AQ301" s="218"/>
      <c r="AR301" s="218"/>
      <c r="AS301" s="218"/>
      <c r="AT301" s="218"/>
      <c r="AU301" s="218"/>
      <c r="AV301" s="218"/>
      <c r="AW301" s="218"/>
      <c r="AX301" s="218"/>
      <c r="AY301" s="218"/>
      <c r="AZ301" s="218"/>
      <c r="BA301" s="218"/>
      <c r="BB301" s="218"/>
      <c r="BC301" s="218"/>
      <c r="BD301" s="218"/>
      <c r="BE301" s="219"/>
    </row>
    <row r="302" spans="1:57" x14ac:dyDescent="0.25">
      <c r="B302" s="223"/>
      <c r="C302" s="221"/>
      <c r="D302" s="221"/>
      <c r="E302" s="221"/>
      <c r="F302" s="221"/>
      <c r="G302" s="221"/>
      <c r="H302" s="221"/>
      <c r="I302" s="221"/>
      <c r="J302" s="221"/>
      <c r="K302" s="221"/>
      <c r="L302" s="221"/>
      <c r="M302" s="221"/>
      <c r="N302" s="221"/>
      <c r="O302" s="221"/>
      <c r="P302" s="221"/>
      <c r="Q302" s="221"/>
      <c r="R302" s="221"/>
      <c r="S302" s="221"/>
      <c r="T302" s="221"/>
      <c r="U302" s="221"/>
      <c r="V302" s="221"/>
      <c r="W302" s="221"/>
      <c r="X302" s="221"/>
      <c r="Y302" s="221"/>
      <c r="Z302" s="221"/>
      <c r="AA302" s="221"/>
      <c r="AB302" s="221"/>
      <c r="AC302" s="221"/>
      <c r="AD302" s="221"/>
      <c r="AE302" s="221"/>
      <c r="AF302" s="221"/>
      <c r="AG302" s="221"/>
      <c r="AH302" s="221"/>
      <c r="AI302" s="221"/>
      <c r="AJ302" s="221"/>
      <c r="AK302" s="221"/>
      <c r="AL302" s="221"/>
      <c r="AM302" s="221"/>
      <c r="AN302" s="221"/>
      <c r="AO302" s="221"/>
      <c r="AP302" s="221"/>
      <c r="AQ302" s="221"/>
      <c r="AR302" s="221"/>
      <c r="AS302" s="221"/>
      <c r="AT302" s="221"/>
      <c r="AU302" s="221"/>
      <c r="AV302" s="221"/>
      <c r="AW302" s="221"/>
      <c r="AX302" s="221"/>
      <c r="AY302" s="221"/>
      <c r="AZ302" s="221"/>
      <c r="BA302" s="221"/>
      <c r="BB302" s="221"/>
      <c r="BC302" s="221"/>
      <c r="BD302" s="221"/>
      <c r="BE302" s="222"/>
    </row>
    <row r="303" spans="1:57" x14ac:dyDescent="0.25">
      <c r="B303" s="220" t="s">
        <v>258</v>
      </c>
      <c r="C303" s="221"/>
      <c r="D303" s="221"/>
      <c r="E303" s="221"/>
      <c r="F303" s="221"/>
      <c r="G303" s="221"/>
      <c r="H303" s="221"/>
      <c r="I303" s="221"/>
      <c r="J303" s="221"/>
      <c r="K303" s="221"/>
      <c r="L303" s="221"/>
      <c r="M303" s="221"/>
      <c r="N303" s="221"/>
      <c r="O303" s="221"/>
      <c r="P303" s="221"/>
      <c r="Q303" s="221"/>
      <c r="R303" s="221"/>
      <c r="S303" s="221"/>
      <c r="T303" s="221"/>
      <c r="U303" s="221"/>
      <c r="V303" s="221"/>
      <c r="W303" s="221"/>
      <c r="X303" s="221"/>
      <c r="Y303" s="221"/>
      <c r="Z303" s="221"/>
      <c r="AA303" s="221"/>
      <c r="AB303" s="221"/>
      <c r="AC303" s="221"/>
      <c r="AD303" s="221"/>
      <c r="AE303" s="221"/>
      <c r="AF303" s="221"/>
      <c r="AG303" s="221"/>
      <c r="AH303" s="221"/>
      <c r="AI303" s="221"/>
      <c r="AJ303" s="221"/>
      <c r="AK303" s="221"/>
      <c r="AL303" s="221"/>
      <c r="AM303" s="221"/>
      <c r="AN303" s="221"/>
      <c r="AO303" s="221"/>
      <c r="AP303" s="221"/>
      <c r="AQ303" s="221"/>
      <c r="AR303" s="221"/>
      <c r="AS303" s="221"/>
      <c r="AT303" s="221"/>
      <c r="AU303" s="221"/>
      <c r="AV303" s="221"/>
      <c r="AW303" s="221"/>
      <c r="AX303" s="221"/>
      <c r="AY303" s="221"/>
      <c r="AZ303" s="221"/>
      <c r="BA303" s="221"/>
      <c r="BB303" s="221"/>
      <c r="BC303" s="221"/>
      <c r="BD303" s="221"/>
      <c r="BE303" s="222"/>
    </row>
    <row r="304" spans="1:57" x14ac:dyDescent="0.25">
      <c r="B304" s="223"/>
      <c r="C304" s="383" t="s">
        <v>68</v>
      </c>
      <c r="D304" s="225" t="s">
        <v>631</v>
      </c>
      <c r="E304" s="221"/>
      <c r="F304" s="221"/>
      <c r="G304" s="1239">
        <f>IF('II. Inputs, Baseline Energy Mix'!$N$15&gt;0,('II. Inputs, Baseline Energy Mix'!$N$16*'II. Inputs, Baseline Energy Mix'!$N$17*'II. Inputs, Baseline Energy Mix'!$N$30*'II. Inputs, Baseline Energy Mix'!$N$32),0)</f>
        <v>0</v>
      </c>
      <c r="H304" s="221"/>
      <c r="I304" s="221"/>
      <c r="J304" s="221"/>
      <c r="K304" s="221"/>
      <c r="L304" s="221"/>
      <c r="M304" s="221"/>
      <c r="N304" s="221"/>
      <c r="O304" s="221"/>
      <c r="P304" s="221"/>
      <c r="Q304" s="221"/>
      <c r="R304" s="221"/>
      <c r="S304" s="221"/>
      <c r="T304" s="221"/>
      <c r="U304" s="221"/>
      <c r="V304" s="221"/>
      <c r="W304" s="221"/>
      <c r="X304" s="221"/>
      <c r="Y304" s="221"/>
      <c r="Z304" s="221"/>
      <c r="AA304" s="221"/>
      <c r="AB304" s="221"/>
      <c r="AC304" s="221"/>
      <c r="AD304" s="221"/>
      <c r="AE304" s="221"/>
      <c r="AF304" s="221"/>
      <c r="AG304" s="221"/>
      <c r="AH304" s="221"/>
      <c r="AI304" s="221"/>
      <c r="AJ304" s="221"/>
      <c r="AK304" s="221"/>
      <c r="AL304" s="221"/>
      <c r="AM304" s="221"/>
      <c r="AN304" s="221"/>
      <c r="AO304" s="221"/>
      <c r="AP304" s="221"/>
      <c r="AQ304" s="221"/>
      <c r="AR304" s="221"/>
      <c r="AS304" s="221"/>
      <c r="AT304" s="221"/>
      <c r="AU304" s="221"/>
      <c r="AV304" s="221"/>
      <c r="AW304" s="221"/>
      <c r="AX304" s="221"/>
      <c r="AY304" s="221"/>
      <c r="AZ304" s="221"/>
      <c r="BA304" s="221"/>
      <c r="BB304" s="221"/>
      <c r="BC304" s="221"/>
      <c r="BD304" s="221"/>
      <c r="BE304" s="222"/>
    </row>
    <row r="305" spans="2:57" x14ac:dyDescent="0.25">
      <c r="B305" s="223"/>
      <c r="C305" s="383" t="s">
        <v>69</v>
      </c>
      <c r="D305" s="225" t="s">
        <v>20</v>
      </c>
      <c r="E305" s="221"/>
      <c r="F305" s="221"/>
      <c r="G305" s="224">
        <f>SUM('II. Inputs, Baseline Energy Mix'!$N$69)</f>
        <v>0</v>
      </c>
      <c r="H305" s="221"/>
      <c r="I305" s="221"/>
      <c r="J305" s="221"/>
      <c r="K305" s="221"/>
      <c r="L305" s="221"/>
      <c r="M305" s="221"/>
      <c r="N305" s="221"/>
      <c r="O305" s="221"/>
      <c r="P305" s="221"/>
      <c r="Q305" s="221"/>
      <c r="R305" s="221"/>
      <c r="S305" s="221"/>
      <c r="T305" s="221"/>
      <c r="U305" s="221"/>
      <c r="V305" s="221"/>
      <c r="W305" s="221"/>
      <c r="X305" s="221"/>
      <c r="Y305" s="221"/>
      <c r="Z305" s="221"/>
      <c r="AA305" s="221"/>
      <c r="AB305" s="221"/>
      <c r="AC305" s="221"/>
      <c r="AD305" s="221"/>
      <c r="AE305" s="221"/>
      <c r="AF305" s="221"/>
      <c r="AG305" s="221"/>
      <c r="AH305" s="221"/>
      <c r="AI305" s="221"/>
      <c r="AJ305" s="221"/>
      <c r="AK305" s="221"/>
      <c r="AL305" s="221"/>
      <c r="AM305" s="221"/>
      <c r="AN305" s="221"/>
      <c r="AO305" s="221"/>
      <c r="AP305" s="221"/>
      <c r="AQ305" s="221"/>
      <c r="AR305" s="221"/>
      <c r="AS305" s="221"/>
      <c r="AT305" s="221"/>
      <c r="AU305" s="221"/>
      <c r="AV305" s="221"/>
      <c r="AW305" s="221"/>
      <c r="AX305" s="221"/>
      <c r="AY305" s="221"/>
      <c r="AZ305" s="221"/>
      <c r="BA305" s="221"/>
      <c r="BB305" s="221"/>
      <c r="BC305" s="221"/>
      <c r="BD305" s="221"/>
      <c r="BE305" s="222"/>
    </row>
    <row r="306" spans="2:57" x14ac:dyDescent="0.25">
      <c r="B306" s="223"/>
      <c r="C306" s="383" t="s">
        <v>70</v>
      </c>
      <c r="D306" s="225" t="s">
        <v>16</v>
      </c>
      <c r="E306" s="221"/>
      <c r="F306" s="221"/>
      <c r="G306" s="1134">
        <f>SUM('II. Inputs, Baseline Energy Mix'!$N$68)</f>
        <v>0</v>
      </c>
      <c r="H306" s="221"/>
      <c r="I306" s="221"/>
      <c r="J306" s="221"/>
      <c r="K306" s="221"/>
      <c r="L306" s="221"/>
      <c r="M306" s="221"/>
      <c r="N306" s="221"/>
      <c r="O306" s="221"/>
      <c r="P306" s="221"/>
      <c r="Q306" s="221"/>
      <c r="R306" s="221"/>
      <c r="S306" s="221"/>
      <c r="T306" s="221"/>
      <c r="U306" s="221"/>
      <c r="V306" s="221"/>
      <c r="W306" s="221"/>
      <c r="X306" s="221"/>
      <c r="Y306" s="221"/>
      <c r="Z306" s="221"/>
      <c r="AA306" s="221"/>
      <c r="AB306" s="221"/>
      <c r="AC306" s="221"/>
      <c r="AD306" s="221"/>
      <c r="AE306" s="221"/>
      <c r="AF306" s="221"/>
      <c r="AG306" s="221"/>
      <c r="AH306" s="221"/>
      <c r="AI306" s="221"/>
      <c r="AJ306" s="221"/>
      <c r="AK306" s="221"/>
      <c r="AL306" s="221"/>
      <c r="AM306" s="221"/>
      <c r="AN306" s="221"/>
      <c r="AO306" s="221"/>
      <c r="AP306" s="221"/>
      <c r="AQ306" s="221"/>
      <c r="AR306" s="221"/>
      <c r="AS306" s="221"/>
      <c r="AT306" s="221"/>
      <c r="AU306" s="221"/>
      <c r="AV306" s="221"/>
      <c r="AW306" s="221"/>
      <c r="AX306" s="221"/>
      <c r="AY306" s="221"/>
      <c r="AZ306" s="221"/>
      <c r="BA306" s="221"/>
      <c r="BB306" s="221"/>
      <c r="BC306" s="221"/>
      <c r="BD306" s="221"/>
      <c r="BE306" s="222"/>
    </row>
    <row r="307" spans="2:57" x14ac:dyDescent="0.25">
      <c r="B307" s="223"/>
      <c r="C307" s="221"/>
      <c r="D307" s="221"/>
      <c r="E307" s="221"/>
      <c r="F307" s="221"/>
      <c r="G307" s="221"/>
      <c r="H307" s="221"/>
      <c r="I307" s="221"/>
      <c r="J307" s="221"/>
      <c r="K307" s="221"/>
      <c r="L307" s="221"/>
      <c r="M307" s="221"/>
      <c r="N307" s="221"/>
      <c r="O307" s="221"/>
      <c r="P307" s="221"/>
      <c r="Q307" s="221"/>
      <c r="R307" s="221"/>
      <c r="S307" s="221"/>
      <c r="T307" s="221"/>
      <c r="U307" s="221"/>
      <c r="V307" s="221"/>
      <c r="W307" s="221"/>
      <c r="X307" s="221"/>
      <c r="Y307" s="221"/>
      <c r="Z307" s="221"/>
      <c r="AA307" s="221"/>
      <c r="AB307" s="221"/>
      <c r="AC307" s="221"/>
      <c r="AD307" s="221"/>
      <c r="AE307" s="221"/>
      <c r="AF307" s="221"/>
      <c r="AG307" s="221"/>
      <c r="AH307" s="221"/>
      <c r="AI307" s="221"/>
      <c r="AJ307" s="221"/>
      <c r="AK307" s="221"/>
      <c r="AL307" s="221"/>
      <c r="AM307" s="221"/>
      <c r="AN307" s="221"/>
      <c r="AO307" s="221"/>
      <c r="AP307" s="221"/>
      <c r="AQ307" s="221"/>
      <c r="AR307" s="221"/>
      <c r="AS307" s="221"/>
      <c r="AT307" s="221"/>
      <c r="AU307" s="221"/>
      <c r="AV307" s="221"/>
      <c r="AW307" s="221"/>
      <c r="AX307" s="221"/>
      <c r="AY307" s="221"/>
      <c r="AZ307" s="221"/>
      <c r="BA307" s="221"/>
      <c r="BB307" s="221"/>
      <c r="BC307" s="221"/>
      <c r="BD307" s="221"/>
      <c r="BE307" s="222"/>
    </row>
    <row r="308" spans="2:57" x14ac:dyDescent="0.25">
      <c r="B308" s="223"/>
      <c r="C308" s="385" t="s">
        <v>67</v>
      </c>
      <c r="D308" s="221"/>
      <c r="E308" s="221"/>
      <c r="F308" s="221"/>
      <c r="G308" s="221"/>
      <c r="H308" s="221"/>
      <c r="I308" s="221"/>
      <c r="J308" s="221"/>
      <c r="K308" s="221"/>
      <c r="L308" s="221"/>
      <c r="M308" s="221"/>
      <c r="N308" s="221"/>
      <c r="O308" s="221"/>
      <c r="P308" s="221"/>
      <c r="Q308" s="221"/>
      <c r="R308" s="221"/>
      <c r="S308" s="221"/>
      <c r="T308" s="221"/>
      <c r="U308" s="221"/>
      <c r="V308" s="221"/>
      <c r="W308" s="221"/>
      <c r="X308" s="221"/>
      <c r="Y308" s="221"/>
      <c r="Z308" s="221"/>
      <c r="AA308" s="221"/>
      <c r="AB308" s="221"/>
      <c r="AC308" s="221"/>
      <c r="AD308" s="221"/>
      <c r="AE308" s="221"/>
      <c r="AF308" s="221"/>
      <c r="AG308" s="221"/>
      <c r="AH308" s="221"/>
      <c r="AI308" s="221"/>
      <c r="AJ308" s="221"/>
      <c r="AK308" s="221"/>
      <c r="AL308" s="221"/>
      <c r="AM308" s="221"/>
      <c r="AN308" s="221"/>
      <c r="AO308" s="221"/>
      <c r="AP308" s="221"/>
      <c r="AQ308" s="221"/>
      <c r="AR308" s="221"/>
      <c r="AS308" s="221"/>
      <c r="AT308" s="221"/>
      <c r="AU308" s="221"/>
      <c r="AV308" s="221"/>
      <c r="AW308" s="221"/>
      <c r="AX308" s="221"/>
      <c r="AY308" s="221"/>
      <c r="AZ308" s="221"/>
      <c r="BA308" s="221"/>
      <c r="BB308" s="221"/>
      <c r="BC308" s="221"/>
      <c r="BD308" s="221"/>
      <c r="BE308" s="222"/>
    </row>
    <row r="309" spans="2:57" x14ac:dyDescent="0.25">
      <c r="B309" s="223"/>
      <c r="C309" s="221" t="s">
        <v>73</v>
      </c>
      <c r="D309" s="221"/>
      <c r="E309" s="221"/>
      <c r="F309" s="221"/>
      <c r="G309" s="1239"/>
      <c r="H309" s="1239">
        <f>IF(H$299&gt;$G$305,0,IPMT($G$306,H$299,$G$305,-$G$304))</f>
        <v>0</v>
      </c>
      <c r="I309" s="1239">
        <f t="shared" ref="I309:BE309" si="102">IF(I$299&gt;$G$305,0,IPMT($G$306,I$299,$G$305,-$G$304))</f>
        <v>0</v>
      </c>
      <c r="J309" s="1239">
        <f t="shared" si="102"/>
        <v>0</v>
      </c>
      <c r="K309" s="1239">
        <f t="shared" si="102"/>
        <v>0</v>
      </c>
      <c r="L309" s="1239">
        <f t="shared" si="102"/>
        <v>0</v>
      </c>
      <c r="M309" s="1239">
        <f t="shared" si="102"/>
        <v>0</v>
      </c>
      <c r="N309" s="1239">
        <f t="shared" si="102"/>
        <v>0</v>
      </c>
      <c r="O309" s="1239">
        <f t="shared" si="102"/>
        <v>0</v>
      </c>
      <c r="P309" s="1239">
        <f t="shared" si="102"/>
        <v>0</v>
      </c>
      <c r="Q309" s="1239">
        <f t="shared" si="102"/>
        <v>0</v>
      </c>
      <c r="R309" s="1239">
        <f t="shared" si="102"/>
        <v>0</v>
      </c>
      <c r="S309" s="1239">
        <f t="shared" si="102"/>
        <v>0</v>
      </c>
      <c r="T309" s="1239">
        <f t="shared" si="102"/>
        <v>0</v>
      </c>
      <c r="U309" s="1239">
        <f t="shared" si="102"/>
        <v>0</v>
      </c>
      <c r="V309" s="1239">
        <f t="shared" si="102"/>
        <v>0</v>
      </c>
      <c r="W309" s="1239">
        <f t="shared" si="102"/>
        <v>0</v>
      </c>
      <c r="X309" s="1239">
        <f t="shared" si="102"/>
        <v>0</v>
      </c>
      <c r="Y309" s="1239">
        <f t="shared" si="102"/>
        <v>0</v>
      </c>
      <c r="Z309" s="1239">
        <f t="shared" si="102"/>
        <v>0</v>
      </c>
      <c r="AA309" s="1239">
        <f t="shared" si="102"/>
        <v>0</v>
      </c>
      <c r="AB309" s="1239">
        <f t="shared" si="102"/>
        <v>0</v>
      </c>
      <c r="AC309" s="1239">
        <f t="shared" si="102"/>
        <v>0</v>
      </c>
      <c r="AD309" s="1239">
        <f t="shared" si="102"/>
        <v>0</v>
      </c>
      <c r="AE309" s="1239">
        <f t="shared" si="102"/>
        <v>0</v>
      </c>
      <c r="AF309" s="1239">
        <f t="shared" si="102"/>
        <v>0</v>
      </c>
      <c r="AG309" s="1239">
        <f t="shared" si="102"/>
        <v>0</v>
      </c>
      <c r="AH309" s="1239">
        <f t="shared" si="102"/>
        <v>0</v>
      </c>
      <c r="AI309" s="1239">
        <f t="shared" si="102"/>
        <v>0</v>
      </c>
      <c r="AJ309" s="1239">
        <f t="shared" si="102"/>
        <v>0</v>
      </c>
      <c r="AK309" s="1239">
        <f t="shared" si="102"/>
        <v>0</v>
      </c>
      <c r="AL309" s="1239">
        <f t="shared" si="102"/>
        <v>0</v>
      </c>
      <c r="AM309" s="1239">
        <f t="shared" si="102"/>
        <v>0</v>
      </c>
      <c r="AN309" s="1239">
        <f t="shared" si="102"/>
        <v>0</v>
      </c>
      <c r="AO309" s="1239">
        <f t="shared" si="102"/>
        <v>0</v>
      </c>
      <c r="AP309" s="1239">
        <f t="shared" si="102"/>
        <v>0</v>
      </c>
      <c r="AQ309" s="1239">
        <f t="shared" si="102"/>
        <v>0</v>
      </c>
      <c r="AR309" s="1239">
        <f t="shared" si="102"/>
        <v>0</v>
      </c>
      <c r="AS309" s="1239">
        <f t="shared" si="102"/>
        <v>0</v>
      </c>
      <c r="AT309" s="1239">
        <f t="shared" si="102"/>
        <v>0</v>
      </c>
      <c r="AU309" s="1239">
        <f t="shared" si="102"/>
        <v>0</v>
      </c>
      <c r="AV309" s="1239">
        <f t="shared" si="102"/>
        <v>0</v>
      </c>
      <c r="AW309" s="1239">
        <f t="shared" si="102"/>
        <v>0</v>
      </c>
      <c r="AX309" s="1239">
        <f t="shared" si="102"/>
        <v>0</v>
      </c>
      <c r="AY309" s="1239">
        <f t="shared" si="102"/>
        <v>0</v>
      </c>
      <c r="AZ309" s="1239">
        <f t="shared" si="102"/>
        <v>0</v>
      </c>
      <c r="BA309" s="1239">
        <f t="shared" si="102"/>
        <v>0</v>
      </c>
      <c r="BB309" s="1239">
        <f t="shared" si="102"/>
        <v>0</v>
      </c>
      <c r="BC309" s="1239">
        <f t="shared" si="102"/>
        <v>0</v>
      </c>
      <c r="BD309" s="1239">
        <f t="shared" si="102"/>
        <v>0</v>
      </c>
      <c r="BE309" s="1240">
        <f t="shared" si="102"/>
        <v>0</v>
      </c>
    </row>
    <row r="310" spans="2:57" x14ac:dyDescent="0.25">
      <c r="B310" s="223"/>
      <c r="C310" s="229" t="s">
        <v>72</v>
      </c>
      <c r="D310" s="229"/>
      <c r="E310" s="229"/>
      <c r="F310" s="229"/>
      <c r="G310" s="1241"/>
      <c r="H310" s="1241">
        <f>IF(H$299&gt;$G$305,0,PPMT($G$306,H$299,$G$305,-$G$304))</f>
        <v>0</v>
      </c>
      <c r="I310" s="1241">
        <f t="shared" ref="I310:BE310" si="103">IF(I$299&gt;$G$305,0,PPMT($G$306,I$299,$G$305,-$G$304))</f>
        <v>0</v>
      </c>
      <c r="J310" s="1241">
        <f t="shared" si="103"/>
        <v>0</v>
      </c>
      <c r="K310" s="1241">
        <f t="shared" si="103"/>
        <v>0</v>
      </c>
      <c r="L310" s="1241">
        <f t="shared" si="103"/>
        <v>0</v>
      </c>
      <c r="M310" s="1241">
        <f t="shared" si="103"/>
        <v>0</v>
      </c>
      <c r="N310" s="1241">
        <f t="shared" si="103"/>
        <v>0</v>
      </c>
      <c r="O310" s="1241">
        <f t="shared" si="103"/>
        <v>0</v>
      </c>
      <c r="P310" s="1241">
        <f t="shared" si="103"/>
        <v>0</v>
      </c>
      <c r="Q310" s="1241">
        <f t="shared" si="103"/>
        <v>0</v>
      </c>
      <c r="R310" s="1241">
        <f t="shared" si="103"/>
        <v>0</v>
      </c>
      <c r="S310" s="1241">
        <f t="shared" si="103"/>
        <v>0</v>
      </c>
      <c r="T310" s="1241">
        <f t="shared" si="103"/>
        <v>0</v>
      </c>
      <c r="U310" s="1241">
        <f t="shared" si="103"/>
        <v>0</v>
      </c>
      <c r="V310" s="1241">
        <f t="shared" si="103"/>
        <v>0</v>
      </c>
      <c r="W310" s="1241">
        <f t="shared" si="103"/>
        <v>0</v>
      </c>
      <c r="X310" s="1241">
        <f t="shared" si="103"/>
        <v>0</v>
      </c>
      <c r="Y310" s="1241">
        <f t="shared" si="103"/>
        <v>0</v>
      </c>
      <c r="Z310" s="1241">
        <f t="shared" si="103"/>
        <v>0</v>
      </c>
      <c r="AA310" s="1241">
        <f t="shared" si="103"/>
        <v>0</v>
      </c>
      <c r="AB310" s="1241">
        <f t="shared" si="103"/>
        <v>0</v>
      </c>
      <c r="AC310" s="1241">
        <f t="shared" si="103"/>
        <v>0</v>
      </c>
      <c r="AD310" s="1241">
        <f t="shared" si="103"/>
        <v>0</v>
      </c>
      <c r="AE310" s="1241">
        <f t="shared" si="103"/>
        <v>0</v>
      </c>
      <c r="AF310" s="1241">
        <f t="shared" si="103"/>
        <v>0</v>
      </c>
      <c r="AG310" s="1241">
        <f t="shared" si="103"/>
        <v>0</v>
      </c>
      <c r="AH310" s="1241">
        <f t="shared" si="103"/>
        <v>0</v>
      </c>
      <c r="AI310" s="1241">
        <f t="shared" si="103"/>
        <v>0</v>
      </c>
      <c r="AJ310" s="1241">
        <f t="shared" si="103"/>
        <v>0</v>
      </c>
      <c r="AK310" s="1241">
        <f t="shared" si="103"/>
        <v>0</v>
      </c>
      <c r="AL310" s="1241">
        <f t="shared" si="103"/>
        <v>0</v>
      </c>
      <c r="AM310" s="1241">
        <f t="shared" si="103"/>
        <v>0</v>
      </c>
      <c r="AN310" s="1241">
        <f t="shared" si="103"/>
        <v>0</v>
      </c>
      <c r="AO310" s="1241">
        <f t="shared" si="103"/>
        <v>0</v>
      </c>
      <c r="AP310" s="1241">
        <f t="shared" si="103"/>
        <v>0</v>
      </c>
      <c r="AQ310" s="1241">
        <f t="shared" si="103"/>
        <v>0</v>
      </c>
      <c r="AR310" s="1241">
        <f t="shared" si="103"/>
        <v>0</v>
      </c>
      <c r="AS310" s="1241">
        <f t="shared" si="103"/>
        <v>0</v>
      </c>
      <c r="AT310" s="1241">
        <f t="shared" si="103"/>
        <v>0</v>
      </c>
      <c r="AU310" s="1241">
        <f t="shared" si="103"/>
        <v>0</v>
      </c>
      <c r="AV310" s="1241">
        <f t="shared" si="103"/>
        <v>0</v>
      </c>
      <c r="AW310" s="1241">
        <f t="shared" si="103"/>
        <v>0</v>
      </c>
      <c r="AX310" s="1241">
        <f t="shared" si="103"/>
        <v>0</v>
      </c>
      <c r="AY310" s="1241">
        <f t="shared" si="103"/>
        <v>0</v>
      </c>
      <c r="AZ310" s="1241">
        <f t="shared" si="103"/>
        <v>0</v>
      </c>
      <c r="BA310" s="1241">
        <f t="shared" si="103"/>
        <v>0</v>
      </c>
      <c r="BB310" s="1241">
        <f t="shared" si="103"/>
        <v>0</v>
      </c>
      <c r="BC310" s="1241">
        <f t="shared" si="103"/>
        <v>0</v>
      </c>
      <c r="BD310" s="1241">
        <f t="shared" si="103"/>
        <v>0</v>
      </c>
      <c r="BE310" s="1242">
        <f t="shared" si="103"/>
        <v>0</v>
      </c>
    </row>
    <row r="311" spans="2:57" x14ac:dyDescent="0.25">
      <c r="B311" s="223"/>
      <c r="C311" s="221" t="s">
        <v>74</v>
      </c>
      <c r="D311" s="221"/>
      <c r="E311" s="221"/>
      <c r="F311" s="221"/>
      <c r="G311" s="1239"/>
      <c r="H311" s="1239">
        <f>SUM(H309:H310)</f>
        <v>0</v>
      </c>
      <c r="I311" s="1239">
        <f t="shared" ref="I311:BE311" si="104">SUM(I309:I310)</f>
        <v>0</v>
      </c>
      <c r="J311" s="1239">
        <f t="shared" si="104"/>
        <v>0</v>
      </c>
      <c r="K311" s="1239">
        <f t="shared" si="104"/>
        <v>0</v>
      </c>
      <c r="L311" s="1239">
        <f t="shared" si="104"/>
        <v>0</v>
      </c>
      <c r="M311" s="1239">
        <f t="shared" si="104"/>
        <v>0</v>
      </c>
      <c r="N311" s="1239">
        <f t="shared" si="104"/>
        <v>0</v>
      </c>
      <c r="O311" s="1239">
        <f t="shared" si="104"/>
        <v>0</v>
      </c>
      <c r="P311" s="1239">
        <f t="shared" si="104"/>
        <v>0</v>
      </c>
      <c r="Q311" s="1239">
        <f t="shared" si="104"/>
        <v>0</v>
      </c>
      <c r="R311" s="1239">
        <f t="shared" si="104"/>
        <v>0</v>
      </c>
      <c r="S311" s="1239">
        <f t="shared" si="104"/>
        <v>0</v>
      </c>
      <c r="T311" s="1239">
        <f t="shared" si="104"/>
        <v>0</v>
      </c>
      <c r="U311" s="1239">
        <f t="shared" si="104"/>
        <v>0</v>
      </c>
      <c r="V311" s="1239">
        <f t="shared" si="104"/>
        <v>0</v>
      </c>
      <c r="W311" s="1239">
        <f t="shared" si="104"/>
        <v>0</v>
      </c>
      <c r="X311" s="1239">
        <f t="shared" si="104"/>
        <v>0</v>
      </c>
      <c r="Y311" s="1239">
        <f t="shared" si="104"/>
        <v>0</v>
      </c>
      <c r="Z311" s="1239">
        <f t="shared" si="104"/>
        <v>0</v>
      </c>
      <c r="AA311" s="1239">
        <f t="shared" si="104"/>
        <v>0</v>
      </c>
      <c r="AB311" s="1239">
        <f t="shared" si="104"/>
        <v>0</v>
      </c>
      <c r="AC311" s="1239">
        <f t="shared" si="104"/>
        <v>0</v>
      </c>
      <c r="AD311" s="1239">
        <f t="shared" si="104"/>
        <v>0</v>
      </c>
      <c r="AE311" s="1239">
        <f t="shared" si="104"/>
        <v>0</v>
      </c>
      <c r="AF311" s="1239">
        <f t="shared" si="104"/>
        <v>0</v>
      </c>
      <c r="AG311" s="1239">
        <f t="shared" si="104"/>
        <v>0</v>
      </c>
      <c r="AH311" s="1239">
        <f t="shared" si="104"/>
        <v>0</v>
      </c>
      <c r="AI311" s="1239">
        <f t="shared" si="104"/>
        <v>0</v>
      </c>
      <c r="AJ311" s="1239">
        <f t="shared" si="104"/>
        <v>0</v>
      </c>
      <c r="AK311" s="1239">
        <f t="shared" si="104"/>
        <v>0</v>
      </c>
      <c r="AL311" s="1239">
        <f t="shared" si="104"/>
        <v>0</v>
      </c>
      <c r="AM311" s="1239">
        <f t="shared" si="104"/>
        <v>0</v>
      </c>
      <c r="AN311" s="1239">
        <f t="shared" si="104"/>
        <v>0</v>
      </c>
      <c r="AO311" s="1239">
        <f t="shared" si="104"/>
        <v>0</v>
      </c>
      <c r="AP311" s="1239">
        <f t="shared" si="104"/>
        <v>0</v>
      </c>
      <c r="AQ311" s="1239">
        <f t="shared" si="104"/>
        <v>0</v>
      </c>
      <c r="AR311" s="1239">
        <f t="shared" si="104"/>
        <v>0</v>
      </c>
      <c r="AS311" s="1239">
        <f t="shared" si="104"/>
        <v>0</v>
      </c>
      <c r="AT311" s="1239">
        <f t="shared" si="104"/>
        <v>0</v>
      </c>
      <c r="AU311" s="1239">
        <f t="shared" si="104"/>
        <v>0</v>
      </c>
      <c r="AV311" s="1239">
        <f t="shared" si="104"/>
        <v>0</v>
      </c>
      <c r="AW311" s="1239">
        <f t="shared" si="104"/>
        <v>0</v>
      </c>
      <c r="AX311" s="1239">
        <f t="shared" si="104"/>
        <v>0</v>
      </c>
      <c r="AY311" s="1239">
        <f t="shared" si="104"/>
        <v>0</v>
      </c>
      <c r="AZ311" s="1239">
        <f t="shared" si="104"/>
        <v>0</v>
      </c>
      <c r="BA311" s="1239">
        <f t="shared" si="104"/>
        <v>0</v>
      </c>
      <c r="BB311" s="1239">
        <f t="shared" si="104"/>
        <v>0</v>
      </c>
      <c r="BC311" s="1239">
        <f t="shared" si="104"/>
        <v>0</v>
      </c>
      <c r="BD311" s="1239">
        <f t="shared" si="104"/>
        <v>0</v>
      </c>
      <c r="BE311" s="1240">
        <f t="shared" si="104"/>
        <v>0</v>
      </c>
    </row>
    <row r="312" spans="2:57" x14ac:dyDescent="0.25">
      <c r="B312" s="223"/>
      <c r="C312" s="221"/>
      <c r="D312" s="221"/>
      <c r="E312" s="221"/>
      <c r="F312" s="221"/>
      <c r="G312" s="1239"/>
      <c r="H312" s="1239"/>
      <c r="I312" s="1239"/>
      <c r="J312" s="1239"/>
      <c r="K312" s="1239"/>
      <c r="L312" s="1239"/>
      <c r="M312" s="1239"/>
      <c r="N312" s="1239"/>
      <c r="O312" s="1239"/>
      <c r="P312" s="1239"/>
      <c r="Q312" s="1239"/>
      <c r="R312" s="1239"/>
      <c r="S312" s="1239"/>
      <c r="T312" s="1239"/>
      <c r="U312" s="1239"/>
      <c r="V312" s="1239"/>
      <c r="W312" s="1239"/>
      <c r="X312" s="1239"/>
      <c r="Y312" s="1239"/>
      <c r="Z312" s="1239"/>
      <c r="AA312" s="1239"/>
      <c r="AB312" s="1239"/>
      <c r="AC312" s="1239"/>
      <c r="AD312" s="1239"/>
      <c r="AE312" s="1239"/>
      <c r="AF312" s="1239"/>
      <c r="AG312" s="1239"/>
      <c r="AH312" s="1239"/>
      <c r="AI312" s="1239"/>
      <c r="AJ312" s="1239"/>
      <c r="AK312" s="1239"/>
      <c r="AL312" s="1239"/>
      <c r="AM312" s="1239"/>
      <c r="AN312" s="1239"/>
      <c r="AO312" s="1239"/>
      <c r="AP312" s="1239"/>
      <c r="AQ312" s="1239"/>
      <c r="AR312" s="1239"/>
      <c r="AS312" s="1239"/>
      <c r="AT312" s="1239"/>
      <c r="AU312" s="1239"/>
      <c r="AV312" s="1239"/>
      <c r="AW312" s="1239"/>
      <c r="AX312" s="1239"/>
      <c r="AY312" s="1239"/>
      <c r="AZ312" s="1239"/>
      <c r="BA312" s="1239"/>
      <c r="BB312" s="1239"/>
      <c r="BC312" s="1239"/>
      <c r="BD312" s="1239"/>
      <c r="BE312" s="1240"/>
    </row>
    <row r="313" spans="2:57" x14ac:dyDescent="0.25">
      <c r="B313" s="223"/>
      <c r="C313" s="386" t="s">
        <v>65</v>
      </c>
      <c r="D313" s="221"/>
      <c r="E313" s="221"/>
      <c r="F313" s="221"/>
      <c r="G313" s="1239"/>
      <c r="H313" s="1239"/>
      <c r="I313" s="1239"/>
      <c r="J313" s="1239"/>
      <c r="K313" s="1239"/>
      <c r="L313" s="1239"/>
      <c r="M313" s="1239"/>
      <c r="N313" s="1239"/>
      <c r="O313" s="1239"/>
      <c r="P313" s="1239"/>
      <c r="Q313" s="1239"/>
      <c r="R313" s="1239"/>
      <c r="S313" s="1239"/>
      <c r="T313" s="1239"/>
      <c r="U313" s="1239"/>
      <c r="V313" s="1239"/>
      <c r="W313" s="1239"/>
      <c r="X313" s="1239"/>
      <c r="Y313" s="1239"/>
      <c r="Z313" s="1239"/>
      <c r="AA313" s="1239"/>
      <c r="AB313" s="1239"/>
      <c r="AC313" s="1239"/>
      <c r="AD313" s="1239"/>
      <c r="AE313" s="1239"/>
      <c r="AF313" s="1239"/>
      <c r="AG313" s="1239"/>
      <c r="AH313" s="1239"/>
      <c r="AI313" s="1239"/>
      <c r="AJ313" s="1239"/>
      <c r="AK313" s="1239"/>
      <c r="AL313" s="1239"/>
      <c r="AM313" s="1239"/>
      <c r="AN313" s="1239"/>
      <c r="AO313" s="1239"/>
      <c r="AP313" s="1239"/>
      <c r="AQ313" s="1239"/>
      <c r="AR313" s="1239"/>
      <c r="AS313" s="1239"/>
      <c r="AT313" s="1239"/>
      <c r="AU313" s="1239"/>
      <c r="AV313" s="1239"/>
      <c r="AW313" s="1239"/>
      <c r="AX313" s="1239"/>
      <c r="AY313" s="1239"/>
      <c r="AZ313" s="1239"/>
      <c r="BA313" s="1239"/>
      <c r="BB313" s="1239"/>
      <c r="BC313" s="1239"/>
      <c r="BD313" s="1239"/>
      <c r="BE313" s="1240"/>
    </row>
    <row r="314" spans="2:57" x14ac:dyDescent="0.25">
      <c r="B314" s="223"/>
      <c r="C314" s="221" t="s">
        <v>75</v>
      </c>
      <c r="D314" s="221"/>
      <c r="E314" s="221"/>
      <c r="F314" s="221"/>
      <c r="G314" s="1239">
        <v>0</v>
      </c>
      <c r="H314" s="1239">
        <f t="shared" ref="H314:AL314" si="105">G317</f>
        <v>0</v>
      </c>
      <c r="I314" s="1239">
        <f t="shared" si="105"/>
        <v>0</v>
      </c>
      <c r="J314" s="1239">
        <f t="shared" si="105"/>
        <v>0</v>
      </c>
      <c r="K314" s="1239">
        <f t="shared" si="105"/>
        <v>0</v>
      </c>
      <c r="L314" s="1239">
        <f t="shared" si="105"/>
        <v>0</v>
      </c>
      <c r="M314" s="1239">
        <f t="shared" si="105"/>
        <v>0</v>
      </c>
      <c r="N314" s="1239">
        <f t="shared" si="105"/>
        <v>0</v>
      </c>
      <c r="O314" s="1239">
        <f t="shared" si="105"/>
        <v>0</v>
      </c>
      <c r="P314" s="1239">
        <f t="shared" si="105"/>
        <v>0</v>
      </c>
      <c r="Q314" s="1239">
        <f t="shared" si="105"/>
        <v>0</v>
      </c>
      <c r="R314" s="1239">
        <f t="shared" si="105"/>
        <v>0</v>
      </c>
      <c r="S314" s="1239">
        <f t="shared" si="105"/>
        <v>0</v>
      </c>
      <c r="T314" s="1239">
        <f t="shared" si="105"/>
        <v>0</v>
      </c>
      <c r="U314" s="1239">
        <f t="shared" si="105"/>
        <v>0</v>
      </c>
      <c r="V314" s="1239">
        <f t="shared" si="105"/>
        <v>0</v>
      </c>
      <c r="W314" s="1239">
        <f t="shared" si="105"/>
        <v>0</v>
      </c>
      <c r="X314" s="1239">
        <f t="shared" si="105"/>
        <v>0</v>
      </c>
      <c r="Y314" s="1239">
        <f t="shared" si="105"/>
        <v>0</v>
      </c>
      <c r="Z314" s="1239">
        <f t="shared" si="105"/>
        <v>0</v>
      </c>
      <c r="AA314" s="1239">
        <f t="shared" si="105"/>
        <v>0</v>
      </c>
      <c r="AB314" s="1239">
        <f t="shared" si="105"/>
        <v>0</v>
      </c>
      <c r="AC314" s="1239">
        <f t="shared" si="105"/>
        <v>0</v>
      </c>
      <c r="AD314" s="1239">
        <f t="shared" si="105"/>
        <v>0</v>
      </c>
      <c r="AE314" s="1239">
        <f t="shared" si="105"/>
        <v>0</v>
      </c>
      <c r="AF314" s="1239">
        <f t="shared" si="105"/>
        <v>0</v>
      </c>
      <c r="AG314" s="1239">
        <f t="shared" si="105"/>
        <v>0</v>
      </c>
      <c r="AH314" s="1239">
        <f t="shared" si="105"/>
        <v>0</v>
      </c>
      <c r="AI314" s="1239">
        <f t="shared" si="105"/>
        <v>0</v>
      </c>
      <c r="AJ314" s="1239">
        <f t="shared" si="105"/>
        <v>0</v>
      </c>
      <c r="AK314" s="1239">
        <f t="shared" si="105"/>
        <v>0</v>
      </c>
      <c r="AL314" s="1239">
        <f t="shared" si="105"/>
        <v>0</v>
      </c>
      <c r="AM314" s="1239">
        <f t="shared" ref="AM314:BE314" si="106">AL317</f>
        <v>0</v>
      </c>
      <c r="AN314" s="1239">
        <f t="shared" si="106"/>
        <v>0</v>
      </c>
      <c r="AO314" s="1239">
        <f t="shared" si="106"/>
        <v>0</v>
      </c>
      <c r="AP314" s="1239">
        <f t="shared" si="106"/>
        <v>0</v>
      </c>
      <c r="AQ314" s="1239">
        <f t="shared" si="106"/>
        <v>0</v>
      </c>
      <c r="AR314" s="1239">
        <f t="shared" si="106"/>
        <v>0</v>
      </c>
      <c r="AS314" s="1239">
        <f t="shared" si="106"/>
        <v>0</v>
      </c>
      <c r="AT314" s="1239">
        <f t="shared" si="106"/>
        <v>0</v>
      </c>
      <c r="AU314" s="1239">
        <f t="shared" si="106"/>
        <v>0</v>
      </c>
      <c r="AV314" s="1239">
        <f t="shared" si="106"/>
        <v>0</v>
      </c>
      <c r="AW314" s="1239">
        <f t="shared" si="106"/>
        <v>0</v>
      </c>
      <c r="AX314" s="1239">
        <f t="shared" si="106"/>
        <v>0</v>
      </c>
      <c r="AY314" s="1239">
        <f t="shared" si="106"/>
        <v>0</v>
      </c>
      <c r="AZ314" s="1239">
        <f t="shared" si="106"/>
        <v>0</v>
      </c>
      <c r="BA314" s="1239">
        <f t="shared" si="106"/>
        <v>0</v>
      </c>
      <c r="BB314" s="1239">
        <f t="shared" si="106"/>
        <v>0</v>
      </c>
      <c r="BC314" s="1239">
        <f t="shared" si="106"/>
        <v>0</v>
      </c>
      <c r="BD314" s="1239">
        <f t="shared" si="106"/>
        <v>0</v>
      </c>
      <c r="BE314" s="1240">
        <f t="shared" si="106"/>
        <v>0</v>
      </c>
    </row>
    <row r="315" spans="2:57" x14ac:dyDescent="0.25">
      <c r="B315" s="223"/>
      <c r="C315" s="221" t="s">
        <v>76</v>
      </c>
      <c r="D315" s="221"/>
      <c r="E315" s="221"/>
      <c r="F315" s="221"/>
      <c r="G315" s="1239">
        <f>G304</f>
        <v>0</v>
      </c>
      <c r="H315" s="1239">
        <v>0</v>
      </c>
      <c r="I315" s="1239">
        <v>0</v>
      </c>
      <c r="J315" s="1239">
        <v>0</v>
      </c>
      <c r="K315" s="1239">
        <v>0</v>
      </c>
      <c r="L315" s="1239">
        <v>0</v>
      </c>
      <c r="M315" s="1239">
        <v>0</v>
      </c>
      <c r="N315" s="1239">
        <v>0</v>
      </c>
      <c r="O315" s="1239">
        <v>0</v>
      </c>
      <c r="P315" s="1239">
        <v>0</v>
      </c>
      <c r="Q315" s="1239">
        <v>0</v>
      </c>
      <c r="R315" s="1239">
        <v>0</v>
      </c>
      <c r="S315" s="1239">
        <v>0</v>
      </c>
      <c r="T315" s="1239">
        <v>0</v>
      </c>
      <c r="U315" s="1239">
        <v>0</v>
      </c>
      <c r="V315" s="1239">
        <v>0</v>
      </c>
      <c r="W315" s="1239">
        <v>0</v>
      </c>
      <c r="X315" s="1239">
        <v>0</v>
      </c>
      <c r="Y315" s="1239">
        <v>0</v>
      </c>
      <c r="Z315" s="1239">
        <v>0</v>
      </c>
      <c r="AA315" s="1239">
        <v>0</v>
      </c>
      <c r="AB315" s="1239">
        <v>0</v>
      </c>
      <c r="AC315" s="1239">
        <v>0</v>
      </c>
      <c r="AD315" s="1239">
        <v>0</v>
      </c>
      <c r="AE315" s="1239">
        <v>0</v>
      </c>
      <c r="AF315" s="1239">
        <v>0</v>
      </c>
      <c r="AG315" s="1239">
        <v>0</v>
      </c>
      <c r="AH315" s="1239">
        <v>0</v>
      </c>
      <c r="AI315" s="1239">
        <v>0</v>
      </c>
      <c r="AJ315" s="1239">
        <v>0</v>
      </c>
      <c r="AK315" s="1239">
        <v>0</v>
      </c>
      <c r="AL315" s="1239">
        <v>0</v>
      </c>
      <c r="AM315" s="1239">
        <v>0</v>
      </c>
      <c r="AN315" s="1239">
        <v>0</v>
      </c>
      <c r="AO315" s="1239">
        <v>0</v>
      </c>
      <c r="AP315" s="1239">
        <v>0</v>
      </c>
      <c r="AQ315" s="1239">
        <v>0</v>
      </c>
      <c r="AR315" s="1239">
        <v>0</v>
      </c>
      <c r="AS315" s="1239">
        <v>0</v>
      </c>
      <c r="AT315" s="1239">
        <v>0</v>
      </c>
      <c r="AU315" s="1239">
        <v>0</v>
      </c>
      <c r="AV315" s="1239">
        <v>0</v>
      </c>
      <c r="AW315" s="1239">
        <v>0</v>
      </c>
      <c r="AX315" s="1239">
        <v>0</v>
      </c>
      <c r="AY315" s="1239">
        <v>0</v>
      </c>
      <c r="AZ315" s="1239">
        <v>0</v>
      </c>
      <c r="BA315" s="1239">
        <v>0</v>
      </c>
      <c r="BB315" s="1239">
        <v>0</v>
      </c>
      <c r="BC315" s="1239">
        <v>0</v>
      </c>
      <c r="BD315" s="1239">
        <v>0</v>
      </c>
      <c r="BE315" s="1240">
        <v>0</v>
      </c>
    </row>
    <row r="316" spans="2:57" x14ac:dyDescent="0.25">
      <c r="B316" s="223"/>
      <c r="C316" s="229" t="s">
        <v>77</v>
      </c>
      <c r="D316" s="229"/>
      <c r="E316" s="229"/>
      <c r="F316" s="229"/>
      <c r="G316" s="1241">
        <v>0</v>
      </c>
      <c r="H316" s="1241">
        <f t="shared" ref="H316:AL316" si="107">-H310</f>
        <v>0</v>
      </c>
      <c r="I316" s="1241">
        <f t="shared" si="107"/>
        <v>0</v>
      </c>
      <c r="J316" s="1241">
        <f t="shared" si="107"/>
        <v>0</v>
      </c>
      <c r="K316" s="1241">
        <f t="shared" si="107"/>
        <v>0</v>
      </c>
      <c r="L316" s="1241">
        <f t="shared" si="107"/>
        <v>0</v>
      </c>
      <c r="M316" s="1241">
        <f t="shared" si="107"/>
        <v>0</v>
      </c>
      <c r="N316" s="1241">
        <f t="shared" si="107"/>
        <v>0</v>
      </c>
      <c r="O316" s="1241">
        <f t="shared" si="107"/>
        <v>0</v>
      </c>
      <c r="P316" s="1241">
        <f t="shared" si="107"/>
        <v>0</v>
      </c>
      <c r="Q316" s="1241">
        <f t="shared" si="107"/>
        <v>0</v>
      </c>
      <c r="R316" s="1241">
        <f t="shared" si="107"/>
        <v>0</v>
      </c>
      <c r="S316" s="1241">
        <f t="shared" si="107"/>
        <v>0</v>
      </c>
      <c r="T316" s="1241">
        <f t="shared" si="107"/>
        <v>0</v>
      </c>
      <c r="U316" s="1241">
        <f t="shared" si="107"/>
        <v>0</v>
      </c>
      <c r="V316" s="1241">
        <f t="shared" si="107"/>
        <v>0</v>
      </c>
      <c r="W316" s="1241">
        <f t="shared" si="107"/>
        <v>0</v>
      </c>
      <c r="X316" s="1241">
        <f t="shared" si="107"/>
        <v>0</v>
      </c>
      <c r="Y316" s="1241">
        <f t="shared" si="107"/>
        <v>0</v>
      </c>
      <c r="Z316" s="1241">
        <f t="shared" si="107"/>
        <v>0</v>
      </c>
      <c r="AA316" s="1241">
        <f t="shared" si="107"/>
        <v>0</v>
      </c>
      <c r="AB316" s="1241">
        <f t="shared" si="107"/>
        <v>0</v>
      </c>
      <c r="AC316" s="1241">
        <f t="shared" si="107"/>
        <v>0</v>
      </c>
      <c r="AD316" s="1241">
        <f t="shared" si="107"/>
        <v>0</v>
      </c>
      <c r="AE316" s="1241">
        <f t="shared" si="107"/>
        <v>0</v>
      </c>
      <c r="AF316" s="1241">
        <f t="shared" si="107"/>
        <v>0</v>
      </c>
      <c r="AG316" s="1241">
        <f t="shared" si="107"/>
        <v>0</v>
      </c>
      <c r="AH316" s="1241">
        <f t="shared" si="107"/>
        <v>0</v>
      </c>
      <c r="AI316" s="1241">
        <f t="shared" si="107"/>
        <v>0</v>
      </c>
      <c r="AJ316" s="1241">
        <f t="shared" si="107"/>
        <v>0</v>
      </c>
      <c r="AK316" s="1241">
        <f t="shared" si="107"/>
        <v>0</v>
      </c>
      <c r="AL316" s="1241">
        <f t="shared" si="107"/>
        <v>0</v>
      </c>
      <c r="AM316" s="1241">
        <f t="shared" ref="AM316:BE316" si="108">-AM310</f>
        <v>0</v>
      </c>
      <c r="AN316" s="1241">
        <f t="shared" si="108"/>
        <v>0</v>
      </c>
      <c r="AO316" s="1241">
        <f t="shared" si="108"/>
        <v>0</v>
      </c>
      <c r="AP316" s="1241">
        <f t="shared" si="108"/>
        <v>0</v>
      </c>
      <c r="AQ316" s="1241">
        <f t="shared" si="108"/>
        <v>0</v>
      </c>
      <c r="AR316" s="1241">
        <f t="shared" si="108"/>
        <v>0</v>
      </c>
      <c r="AS316" s="1241">
        <f t="shared" si="108"/>
        <v>0</v>
      </c>
      <c r="AT316" s="1241">
        <f t="shared" si="108"/>
        <v>0</v>
      </c>
      <c r="AU316" s="1241">
        <f t="shared" si="108"/>
        <v>0</v>
      </c>
      <c r="AV316" s="1241">
        <f t="shared" si="108"/>
        <v>0</v>
      </c>
      <c r="AW316" s="1241">
        <f t="shared" si="108"/>
        <v>0</v>
      </c>
      <c r="AX316" s="1241">
        <f t="shared" si="108"/>
        <v>0</v>
      </c>
      <c r="AY316" s="1241">
        <f t="shared" si="108"/>
        <v>0</v>
      </c>
      <c r="AZ316" s="1241">
        <f t="shared" si="108"/>
        <v>0</v>
      </c>
      <c r="BA316" s="1241">
        <f t="shared" si="108"/>
        <v>0</v>
      </c>
      <c r="BB316" s="1241">
        <f t="shared" si="108"/>
        <v>0</v>
      </c>
      <c r="BC316" s="1241">
        <f t="shared" si="108"/>
        <v>0</v>
      </c>
      <c r="BD316" s="1241">
        <f t="shared" si="108"/>
        <v>0</v>
      </c>
      <c r="BE316" s="1242">
        <f t="shared" si="108"/>
        <v>0</v>
      </c>
    </row>
    <row r="317" spans="2:57" x14ac:dyDescent="0.25">
      <c r="B317" s="223"/>
      <c r="C317" s="221" t="s">
        <v>66</v>
      </c>
      <c r="D317" s="221"/>
      <c r="E317" s="221"/>
      <c r="F317" s="221"/>
      <c r="G317" s="1239">
        <f t="shared" ref="G317:AL317" si="109">SUM(G314:G316)</f>
        <v>0</v>
      </c>
      <c r="H317" s="1239">
        <f t="shared" si="109"/>
        <v>0</v>
      </c>
      <c r="I317" s="1239">
        <f t="shared" si="109"/>
        <v>0</v>
      </c>
      <c r="J317" s="1239">
        <f t="shared" si="109"/>
        <v>0</v>
      </c>
      <c r="K317" s="1239">
        <f t="shared" si="109"/>
        <v>0</v>
      </c>
      <c r="L317" s="1239">
        <f t="shared" si="109"/>
        <v>0</v>
      </c>
      <c r="M317" s="1239">
        <f t="shared" si="109"/>
        <v>0</v>
      </c>
      <c r="N317" s="1239">
        <f t="shared" si="109"/>
        <v>0</v>
      </c>
      <c r="O317" s="1239">
        <f t="shared" si="109"/>
        <v>0</v>
      </c>
      <c r="P317" s="1239">
        <f t="shared" si="109"/>
        <v>0</v>
      </c>
      <c r="Q317" s="1239">
        <f t="shared" si="109"/>
        <v>0</v>
      </c>
      <c r="R317" s="1239">
        <f t="shared" si="109"/>
        <v>0</v>
      </c>
      <c r="S317" s="1239">
        <f t="shared" si="109"/>
        <v>0</v>
      </c>
      <c r="T317" s="1239">
        <f t="shared" si="109"/>
        <v>0</v>
      </c>
      <c r="U317" s="1239">
        <f t="shared" si="109"/>
        <v>0</v>
      </c>
      <c r="V317" s="1239">
        <f t="shared" si="109"/>
        <v>0</v>
      </c>
      <c r="W317" s="1239">
        <f t="shared" si="109"/>
        <v>0</v>
      </c>
      <c r="X317" s="1239">
        <f t="shared" si="109"/>
        <v>0</v>
      </c>
      <c r="Y317" s="1239">
        <f t="shared" si="109"/>
        <v>0</v>
      </c>
      <c r="Z317" s="1239">
        <f t="shared" si="109"/>
        <v>0</v>
      </c>
      <c r="AA317" s="1239">
        <f t="shared" si="109"/>
        <v>0</v>
      </c>
      <c r="AB317" s="1239">
        <f t="shared" si="109"/>
        <v>0</v>
      </c>
      <c r="AC317" s="1239">
        <f t="shared" si="109"/>
        <v>0</v>
      </c>
      <c r="AD317" s="1239">
        <f t="shared" si="109"/>
        <v>0</v>
      </c>
      <c r="AE317" s="1239">
        <f t="shared" si="109"/>
        <v>0</v>
      </c>
      <c r="AF317" s="1239">
        <f t="shared" si="109"/>
        <v>0</v>
      </c>
      <c r="AG317" s="1239">
        <f t="shared" si="109"/>
        <v>0</v>
      </c>
      <c r="AH317" s="1239">
        <f t="shared" si="109"/>
        <v>0</v>
      </c>
      <c r="AI317" s="1239">
        <f t="shared" si="109"/>
        <v>0</v>
      </c>
      <c r="AJ317" s="1239">
        <f t="shared" si="109"/>
        <v>0</v>
      </c>
      <c r="AK317" s="1239">
        <f t="shared" si="109"/>
        <v>0</v>
      </c>
      <c r="AL317" s="1239">
        <f t="shared" si="109"/>
        <v>0</v>
      </c>
      <c r="AM317" s="1239">
        <f t="shared" ref="AM317:BE317" si="110">SUM(AM314:AM316)</f>
        <v>0</v>
      </c>
      <c r="AN317" s="1239">
        <f t="shared" si="110"/>
        <v>0</v>
      </c>
      <c r="AO317" s="1239">
        <f t="shared" si="110"/>
        <v>0</v>
      </c>
      <c r="AP317" s="1239">
        <f t="shared" si="110"/>
        <v>0</v>
      </c>
      <c r="AQ317" s="1239">
        <f t="shared" si="110"/>
        <v>0</v>
      </c>
      <c r="AR317" s="1239">
        <f t="shared" si="110"/>
        <v>0</v>
      </c>
      <c r="AS317" s="1239">
        <f t="shared" si="110"/>
        <v>0</v>
      </c>
      <c r="AT317" s="1239">
        <f t="shared" si="110"/>
        <v>0</v>
      </c>
      <c r="AU317" s="1239">
        <f t="shared" si="110"/>
        <v>0</v>
      </c>
      <c r="AV317" s="1239">
        <f t="shared" si="110"/>
        <v>0</v>
      </c>
      <c r="AW317" s="1239">
        <f t="shared" si="110"/>
        <v>0</v>
      </c>
      <c r="AX317" s="1239">
        <f t="shared" si="110"/>
        <v>0</v>
      </c>
      <c r="AY317" s="1239">
        <f t="shared" si="110"/>
        <v>0</v>
      </c>
      <c r="AZ317" s="1239">
        <f t="shared" si="110"/>
        <v>0</v>
      </c>
      <c r="BA317" s="1239">
        <f t="shared" si="110"/>
        <v>0</v>
      </c>
      <c r="BB317" s="1239">
        <f t="shared" si="110"/>
        <v>0</v>
      </c>
      <c r="BC317" s="1239">
        <f t="shared" si="110"/>
        <v>0</v>
      </c>
      <c r="BD317" s="1239">
        <f t="shared" si="110"/>
        <v>0</v>
      </c>
      <c r="BE317" s="1240">
        <f t="shared" si="110"/>
        <v>0</v>
      </c>
    </row>
    <row r="318" spans="2:57" x14ac:dyDescent="0.25">
      <c r="B318" s="223"/>
      <c r="C318" s="221"/>
      <c r="D318" s="221"/>
      <c r="E318" s="221"/>
      <c r="F318" s="221"/>
      <c r="G318" s="1239"/>
      <c r="H318" s="1239"/>
      <c r="I318" s="1239"/>
      <c r="J318" s="1239"/>
      <c r="K318" s="1239"/>
      <c r="L318" s="1239"/>
      <c r="M318" s="1239"/>
      <c r="N318" s="1239"/>
      <c r="O318" s="1239"/>
      <c r="P318" s="1239"/>
      <c r="Q318" s="1239"/>
      <c r="R318" s="1239"/>
      <c r="S318" s="1239"/>
      <c r="T318" s="1239"/>
      <c r="U318" s="1239"/>
      <c r="V318" s="1239"/>
      <c r="W318" s="1239"/>
      <c r="X318" s="1239"/>
      <c r="Y318" s="1239"/>
      <c r="Z318" s="1239"/>
      <c r="AA318" s="1239"/>
      <c r="AB318" s="1239"/>
      <c r="AC318" s="1239"/>
      <c r="AD318" s="1239"/>
      <c r="AE318" s="1239"/>
      <c r="AF318" s="1239"/>
      <c r="AG318" s="1239"/>
      <c r="AH318" s="1239"/>
      <c r="AI318" s="1239"/>
      <c r="AJ318" s="1239"/>
      <c r="AK318" s="1239"/>
      <c r="AL318" s="1239"/>
      <c r="AM318" s="1239"/>
      <c r="AN318" s="1239"/>
      <c r="AO318" s="1239"/>
      <c r="AP318" s="1239"/>
      <c r="AQ318" s="1239"/>
      <c r="AR318" s="1239"/>
      <c r="AS318" s="1239"/>
      <c r="AT318" s="1239"/>
      <c r="AU318" s="1239"/>
      <c r="AV318" s="1239"/>
      <c r="AW318" s="1239"/>
      <c r="AX318" s="1239"/>
      <c r="AY318" s="1239"/>
      <c r="AZ318" s="1239"/>
      <c r="BA318" s="1239"/>
      <c r="BB318" s="1239"/>
      <c r="BC318" s="1239"/>
      <c r="BD318" s="1239"/>
      <c r="BE318" s="1240"/>
    </row>
    <row r="319" spans="2:57" x14ac:dyDescent="0.25">
      <c r="B319" s="223"/>
      <c r="C319" s="386" t="s">
        <v>71</v>
      </c>
      <c r="D319" s="221"/>
      <c r="E319" s="221"/>
      <c r="F319" s="221"/>
      <c r="G319" s="1239"/>
      <c r="H319" s="1239"/>
      <c r="I319" s="1239"/>
      <c r="J319" s="1239"/>
      <c r="K319" s="1239"/>
      <c r="L319" s="1239"/>
      <c r="M319" s="1239"/>
      <c r="N319" s="1239"/>
      <c r="O319" s="1239"/>
      <c r="P319" s="1239"/>
      <c r="Q319" s="1239"/>
      <c r="R319" s="1239"/>
      <c r="S319" s="1239"/>
      <c r="T319" s="1239"/>
      <c r="U319" s="1239"/>
      <c r="V319" s="1239"/>
      <c r="W319" s="1239"/>
      <c r="X319" s="1239"/>
      <c r="Y319" s="1239"/>
      <c r="Z319" s="1239"/>
      <c r="AA319" s="1239"/>
      <c r="AB319" s="1239"/>
      <c r="AC319" s="1239"/>
      <c r="AD319" s="1239"/>
      <c r="AE319" s="1239"/>
      <c r="AF319" s="1239"/>
      <c r="AG319" s="1239"/>
      <c r="AH319" s="1239"/>
      <c r="AI319" s="1239"/>
      <c r="AJ319" s="1239"/>
      <c r="AK319" s="1239"/>
      <c r="AL319" s="1239"/>
      <c r="AM319" s="1239"/>
      <c r="AN319" s="1239"/>
      <c r="AO319" s="1239"/>
      <c r="AP319" s="1239"/>
      <c r="AQ319" s="1239"/>
      <c r="AR319" s="1239"/>
      <c r="AS319" s="1239"/>
      <c r="AT319" s="1239"/>
      <c r="AU319" s="1239"/>
      <c r="AV319" s="1239"/>
      <c r="AW319" s="1239"/>
      <c r="AX319" s="1239"/>
      <c r="AY319" s="1239"/>
      <c r="AZ319" s="1239"/>
      <c r="BA319" s="1239"/>
      <c r="BB319" s="1239"/>
      <c r="BC319" s="1239"/>
      <c r="BD319" s="1239"/>
      <c r="BE319" s="1240"/>
    </row>
    <row r="320" spans="2:57" x14ac:dyDescent="0.25">
      <c r="B320" s="223"/>
      <c r="C320" s="221" t="str">
        <f>'II. Inputs, Baseline Energy Mix'!$E$70</f>
        <v>Front-end Fee</v>
      </c>
      <c r="D320" s="221"/>
      <c r="E320" s="221"/>
      <c r="F320" s="221"/>
      <c r="G320" s="1239"/>
      <c r="H320" s="1239">
        <f>IF($G$304&gt;0, $G$304*'II. Inputs, Baseline Energy Mix'!$N$70/10000,0)</f>
        <v>0</v>
      </c>
      <c r="I320" s="1239">
        <v>0</v>
      </c>
      <c r="J320" s="1239">
        <v>0</v>
      </c>
      <c r="K320" s="1239">
        <v>0</v>
      </c>
      <c r="L320" s="1239">
        <v>0</v>
      </c>
      <c r="M320" s="1239">
        <v>0</v>
      </c>
      <c r="N320" s="1239">
        <v>0</v>
      </c>
      <c r="O320" s="1239">
        <v>0</v>
      </c>
      <c r="P320" s="1239">
        <v>0</v>
      </c>
      <c r="Q320" s="1239">
        <v>0</v>
      </c>
      <c r="R320" s="1239">
        <v>0</v>
      </c>
      <c r="S320" s="1239">
        <v>0</v>
      </c>
      <c r="T320" s="1239">
        <v>0</v>
      </c>
      <c r="U320" s="1239">
        <v>0</v>
      </c>
      <c r="V320" s="1239">
        <v>0</v>
      </c>
      <c r="W320" s="1239">
        <v>0</v>
      </c>
      <c r="X320" s="1239">
        <v>0</v>
      </c>
      <c r="Y320" s="1239">
        <v>0</v>
      </c>
      <c r="Z320" s="1239">
        <v>0</v>
      </c>
      <c r="AA320" s="1239">
        <v>0</v>
      </c>
      <c r="AB320" s="1239">
        <v>0</v>
      </c>
      <c r="AC320" s="1239">
        <v>0</v>
      </c>
      <c r="AD320" s="1239">
        <v>0</v>
      </c>
      <c r="AE320" s="1239">
        <v>0</v>
      </c>
      <c r="AF320" s="1239">
        <v>0</v>
      </c>
      <c r="AG320" s="1239">
        <v>0</v>
      </c>
      <c r="AH320" s="1239">
        <v>0</v>
      </c>
      <c r="AI320" s="1239">
        <v>0</v>
      </c>
      <c r="AJ320" s="1239">
        <v>0</v>
      </c>
      <c r="AK320" s="1239">
        <v>0</v>
      </c>
      <c r="AL320" s="1239">
        <v>0</v>
      </c>
      <c r="AM320" s="1239">
        <v>0</v>
      </c>
      <c r="AN320" s="1239">
        <v>0</v>
      </c>
      <c r="AO320" s="1239">
        <v>0</v>
      </c>
      <c r="AP320" s="1239">
        <v>0</v>
      </c>
      <c r="AQ320" s="1239">
        <v>0</v>
      </c>
      <c r="AR320" s="1239">
        <v>0</v>
      </c>
      <c r="AS320" s="1239">
        <v>0</v>
      </c>
      <c r="AT320" s="1239">
        <v>0</v>
      </c>
      <c r="AU320" s="1239">
        <v>0</v>
      </c>
      <c r="AV320" s="1239">
        <v>0</v>
      </c>
      <c r="AW320" s="1239">
        <v>0</v>
      </c>
      <c r="AX320" s="1239">
        <v>0</v>
      </c>
      <c r="AY320" s="1239">
        <v>0</v>
      </c>
      <c r="AZ320" s="1239">
        <v>0</v>
      </c>
      <c r="BA320" s="1239">
        <v>0</v>
      </c>
      <c r="BB320" s="1239">
        <v>0</v>
      </c>
      <c r="BC320" s="1239">
        <v>0</v>
      </c>
      <c r="BD320" s="1239">
        <v>0</v>
      </c>
      <c r="BE320" s="1240">
        <v>0</v>
      </c>
    </row>
    <row r="321" spans="2:57" x14ac:dyDescent="0.25">
      <c r="B321" s="223"/>
      <c r="C321" s="221"/>
      <c r="D321" s="221"/>
      <c r="E321" s="221"/>
      <c r="F321" s="221"/>
      <c r="G321" s="221"/>
      <c r="H321" s="221"/>
      <c r="I321" s="221"/>
      <c r="J321" s="221"/>
      <c r="K321" s="221"/>
      <c r="L321" s="221"/>
      <c r="M321" s="221"/>
      <c r="N321" s="221"/>
      <c r="O321" s="221"/>
      <c r="P321" s="221"/>
      <c r="Q321" s="221"/>
      <c r="R321" s="221"/>
      <c r="S321" s="221"/>
      <c r="T321" s="221"/>
      <c r="U321" s="221"/>
      <c r="V321" s="221"/>
      <c r="W321" s="221"/>
      <c r="X321" s="221"/>
      <c r="Y321" s="221"/>
      <c r="Z321" s="221"/>
      <c r="AA321" s="221"/>
      <c r="AB321" s="221"/>
      <c r="AC321" s="221"/>
      <c r="AD321" s="221"/>
      <c r="AE321" s="221"/>
      <c r="AF321" s="221"/>
      <c r="AG321" s="221"/>
      <c r="AH321" s="221"/>
      <c r="AI321" s="221"/>
      <c r="AJ321" s="221"/>
      <c r="AK321" s="221"/>
      <c r="AL321" s="221"/>
      <c r="AM321" s="221"/>
      <c r="AN321" s="221"/>
      <c r="AO321" s="221"/>
      <c r="AP321" s="221"/>
      <c r="AQ321" s="221"/>
      <c r="AR321" s="221"/>
      <c r="AS321" s="221"/>
      <c r="AT321" s="221"/>
      <c r="AU321" s="221"/>
      <c r="AV321" s="221"/>
      <c r="AW321" s="221"/>
      <c r="AX321" s="221"/>
      <c r="AY321" s="221"/>
      <c r="AZ321" s="221"/>
      <c r="BA321" s="221"/>
      <c r="BB321" s="221"/>
      <c r="BC321" s="221"/>
      <c r="BD321" s="221"/>
      <c r="BE321" s="222"/>
    </row>
    <row r="322" spans="2:57" x14ac:dyDescent="0.25">
      <c r="B322" s="220" t="s">
        <v>180</v>
      </c>
      <c r="C322" s="221"/>
      <c r="D322" s="221"/>
      <c r="E322" s="221"/>
      <c r="F322" s="221"/>
      <c r="G322" s="221"/>
      <c r="H322" s="221"/>
      <c r="I322" s="221"/>
      <c r="J322" s="221"/>
      <c r="K322" s="221"/>
      <c r="L322" s="221"/>
      <c r="M322" s="221"/>
      <c r="N322" s="221"/>
      <c r="O322" s="221"/>
      <c r="P322" s="221"/>
      <c r="Q322" s="221"/>
      <c r="R322" s="221"/>
      <c r="S322" s="221"/>
      <c r="T322" s="221"/>
      <c r="U322" s="221"/>
      <c r="V322" s="221"/>
      <c r="W322" s="221"/>
      <c r="X322" s="221"/>
      <c r="Y322" s="221"/>
      <c r="Z322" s="221"/>
      <c r="AA322" s="221"/>
      <c r="AB322" s="221"/>
      <c r="AC322" s="221"/>
      <c r="AD322" s="221"/>
      <c r="AE322" s="221"/>
      <c r="AF322" s="221"/>
      <c r="AG322" s="221"/>
      <c r="AH322" s="221"/>
      <c r="AI322" s="221"/>
      <c r="AJ322" s="221"/>
      <c r="AK322" s="221"/>
      <c r="AL322" s="221"/>
      <c r="AM322" s="221"/>
      <c r="AN322" s="221"/>
      <c r="AO322" s="221"/>
      <c r="AP322" s="221"/>
      <c r="AQ322" s="221"/>
      <c r="AR322" s="221"/>
      <c r="AS322" s="221"/>
      <c r="AT322" s="221"/>
      <c r="AU322" s="221"/>
      <c r="AV322" s="221"/>
      <c r="AW322" s="221"/>
      <c r="AX322" s="221"/>
      <c r="AY322" s="221"/>
      <c r="AZ322" s="221"/>
      <c r="BA322" s="221"/>
      <c r="BB322" s="221"/>
      <c r="BC322" s="221"/>
      <c r="BD322" s="221"/>
      <c r="BE322" s="222"/>
    </row>
    <row r="323" spans="2:57" x14ac:dyDescent="0.25">
      <c r="B323" s="223"/>
      <c r="C323" s="383" t="s">
        <v>68</v>
      </c>
      <c r="D323" s="225" t="s">
        <v>631</v>
      </c>
      <c r="E323" s="221"/>
      <c r="F323" s="221"/>
      <c r="G323" s="1239">
        <f>IF('II. Inputs, Baseline Energy Mix'!$N$15&gt;0,('II. Inputs, Baseline Energy Mix'!$N$16*'II. Inputs, Baseline Energy Mix'!$N$17*'II. Inputs, Baseline Energy Mix'!$N$30*'II. Inputs, Baseline Energy Mix'!$N$33),0)</f>
        <v>0</v>
      </c>
      <c r="H323" s="221"/>
      <c r="I323" s="221"/>
      <c r="J323" s="221"/>
      <c r="K323" s="221"/>
      <c r="L323" s="221"/>
      <c r="M323" s="221"/>
      <c r="N323" s="221"/>
      <c r="O323" s="221"/>
      <c r="P323" s="221"/>
      <c r="Q323" s="221"/>
      <c r="R323" s="221"/>
      <c r="S323" s="221"/>
      <c r="T323" s="221"/>
      <c r="U323" s="221"/>
      <c r="V323" s="221"/>
      <c r="W323" s="221"/>
      <c r="X323" s="221"/>
      <c r="Y323" s="221"/>
      <c r="Z323" s="221"/>
      <c r="AA323" s="221"/>
      <c r="AB323" s="221"/>
      <c r="AC323" s="221"/>
      <c r="AD323" s="221"/>
      <c r="AE323" s="221"/>
      <c r="AF323" s="221"/>
      <c r="AG323" s="221"/>
      <c r="AH323" s="221"/>
      <c r="AI323" s="221"/>
      <c r="AJ323" s="221"/>
      <c r="AK323" s="221"/>
      <c r="AL323" s="221"/>
      <c r="AM323" s="221"/>
      <c r="AN323" s="221"/>
      <c r="AO323" s="221"/>
      <c r="AP323" s="221"/>
      <c r="AQ323" s="221"/>
      <c r="AR323" s="221"/>
      <c r="AS323" s="221"/>
      <c r="AT323" s="221"/>
      <c r="AU323" s="221"/>
      <c r="AV323" s="221"/>
      <c r="AW323" s="221"/>
      <c r="AX323" s="221"/>
      <c r="AY323" s="221"/>
      <c r="AZ323" s="221"/>
      <c r="BA323" s="221"/>
      <c r="BB323" s="221"/>
      <c r="BC323" s="221"/>
      <c r="BD323" s="221"/>
      <c r="BE323" s="222"/>
    </row>
    <row r="324" spans="2:57" x14ac:dyDescent="0.25">
      <c r="B324" s="223"/>
      <c r="C324" s="383" t="s">
        <v>69</v>
      </c>
      <c r="D324" s="225" t="s">
        <v>20</v>
      </c>
      <c r="E324" s="221"/>
      <c r="F324" s="221"/>
      <c r="G324" s="224">
        <f>SUM('II. Inputs, Baseline Energy Mix'!$N$73)</f>
        <v>0</v>
      </c>
      <c r="H324" s="221"/>
      <c r="I324" s="221"/>
      <c r="J324" s="221"/>
      <c r="K324" s="221"/>
      <c r="L324" s="221"/>
      <c r="M324" s="221"/>
      <c r="N324" s="221"/>
      <c r="O324" s="221"/>
      <c r="P324" s="221"/>
      <c r="Q324" s="221"/>
      <c r="R324" s="221"/>
      <c r="S324" s="221"/>
      <c r="T324" s="221"/>
      <c r="U324" s="221"/>
      <c r="V324" s="221"/>
      <c r="W324" s="221"/>
      <c r="X324" s="221"/>
      <c r="Y324" s="221"/>
      <c r="Z324" s="221"/>
      <c r="AA324" s="221"/>
      <c r="AB324" s="221"/>
      <c r="AC324" s="221"/>
      <c r="AD324" s="221"/>
      <c r="AE324" s="221"/>
      <c r="AF324" s="221"/>
      <c r="AG324" s="221"/>
      <c r="AH324" s="221"/>
      <c r="AI324" s="221"/>
      <c r="AJ324" s="221"/>
      <c r="AK324" s="221"/>
      <c r="AL324" s="221"/>
      <c r="AM324" s="221"/>
      <c r="AN324" s="221"/>
      <c r="AO324" s="221"/>
      <c r="AP324" s="221"/>
      <c r="AQ324" s="221"/>
      <c r="AR324" s="221"/>
      <c r="AS324" s="221"/>
      <c r="AT324" s="221"/>
      <c r="AU324" s="221"/>
      <c r="AV324" s="221"/>
      <c r="AW324" s="221"/>
      <c r="AX324" s="221"/>
      <c r="AY324" s="221"/>
      <c r="AZ324" s="221"/>
      <c r="BA324" s="221"/>
      <c r="BB324" s="221"/>
      <c r="BC324" s="221"/>
      <c r="BD324" s="221"/>
      <c r="BE324" s="222"/>
    </row>
    <row r="325" spans="2:57" x14ac:dyDescent="0.25">
      <c r="B325" s="223"/>
      <c r="C325" s="383" t="s">
        <v>70</v>
      </c>
      <c r="D325" s="225" t="s">
        <v>16</v>
      </c>
      <c r="E325" s="221"/>
      <c r="F325" s="221"/>
      <c r="G325" s="1134">
        <f>SUM('II. Inputs, Baseline Energy Mix'!$N$72)</f>
        <v>0</v>
      </c>
      <c r="H325" s="221"/>
      <c r="I325" s="221"/>
      <c r="J325" s="221"/>
      <c r="K325" s="221"/>
      <c r="L325" s="221"/>
      <c r="M325" s="221"/>
      <c r="N325" s="221"/>
      <c r="O325" s="221"/>
      <c r="P325" s="221"/>
      <c r="Q325" s="221"/>
      <c r="R325" s="221"/>
      <c r="S325" s="221"/>
      <c r="T325" s="221"/>
      <c r="U325" s="221"/>
      <c r="V325" s="221"/>
      <c r="W325" s="221"/>
      <c r="X325" s="221"/>
      <c r="Y325" s="221"/>
      <c r="Z325" s="221"/>
      <c r="AA325" s="221"/>
      <c r="AB325" s="221"/>
      <c r="AC325" s="221"/>
      <c r="AD325" s="221"/>
      <c r="AE325" s="221"/>
      <c r="AF325" s="221"/>
      <c r="AG325" s="221"/>
      <c r="AH325" s="221"/>
      <c r="AI325" s="221"/>
      <c r="AJ325" s="221"/>
      <c r="AK325" s="221"/>
      <c r="AL325" s="221"/>
      <c r="AM325" s="221"/>
      <c r="AN325" s="221"/>
      <c r="AO325" s="221"/>
      <c r="AP325" s="221"/>
      <c r="AQ325" s="221"/>
      <c r="AR325" s="221"/>
      <c r="AS325" s="221"/>
      <c r="AT325" s="221"/>
      <c r="AU325" s="221"/>
      <c r="AV325" s="221"/>
      <c r="AW325" s="221"/>
      <c r="AX325" s="221"/>
      <c r="AY325" s="221"/>
      <c r="AZ325" s="221"/>
      <c r="BA325" s="221"/>
      <c r="BB325" s="221"/>
      <c r="BC325" s="221"/>
      <c r="BD325" s="221"/>
      <c r="BE325" s="222"/>
    </row>
    <row r="326" spans="2:57" x14ac:dyDescent="0.25">
      <c r="B326" s="223"/>
      <c r="C326" s="383" t="str">
        <f>'II. Inputs, Baseline Energy Mix'!$E$75</f>
        <v>Guarantee Coverage, as a % of Commercial Loan Value</v>
      </c>
      <c r="D326" s="225" t="s">
        <v>16</v>
      </c>
      <c r="E326" s="221"/>
      <c r="F326" s="221"/>
      <c r="G326" s="384">
        <f>SUM('II. Inputs, Baseline Energy Mix'!$N$75)</f>
        <v>0</v>
      </c>
      <c r="H326" s="221"/>
      <c r="I326" s="221"/>
      <c r="J326" s="221"/>
      <c r="K326" s="221"/>
      <c r="L326" s="221"/>
      <c r="M326" s="221"/>
      <c r="N326" s="221"/>
      <c r="O326" s="221"/>
      <c r="P326" s="221"/>
      <c r="Q326" s="221"/>
      <c r="R326" s="221"/>
      <c r="S326" s="221"/>
      <c r="T326" s="221"/>
      <c r="U326" s="221"/>
      <c r="V326" s="221"/>
      <c r="W326" s="221"/>
      <c r="X326" s="221"/>
      <c r="Y326" s="221"/>
      <c r="Z326" s="221"/>
      <c r="AA326" s="221"/>
      <c r="AB326" s="221"/>
      <c r="AC326" s="221"/>
      <c r="AD326" s="221"/>
      <c r="AE326" s="221"/>
      <c r="AF326" s="221"/>
      <c r="AG326" s="221"/>
      <c r="AH326" s="221"/>
      <c r="AI326" s="221"/>
      <c r="AJ326" s="221"/>
      <c r="AK326" s="221"/>
      <c r="AL326" s="221"/>
      <c r="AM326" s="221"/>
      <c r="AN326" s="221"/>
      <c r="AO326" s="221"/>
      <c r="AP326" s="221"/>
      <c r="AQ326" s="221"/>
      <c r="AR326" s="221"/>
      <c r="AS326" s="221"/>
      <c r="AT326" s="221"/>
      <c r="AU326" s="221"/>
      <c r="AV326" s="221"/>
      <c r="AW326" s="221"/>
      <c r="AX326" s="221"/>
      <c r="AY326" s="221"/>
      <c r="AZ326" s="221"/>
      <c r="BA326" s="221"/>
      <c r="BB326" s="221"/>
      <c r="BC326" s="221"/>
      <c r="BD326" s="221"/>
      <c r="BE326" s="222"/>
    </row>
    <row r="327" spans="2:57" x14ac:dyDescent="0.25">
      <c r="B327" s="223"/>
      <c r="C327" s="383" t="str">
        <f>'II. Inputs, Baseline Energy Mix'!$E$76</f>
        <v xml:space="preserve">Term of Public Guarantee Coverage </v>
      </c>
      <c r="D327" s="225" t="s">
        <v>20</v>
      </c>
      <c r="E327" s="221"/>
      <c r="F327" s="221"/>
      <c r="G327" s="224">
        <f>SUM('II. Inputs, Baseline Energy Mix'!$N$76)</f>
        <v>0</v>
      </c>
      <c r="H327" s="221"/>
      <c r="I327" s="221"/>
      <c r="J327" s="221"/>
      <c r="K327" s="221"/>
      <c r="L327" s="221"/>
      <c r="M327" s="221"/>
      <c r="N327" s="221"/>
      <c r="O327" s="221"/>
      <c r="P327" s="221"/>
      <c r="Q327" s="221"/>
      <c r="R327" s="221"/>
      <c r="S327" s="221"/>
      <c r="T327" s="221"/>
      <c r="U327" s="221"/>
      <c r="V327" s="221"/>
      <c r="W327" s="221"/>
      <c r="X327" s="221"/>
      <c r="Y327" s="221"/>
      <c r="Z327" s="221"/>
      <c r="AA327" s="221"/>
      <c r="AB327" s="221"/>
      <c r="AC327" s="221"/>
      <c r="AD327" s="221"/>
      <c r="AE327" s="221"/>
      <c r="AF327" s="221"/>
      <c r="AG327" s="221"/>
      <c r="AH327" s="221"/>
      <c r="AI327" s="221"/>
      <c r="AJ327" s="221"/>
      <c r="AK327" s="221"/>
      <c r="AL327" s="221"/>
      <c r="AM327" s="221"/>
      <c r="AN327" s="221"/>
      <c r="AO327" s="221"/>
      <c r="AP327" s="221"/>
      <c r="AQ327" s="221"/>
      <c r="AR327" s="221"/>
      <c r="AS327" s="221"/>
      <c r="AT327" s="221"/>
      <c r="AU327" s="221"/>
      <c r="AV327" s="221"/>
      <c r="AW327" s="221"/>
      <c r="AX327" s="221"/>
      <c r="AY327" s="221"/>
      <c r="AZ327" s="221"/>
      <c r="BA327" s="221"/>
      <c r="BB327" s="221"/>
      <c r="BC327" s="221"/>
      <c r="BD327" s="221"/>
      <c r="BE327" s="222"/>
    </row>
    <row r="328" spans="2:57" x14ac:dyDescent="0.25">
      <c r="B328" s="223"/>
      <c r="C328" s="221"/>
      <c r="D328" s="221"/>
      <c r="E328" s="221"/>
      <c r="F328" s="221"/>
      <c r="G328" s="221"/>
      <c r="H328" s="221"/>
      <c r="I328" s="221"/>
      <c r="J328" s="221"/>
      <c r="K328" s="221"/>
      <c r="L328" s="221"/>
      <c r="M328" s="221"/>
      <c r="N328" s="221"/>
      <c r="O328" s="221"/>
      <c r="P328" s="221"/>
      <c r="Q328" s="221"/>
      <c r="R328" s="221"/>
      <c r="S328" s="221"/>
      <c r="T328" s="221"/>
      <c r="U328" s="221"/>
      <c r="V328" s="221"/>
      <c r="W328" s="221"/>
      <c r="X328" s="221"/>
      <c r="Y328" s="221"/>
      <c r="Z328" s="221"/>
      <c r="AA328" s="221"/>
      <c r="AB328" s="221"/>
      <c r="AC328" s="221"/>
      <c r="AD328" s="221"/>
      <c r="AE328" s="221"/>
      <c r="AF328" s="221"/>
      <c r="AG328" s="221"/>
      <c r="AH328" s="221"/>
      <c r="AI328" s="221"/>
      <c r="AJ328" s="221"/>
      <c r="AK328" s="221"/>
      <c r="AL328" s="221"/>
      <c r="AM328" s="221"/>
      <c r="AN328" s="221"/>
      <c r="AO328" s="221"/>
      <c r="AP328" s="221"/>
      <c r="AQ328" s="221"/>
      <c r="AR328" s="221"/>
      <c r="AS328" s="221"/>
      <c r="AT328" s="221"/>
      <c r="AU328" s="221"/>
      <c r="AV328" s="221"/>
      <c r="AW328" s="221"/>
      <c r="AX328" s="221"/>
      <c r="AY328" s="221"/>
      <c r="AZ328" s="221"/>
      <c r="BA328" s="221"/>
      <c r="BB328" s="221"/>
      <c r="BC328" s="221"/>
      <c r="BD328" s="221"/>
      <c r="BE328" s="222"/>
    </row>
    <row r="329" spans="2:57" x14ac:dyDescent="0.25">
      <c r="B329" s="223"/>
      <c r="C329" s="385" t="s">
        <v>67</v>
      </c>
      <c r="D329" s="221"/>
      <c r="E329" s="221"/>
      <c r="F329" s="221"/>
      <c r="G329" s="221"/>
      <c r="H329" s="221"/>
      <c r="I329" s="221"/>
      <c r="J329" s="221"/>
      <c r="K329" s="221"/>
      <c r="L329" s="221"/>
      <c r="M329" s="221"/>
      <c r="N329" s="221"/>
      <c r="O329" s="221"/>
      <c r="P329" s="221"/>
      <c r="Q329" s="221"/>
      <c r="R329" s="221"/>
      <c r="S329" s="221"/>
      <c r="T329" s="221"/>
      <c r="U329" s="221"/>
      <c r="V329" s="221"/>
      <c r="W329" s="221"/>
      <c r="X329" s="221"/>
      <c r="Y329" s="221"/>
      <c r="Z329" s="221"/>
      <c r="AA329" s="221"/>
      <c r="AB329" s="221"/>
      <c r="AC329" s="221"/>
      <c r="AD329" s="221"/>
      <c r="AE329" s="221"/>
      <c r="AF329" s="221"/>
      <c r="AG329" s="221"/>
      <c r="AH329" s="221"/>
      <c r="AI329" s="221"/>
      <c r="AJ329" s="221"/>
      <c r="AK329" s="221"/>
      <c r="AL329" s="221"/>
      <c r="AM329" s="221"/>
      <c r="AN329" s="221"/>
      <c r="AO329" s="221"/>
      <c r="AP329" s="221"/>
      <c r="AQ329" s="221"/>
      <c r="AR329" s="221"/>
      <c r="AS329" s="221"/>
      <c r="AT329" s="221"/>
      <c r="AU329" s="221"/>
      <c r="AV329" s="221"/>
      <c r="AW329" s="221"/>
      <c r="AX329" s="221"/>
      <c r="AY329" s="221"/>
      <c r="AZ329" s="221"/>
      <c r="BA329" s="221"/>
      <c r="BB329" s="221"/>
      <c r="BC329" s="221"/>
      <c r="BD329" s="221"/>
      <c r="BE329" s="222"/>
    </row>
    <row r="330" spans="2:57" x14ac:dyDescent="0.25">
      <c r="B330" s="223"/>
      <c r="C330" s="221" t="s">
        <v>73</v>
      </c>
      <c r="D330" s="221"/>
      <c r="E330" s="221"/>
      <c r="F330" s="221"/>
      <c r="G330" s="1239"/>
      <c r="H330" s="1239">
        <f>IF(H$299&gt;$G$324,0,IPMT($G$325,H$299,$G$324,-$G$323))</f>
        <v>0</v>
      </c>
      <c r="I330" s="1239">
        <f t="shared" ref="I330:BE330" si="111">IF(I$299&gt;$G$324,0,IPMT($G$325,I$299,$G$324,-$G$323))</f>
        <v>0</v>
      </c>
      <c r="J330" s="1239">
        <f t="shared" si="111"/>
        <v>0</v>
      </c>
      <c r="K330" s="1239">
        <f t="shared" si="111"/>
        <v>0</v>
      </c>
      <c r="L330" s="1239">
        <f t="shared" si="111"/>
        <v>0</v>
      </c>
      <c r="M330" s="1239">
        <f t="shared" si="111"/>
        <v>0</v>
      </c>
      <c r="N330" s="1239">
        <f t="shared" si="111"/>
        <v>0</v>
      </c>
      <c r="O330" s="1239">
        <f t="shared" si="111"/>
        <v>0</v>
      </c>
      <c r="P330" s="1239">
        <f t="shared" si="111"/>
        <v>0</v>
      </c>
      <c r="Q330" s="1239">
        <f t="shared" si="111"/>
        <v>0</v>
      </c>
      <c r="R330" s="1239">
        <f t="shared" si="111"/>
        <v>0</v>
      </c>
      <c r="S330" s="1239">
        <f t="shared" si="111"/>
        <v>0</v>
      </c>
      <c r="T330" s="1239">
        <f t="shared" si="111"/>
        <v>0</v>
      </c>
      <c r="U330" s="1239">
        <f t="shared" si="111"/>
        <v>0</v>
      </c>
      <c r="V330" s="1239">
        <f t="shared" si="111"/>
        <v>0</v>
      </c>
      <c r="W330" s="1239">
        <f t="shared" si="111"/>
        <v>0</v>
      </c>
      <c r="X330" s="1239">
        <f t="shared" si="111"/>
        <v>0</v>
      </c>
      <c r="Y330" s="1239">
        <f t="shared" si="111"/>
        <v>0</v>
      </c>
      <c r="Z330" s="1239">
        <f t="shared" si="111"/>
        <v>0</v>
      </c>
      <c r="AA330" s="1239">
        <f t="shared" si="111"/>
        <v>0</v>
      </c>
      <c r="AB330" s="1239">
        <f t="shared" si="111"/>
        <v>0</v>
      </c>
      <c r="AC330" s="1239">
        <f t="shared" si="111"/>
        <v>0</v>
      </c>
      <c r="AD330" s="1239">
        <f t="shared" si="111"/>
        <v>0</v>
      </c>
      <c r="AE330" s="1239">
        <f t="shared" si="111"/>
        <v>0</v>
      </c>
      <c r="AF330" s="1239">
        <f t="shared" si="111"/>
        <v>0</v>
      </c>
      <c r="AG330" s="1239">
        <f t="shared" si="111"/>
        <v>0</v>
      </c>
      <c r="AH330" s="1239">
        <f t="shared" si="111"/>
        <v>0</v>
      </c>
      <c r="AI330" s="1239">
        <f t="shared" si="111"/>
        <v>0</v>
      </c>
      <c r="AJ330" s="1239">
        <f t="shared" si="111"/>
        <v>0</v>
      </c>
      <c r="AK330" s="1239">
        <f t="shared" si="111"/>
        <v>0</v>
      </c>
      <c r="AL330" s="1239">
        <f t="shared" si="111"/>
        <v>0</v>
      </c>
      <c r="AM330" s="1239">
        <f t="shared" si="111"/>
        <v>0</v>
      </c>
      <c r="AN330" s="1239">
        <f t="shared" si="111"/>
        <v>0</v>
      </c>
      <c r="AO330" s="1239">
        <f t="shared" si="111"/>
        <v>0</v>
      </c>
      <c r="AP330" s="1239">
        <f t="shared" si="111"/>
        <v>0</v>
      </c>
      <c r="AQ330" s="1239">
        <f t="shared" si="111"/>
        <v>0</v>
      </c>
      <c r="AR330" s="1239">
        <f t="shared" si="111"/>
        <v>0</v>
      </c>
      <c r="AS330" s="1239">
        <f t="shared" si="111"/>
        <v>0</v>
      </c>
      <c r="AT330" s="1239">
        <f t="shared" si="111"/>
        <v>0</v>
      </c>
      <c r="AU330" s="1239">
        <f t="shared" si="111"/>
        <v>0</v>
      </c>
      <c r="AV330" s="1239">
        <f t="shared" si="111"/>
        <v>0</v>
      </c>
      <c r="AW330" s="1239">
        <f t="shared" si="111"/>
        <v>0</v>
      </c>
      <c r="AX330" s="1239">
        <f t="shared" si="111"/>
        <v>0</v>
      </c>
      <c r="AY330" s="1239">
        <f t="shared" si="111"/>
        <v>0</v>
      </c>
      <c r="AZ330" s="1239">
        <f t="shared" si="111"/>
        <v>0</v>
      </c>
      <c r="BA330" s="1239">
        <f t="shared" si="111"/>
        <v>0</v>
      </c>
      <c r="BB330" s="1239">
        <f t="shared" si="111"/>
        <v>0</v>
      </c>
      <c r="BC330" s="1239">
        <f t="shared" si="111"/>
        <v>0</v>
      </c>
      <c r="BD330" s="1239">
        <f t="shared" si="111"/>
        <v>0</v>
      </c>
      <c r="BE330" s="1240">
        <f t="shared" si="111"/>
        <v>0</v>
      </c>
    </row>
    <row r="331" spans="2:57" x14ac:dyDescent="0.25">
      <c r="B331" s="223"/>
      <c r="C331" s="229" t="s">
        <v>72</v>
      </c>
      <c r="D331" s="229"/>
      <c r="E331" s="229"/>
      <c r="F331" s="229"/>
      <c r="G331" s="1241"/>
      <c r="H331" s="1241">
        <f>IF(H$299&gt;$G$324,0,PPMT($G$325,H$299,$G$324,-$G$323))</f>
        <v>0</v>
      </c>
      <c r="I331" s="1241">
        <f t="shared" ref="I331:BE331" si="112">IF(I$299&gt;$G$324,0,PPMT($G$325,I$299,$G$324,-$G$323))</f>
        <v>0</v>
      </c>
      <c r="J331" s="1241">
        <f t="shared" si="112"/>
        <v>0</v>
      </c>
      <c r="K331" s="1241">
        <f t="shared" si="112"/>
        <v>0</v>
      </c>
      <c r="L331" s="1241">
        <f t="shared" si="112"/>
        <v>0</v>
      </c>
      <c r="M331" s="1241">
        <f t="shared" si="112"/>
        <v>0</v>
      </c>
      <c r="N331" s="1241">
        <f t="shared" si="112"/>
        <v>0</v>
      </c>
      <c r="O331" s="1241">
        <f t="shared" si="112"/>
        <v>0</v>
      </c>
      <c r="P331" s="1241">
        <f t="shared" si="112"/>
        <v>0</v>
      </c>
      <c r="Q331" s="1241">
        <f t="shared" si="112"/>
        <v>0</v>
      </c>
      <c r="R331" s="1241">
        <f t="shared" si="112"/>
        <v>0</v>
      </c>
      <c r="S331" s="1241">
        <f t="shared" si="112"/>
        <v>0</v>
      </c>
      <c r="T331" s="1241">
        <f t="shared" si="112"/>
        <v>0</v>
      </c>
      <c r="U331" s="1241">
        <f t="shared" si="112"/>
        <v>0</v>
      </c>
      <c r="V331" s="1241">
        <f t="shared" si="112"/>
        <v>0</v>
      </c>
      <c r="W331" s="1241">
        <f t="shared" si="112"/>
        <v>0</v>
      </c>
      <c r="X331" s="1241">
        <f t="shared" si="112"/>
        <v>0</v>
      </c>
      <c r="Y331" s="1241">
        <f t="shared" si="112"/>
        <v>0</v>
      </c>
      <c r="Z331" s="1241">
        <f t="shared" si="112"/>
        <v>0</v>
      </c>
      <c r="AA331" s="1241">
        <f t="shared" si="112"/>
        <v>0</v>
      </c>
      <c r="AB331" s="1241">
        <f t="shared" si="112"/>
        <v>0</v>
      </c>
      <c r="AC331" s="1241">
        <f t="shared" si="112"/>
        <v>0</v>
      </c>
      <c r="AD331" s="1241">
        <f t="shared" si="112"/>
        <v>0</v>
      </c>
      <c r="AE331" s="1241">
        <f t="shared" si="112"/>
        <v>0</v>
      </c>
      <c r="AF331" s="1241">
        <f t="shared" si="112"/>
        <v>0</v>
      </c>
      <c r="AG331" s="1241">
        <f t="shared" si="112"/>
        <v>0</v>
      </c>
      <c r="AH331" s="1241">
        <f t="shared" si="112"/>
        <v>0</v>
      </c>
      <c r="AI331" s="1241">
        <f t="shared" si="112"/>
        <v>0</v>
      </c>
      <c r="AJ331" s="1241">
        <f t="shared" si="112"/>
        <v>0</v>
      </c>
      <c r="AK331" s="1241">
        <f t="shared" si="112"/>
        <v>0</v>
      </c>
      <c r="AL331" s="1241">
        <f t="shared" si="112"/>
        <v>0</v>
      </c>
      <c r="AM331" s="1241">
        <f t="shared" si="112"/>
        <v>0</v>
      </c>
      <c r="AN331" s="1241">
        <f t="shared" si="112"/>
        <v>0</v>
      </c>
      <c r="AO331" s="1241">
        <f t="shared" si="112"/>
        <v>0</v>
      </c>
      <c r="AP331" s="1241">
        <f t="shared" si="112"/>
        <v>0</v>
      </c>
      <c r="AQ331" s="1241">
        <f t="shared" si="112"/>
        <v>0</v>
      </c>
      <c r="AR331" s="1241">
        <f t="shared" si="112"/>
        <v>0</v>
      </c>
      <c r="AS331" s="1241">
        <f t="shared" si="112"/>
        <v>0</v>
      </c>
      <c r="AT331" s="1241">
        <f t="shared" si="112"/>
        <v>0</v>
      </c>
      <c r="AU331" s="1241">
        <f t="shared" si="112"/>
        <v>0</v>
      </c>
      <c r="AV331" s="1241">
        <f t="shared" si="112"/>
        <v>0</v>
      </c>
      <c r="AW331" s="1241">
        <f t="shared" si="112"/>
        <v>0</v>
      </c>
      <c r="AX331" s="1241">
        <f t="shared" si="112"/>
        <v>0</v>
      </c>
      <c r="AY331" s="1241">
        <f t="shared" si="112"/>
        <v>0</v>
      </c>
      <c r="AZ331" s="1241">
        <f t="shared" si="112"/>
        <v>0</v>
      </c>
      <c r="BA331" s="1241">
        <f t="shared" si="112"/>
        <v>0</v>
      </c>
      <c r="BB331" s="1241">
        <f t="shared" si="112"/>
        <v>0</v>
      </c>
      <c r="BC331" s="1241">
        <f t="shared" si="112"/>
        <v>0</v>
      </c>
      <c r="BD331" s="1241">
        <f t="shared" si="112"/>
        <v>0</v>
      </c>
      <c r="BE331" s="1242">
        <f t="shared" si="112"/>
        <v>0</v>
      </c>
    </row>
    <row r="332" spans="2:57" x14ac:dyDescent="0.25">
      <c r="B332" s="223"/>
      <c r="C332" s="221" t="s">
        <v>74</v>
      </c>
      <c r="D332" s="221"/>
      <c r="E332" s="221"/>
      <c r="F332" s="221"/>
      <c r="G332" s="1239"/>
      <c r="H332" s="1239">
        <f>SUM(H330:H331)</f>
        <v>0</v>
      </c>
      <c r="I332" s="1239">
        <f t="shared" ref="I332:W332" si="113">SUM(I330:I331)</f>
        <v>0</v>
      </c>
      <c r="J332" s="1239">
        <f t="shared" si="113"/>
        <v>0</v>
      </c>
      <c r="K332" s="1239">
        <f t="shared" si="113"/>
        <v>0</v>
      </c>
      <c r="L332" s="1239">
        <f t="shared" si="113"/>
        <v>0</v>
      </c>
      <c r="M332" s="1239">
        <f t="shared" si="113"/>
        <v>0</v>
      </c>
      <c r="N332" s="1239">
        <f t="shared" si="113"/>
        <v>0</v>
      </c>
      <c r="O332" s="1239">
        <f t="shared" si="113"/>
        <v>0</v>
      </c>
      <c r="P332" s="1239">
        <f t="shared" si="113"/>
        <v>0</v>
      </c>
      <c r="Q332" s="1239">
        <f t="shared" si="113"/>
        <v>0</v>
      </c>
      <c r="R332" s="1239">
        <f t="shared" si="113"/>
        <v>0</v>
      </c>
      <c r="S332" s="1239">
        <f t="shared" si="113"/>
        <v>0</v>
      </c>
      <c r="T332" s="1239">
        <f t="shared" si="113"/>
        <v>0</v>
      </c>
      <c r="U332" s="1239">
        <f t="shared" si="113"/>
        <v>0</v>
      </c>
      <c r="V332" s="1239">
        <f t="shared" si="113"/>
        <v>0</v>
      </c>
      <c r="W332" s="1239">
        <f t="shared" si="113"/>
        <v>0</v>
      </c>
      <c r="X332" s="1239">
        <f t="shared" ref="X332:BE332" si="114">SUM(X330:X331)</f>
        <v>0</v>
      </c>
      <c r="Y332" s="1239">
        <f t="shared" si="114"/>
        <v>0</v>
      </c>
      <c r="Z332" s="1239">
        <f t="shared" si="114"/>
        <v>0</v>
      </c>
      <c r="AA332" s="1239">
        <f t="shared" si="114"/>
        <v>0</v>
      </c>
      <c r="AB332" s="1239">
        <f t="shared" si="114"/>
        <v>0</v>
      </c>
      <c r="AC332" s="1239">
        <f t="shared" si="114"/>
        <v>0</v>
      </c>
      <c r="AD332" s="1239">
        <f t="shared" si="114"/>
        <v>0</v>
      </c>
      <c r="AE332" s="1239">
        <f t="shared" si="114"/>
        <v>0</v>
      </c>
      <c r="AF332" s="1239">
        <f t="shared" si="114"/>
        <v>0</v>
      </c>
      <c r="AG332" s="1239">
        <f t="shared" si="114"/>
        <v>0</v>
      </c>
      <c r="AH332" s="1239">
        <f t="shared" si="114"/>
        <v>0</v>
      </c>
      <c r="AI332" s="1239">
        <f t="shared" si="114"/>
        <v>0</v>
      </c>
      <c r="AJ332" s="1239">
        <f t="shared" si="114"/>
        <v>0</v>
      </c>
      <c r="AK332" s="1239">
        <f t="shared" si="114"/>
        <v>0</v>
      </c>
      <c r="AL332" s="1239">
        <f t="shared" si="114"/>
        <v>0</v>
      </c>
      <c r="AM332" s="1239">
        <f t="shared" si="114"/>
        <v>0</v>
      </c>
      <c r="AN332" s="1239">
        <f t="shared" si="114"/>
        <v>0</v>
      </c>
      <c r="AO332" s="1239">
        <f t="shared" si="114"/>
        <v>0</v>
      </c>
      <c r="AP332" s="1239">
        <f t="shared" si="114"/>
        <v>0</v>
      </c>
      <c r="AQ332" s="1239">
        <f t="shared" si="114"/>
        <v>0</v>
      </c>
      <c r="AR332" s="1239">
        <f t="shared" si="114"/>
        <v>0</v>
      </c>
      <c r="AS332" s="1239">
        <f t="shared" si="114"/>
        <v>0</v>
      </c>
      <c r="AT332" s="1239">
        <f t="shared" si="114"/>
        <v>0</v>
      </c>
      <c r="AU332" s="1239">
        <f t="shared" si="114"/>
        <v>0</v>
      </c>
      <c r="AV332" s="1239">
        <f t="shared" si="114"/>
        <v>0</v>
      </c>
      <c r="AW332" s="1239">
        <f t="shared" si="114"/>
        <v>0</v>
      </c>
      <c r="AX332" s="1239">
        <f t="shared" si="114"/>
        <v>0</v>
      </c>
      <c r="AY332" s="1239">
        <f t="shared" si="114"/>
        <v>0</v>
      </c>
      <c r="AZ332" s="1239">
        <f t="shared" si="114"/>
        <v>0</v>
      </c>
      <c r="BA332" s="1239">
        <f t="shared" si="114"/>
        <v>0</v>
      </c>
      <c r="BB332" s="1239">
        <f t="shared" si="114"/>
        <v>0</v>
      </c>
      <c r="BC332" s="1239">
        <f t="shared" si="114"/>
        <v>0</v>
      </c>
      <c r="BD332" s="1239">
        <f t="shared" si="114"/>
        <v>0</v>
      </c>
      <c r="BE332" s="1240">
        <f t="shared" si="114"/>
        <v>0</v>
      </c>
    </row>
    <row r="333" spans="2:57" x14ac:dyDescent="0.25">
      <c r="B333" s="223"/>
      <c r="C333" s="221"/>
      <c r="D333" s="221"/>
      <c r="E333" s="221"/>
      <c r="F333" s="221"/>
      <c r="G333" s="1239"/>
      <c r="H333" s="1239"/>
      <c r="I333" s="1239"/>
      <c r="J333" s="1239"/>
      <c r="K333" s="1239"/>
      <c r="L333" s="1239"/>
      <c r="M333" s="1239"/>
      <c r="N333" s="1239"/>
      <c r="O333" s="1239"/>
      <c r="P333" s="1239"/>
      <c r="Q333" s="1239"/>
      <c r="R333" s="1239"/>
      <c r="S333" s="1239"/>
      <c r="T333" s="1239"/>
      <c r="U333" s="1239"/>
      <c r="V333" s="1239"/>
      <c r="W333" s="1239"/>
      <c r="X333" s="1239"/>
      <c r="Y333" s="1239"/>
      <c r="Z333" s="1239"/>
      <c r="AA333" s="1239"/>
      <c r="AB333" s="1239"/>
      <c r="AC333" s="1239"/>
      <c r="AD333" s="1239"/>
      <c r="AE333" s="1239"/>
      <c r="AF333" s="1239"/>
      <c r="AG333" s="1239"/>
      <c r="AH333" s="1239"/>
      <c r="AI333" s="1239"/>
      <c r="AJ333" s="1239"/>
      <c r="AK333" s="1239"/>
      <c r="AL333" s="1239"/>
      <c r="AM333" s="1239"/>
      <c r="AN333" s="1239"/>
      <c r="AO333" s="1239"/>
      <c r="AP333" s="1239"/>
      <c r="AQ333" s="1239"/>
      <c r="AR333" s="1239"/>
      <c r="AS333" s="1239"/>
      <c r="AT333" s="1239"/>
      <c r="AU333" s="1239"/>
      <c r="AV333" s="1239"/>
      <c r="AW333" s="1239"/>
      <c r="AX333" s="1239"/>
      <c r="AY333" s="1239"/>
      <c r="AZ333" s="1239"/>
      <c r="BA333" s="1239"/>
      <c r="BB333" s="1239"/>
      <c r="BC333" s="1239"/>
      <c r="BD333" s="1239"/>
      <c r="BE333" s="1240"/>
    </row>
    <row r="334" spans="2:57" x14ac:dyDescent="0.25">
      <c r="B334" s="223"/>
      <c r="C334" s="386" t="s">
        <v>65</v>
      </c>
      <c r="D334" s="221"/>
      <c r="E334" s="221"/>
      <c r="F334" s="221"/>
      <c r="G334" s="1239"/>
      <c r="H334" s="1239"/>
      <c r="I334" s="1239"/>
      <c r="J334" s="1239"/>
      <c r="K334" s="1239"/>
      <c r="L334" s="1239"/>
      <c r="M334" s="1239"/>
      <c r="N334" s="1239"/>
      <c r="O334" s="1239"/>
      <c r="P334" s="1239"/>
      <c r="Q334" s="1239"/>
      <c r="R334" s="1239"/>
      <c r="S334" s="1239"/>
      <c r="T334" s="1239"/>
      <c r="U334" s="1239"/>
      <c r="V334" s="1239"/>
      <c r="W334" s="1239"/>
      <c r="X334" s="1239"/>
      <c r="Y334" s="1239"/>
      <c r="Z334" s="1239"/>
      <c r="AA334" s="1239"/>
      <c r="AB334" s="1239"/>
      <c r="AC334" s="1239"/>
      <c r="AD334" s="1239"/>
      <c r="AE334" s="1239"/>
      <c r="AF334" s="1239"/>
      <c r="AG334" s="1239"/>
      <c r="AH334" s="1239"/>
      <c r="AI334" s="1239"/>
      <c r="AJ334" s="1239"/>
      <c r="AK334" s="1239"/>
      <c r="AL334" s="1239"/>
      <c r="AM334" s="1239"/>
      <c r="AN334" s="1239"/>
      <c r="AO334" s="1239"/>
      <c r="AP334" s="1239"/>
      <c r="AQ334" s="1239"/>
      <c r="AR334" s="1239"/>
      <c r="AS334" s="1239"/>
      <c r="AT334" s="1239"/>
      <c r="AU334" s="1239"/>
      <c r="AV334" s="1239"/>
      <c r="AW334" s="1239"/>
      <c r="AX334" s="1239"/>
      <c r="AY334" s="1239"/>
      <c r="AZ334" s="1239"/>
      <c r="BA334" s="1239"/>
      <c r="BB334" s="1239"/>
      <c r="BC334" s="1239"/>
      <c r="BD334" s="1239"/>
      <c r="BE334" s="1240"/>
    </row>
    <row r="335" spans="2:57" x14ac:dyDescent="0.25">
      <c r="B335" s="223"/>
      <c r="C335" s="221" t="s">
        <v>75</v>
      </c>
      <c r="D335" s="221"/>
      <c r="E335" s="221"/>
      <c r="F335" s="221"/>
      <c r="G335" s="1239">
        <v>0</v>
      </c>
      <c r="H335" s="1239">
        <f>G338</f>
        <v>0</v>
      </c>
      <c r="I335" s="1239">
        <f t="shared" ref="I335:W335" si="115">H338</f>
        <v>0</v>
      </c>
      <c r="J335" s="1239">
        <f t="shared" si="115"/>
        <v>0</v>
      </c>
      <c r="K335" s="1239">
        <f t="shared" si="115"/>
        <v>0</v>
      </c>
      <c r="L335" s="1239">
        <f t="shared" si="115"/>
        <v>0</v>
      </c>
      <c r="M335" s="1239">
        <f t="shared" si="115"/>
        <v>0</v>
      </c>
      <c r="N335" s="1239">
        <f t="shared" si="115"/>
        <v>0</v>
      </c>
      <c r="O335" s="1239">
        <f t="shared" si="115"/>
        <v>0</v>
      </c>
      <c r="P335" s="1239">
        <f t="shared" si="115"/>
        <v>0</v>
      </c>
      <c r="Q335" s="1239">
        <f t="shared" si="115"/>
        <v>0</v>
      </c>
      <c r="R335" s="1239">
        <f t="shared" si="115"/>
        <v>0</v>
      </c>
      <c r="S335" s="1239">
        <f t="shared" si="115"/>
        <v>0</v>
      </c>
      <c r="T335" s="1239">
        <f t="shared" si="115"/>
        <v>0</v>
      </c>
      <c r="U335" s="1239">
        <f t="shared" si="115"/>
        <v>0</v>
      </c>
      <c r="V335" s="1239">
        <f t="shared" si="115"/>
        <v>0</v>
      </c>
      <c r="W335" s="1239">
        <f t="shared" si="115"/>
        <v>0</v>
      </c>
      <c r="X335" s="1239">
        <f t="shared" ref="X335:BE335" si="116">W338</f>
        <v>0</v>
      </c>
      <c r="Y335" s="1239">
        <f t="shared" si="116"/>
        <v>0</v>
      </c>
      <c r="Z335" s="1239">
        <f t="shared" si="116"/>
        <v>0</v>
      </c>
      <c r="AA335" s="1239">
        <f t="shared" si="116"/>
        <v>0</v>
      </c>
      <c r="AB335" s="1239">
        <f t="shared" si="116"/>
        <v>0</v>
      </c>
      <c r="AC335" s="1239">
        <f t="shared" si="116"/>
        <v>0</v>
      </c>
      <c r="AD335" s="1239">
        <f t="shared" si="116"/>
        <v>0</v>
      </c>
      <c r="AE335" s="1239">
        <f t="shared" si="116"/>
        <v>0</v>
      </c>
      <c r="AF335" s="1239">
        <f t="shared" si="116"/>
        <v>0</v>
      </c>
      <c r="AG335" s="1239">
        <f t="shared" si="116"/>
        <v>0</v>
      </c>
      <c r="AH335" s="1239">
        <f t="shared" si="116"/>
        <v>0</v>
      </c>
      <c r="AI335" s="1239">
        <f t="shared" si="116"/>
        <v>0</v>
      </c>
      <c r="AJ335" s="1239">
        <f t="shared" si="116"/>
        <v>0</v>
      </c>
      <c r="AK335" s="1239">
        <f t="shared" si="116"/>
        <v>0</v>
      </c>
      <c r="AL335" s="1239">
        <f t="shared" si="116"/>
        <v>0</v>
      </c>
      <c r="AM335" s="1239">
        <f t="shared" si="116"/>
        <v>0</v>
      </c>
      <c r="AN335" s="1239">
        <f t="shared" si="116"/>
        <v>0</v>
      </c>
      <c r="AO335" s="1239">
        <f t="shared" si="116"/>
        <v>0</v>
      </c>
      <c r="AP335" s="1239">
        <f t="shared" si="116"/>
        <v>0</v>
      </c>
      <c r="AQ335" s="1239">
        <f t="shared" si="116"/>
        <v>0</v>
      </c>
      <c r="AR335" s="1239">
        <f t="shared" si="116"/>
        <v>0</v>
      </c>
      <c r="AS335" s="1239">
        <f t="shared" si="116"/>
        <v>0</v>
      </c>
      <c r="AT335" s="1239">
        <f t="shared" si="116"/>
        <v>0</v>
      </c>
      <c r="AU335" s="1239">
        <f t="shared" si="116"/>
        <v>0</v>
      </c>
      <c r="AV335" s="1239">
        <f t="shared" si="116"/>
        <v>0</v>
      </c>
      <c r="AW335" s="1239">
        <f t="shared" si="116"/>
        <v>0</v>
      </c>
      <c r="AX335" s="1239">
        <f t="shared" si="116"/>
        <v>0</v>
      </c>
      <c r="AY335" s="1239">
        <f t="shared" si="116"/>
        <v>0</v>
      </c>
      <c r="AZ335" s="1239">
        <f t="shared" si="116"/>
        <v>0</v>
      </c>
      <c r="BA335" s="1239">
        <f t="shared" si="116"/>
        <v>0</v>
      </c>
      <c r="BB335" s="1239">
        <f t="shared" si="116"/>
        <v>0</v>
      </c>
      <c r="BC335" s="1239">
        <f t="shared" si="116"/>
        <v>0</v>
      </c>
      <c r="BD335" s="1239">
        <f t="shared" si="116"/>
        <v>0</v>
      </c>
      <c r="BE335" s="1240">
        <f t="shared" si="116"/>
        <v>0</v>
      </c>
    </row>
    <row r="336" spans="2:57" x14ac:dyDescent="0.25">
      <c r="B336" s="223"/>
      <c r="C336" s="221" t="s">
        <v>76</v>
      </c>
      <c r="D336" s="221"/>
      <c r="E336" s="221"/>
      <c r="F336" s="221"/>
      <c r="G336" s="1239">
        <f>G323</f>
        <v>0</v>
      </c>
      <c r="H336" s="1239">
        <v>0</v>
      </c>
      <c r="I336" s="1239">
        <v>0</v>
      </c>
      <c r="J336" s="1239">
        <v>0</v>
      </c>
      <c r="K336" s="1239">
        <v>0</v>
      </c>
      <c r="L336" s="1239">
        <v>0</v>
      </c>
      <c r="M336" s="1239">
        <v>0</v>
      </c>
      <c r="N336" s="1239">
        <v>0</v>
      </c>
      <c r="O336" s="1239">
        <v>0</v>
      </c>
      <c r="P336" s="1239">
        <v>0</v>
      </c>
      <c r="Q336" s="1239">
        <v>0</v>
      </c>
      <c r="R336" s="1239">
        <v>0</v>
      </c>
      <c r="S336" s="1239">
        <v>0</v>
      </c>
      <c r="T336" s="1239">
        <v>0</v>
      </c>
      <c r="U336" s="1239">
        <v>0</v>
      </c>
      <c r="V336" s="1239">
        <v>0</v>
      </c>
      <c r="W336" s="1239">
        <v>0</v>
      </c>
      <c r="X336" s="1239">
        <v>0</v>
      </c>
      <c r="Y336" s="1239">
        <v>0</v>
      </c>
      <c r="Z336" s="1239">
        <v>0</v>
      </c>
      <c r="AA336" s="1239">
        <v>0</v>
      </c>
      <c r="AB336" s="1239">
        <v>0</v>
      </c>
      <c r="AC336" s="1239">
        <v>0</v>
      </c>
      <c r="AD336" s="1239">
        <v>0</v>
      </c>
      <c r="AE336" s="1239">
        <v>0</v>
      </c>
      <c r="AF336" s="1239">
        <v>0</v>
      </c>
      <c r="AG336" s="1239">
        <v>0</v>
      </c>
      <c r="AH336" s="1239">
        <v>0</v>
      </c>
      <c r="AI336" s="1239">
        <v>0</v>
      </c>
      <c r="AJ336" s="1239">
        <v>0</v>
      </c>
      <c r="AK336" s="1239">
        <v>0</v>
      </c>
      <c r="AL336" s="1239">
        <v>0</v>
      </c>
      <c r="AM336" s="1239">
        <v>0</v>
      </c>
      <c r="AN336" s="1239">
        <v>0</v>
      </c>
      <c r="AO336" s="1239">
        <v>0</v>
      </c>
      <c r="AP336" s="1239">
        <v>0</v>
      </c>
      <c r="AQ336" s="1239">
        <v>0</v>
      </c>
      <c r="AR336" s="1239">
        <v>0</v>
      </c>
      <c r="AS336" s="1239">
        <v>0</v>
      </c>
      <c r="AT336" s="1239">
        <v>0</v>
      </c>
      <c r="AU336" s="1239">
        <v>0</v>
      </c>
      <c r="AV336" s="1239">
        <v>0</v>
      </c>
      <c r="AW336" s="1239">
        <v>0</v>
      </c>
      <c r="AX336" s="1239">
        <v>0</v>
      </c>
      <c r="AY336" s="1239">
        <v>0</v>
      </c>
      <c r="AZ336" s="1239">
        <v>0</v>
      </c>
      <c r="BA336" s="1239">
        <v>0</v>
      </c>
      <c r="BB336" s="1239">
        <v>0</v>
      </c>
      <c r="BC336" s="1239">
        <v>0</v>
      </c>
      <c r="BD336" s="1239">
        <v>0</v>
      </c>
      <c r="BE336" s="1240">
        <v>0</v>
      </c>
    </row>
    <row r="337" spans="2:57" x14ac:dyDescent="0.25">
      <c r="B337" s="223"/>
      <c r="C337" s="229" t="s">
        <v>77</v>
      </c>
      <c r="D337" s="229"/>
      <c r="E337" s="229"/>
      <c r="F337" s="229"/>
      <c r="G337" s="1241">
        <v>0</v>
      </c>
      <c r="H337" s="1241">
        <f>-H331</f>
        <v>0</v>
      </c>
      <c r="I337" s="1241">
        <f t="shared" ref="I337:W337" si="117">-I331</f>
        <v>0</v>
      </c>
      <c r="J337" s="1241">
        <f t="shared" si="117"/>
        <v>0</v>
      </c>
      <c r="K337" s="1241">
        <f t="shared" si="117"/>
        <v>0</v>
      </c>
      <c r="L337" s="1241">
        <f t="shared" si="117"/>
        <v>0</v>
      </c>
      <c r="M337" s="1241">
        <f t="shared" si="117"/>
        <v>0</v>
      </c>
      <c r="N337" s="1241">
        <f t="shared" si="117"/>
        <v>0</v>
      </c>
      <c r="O337" s="1241">
        <f t="shared" si="117"/>
        <v>0</v>
      </c>
      <c r="P337" s="1241">
        <f t="shared" si="117"/>
        <v>0</v>
      </c>
      <c r="Q337" s="1241">
        <f t="shared" si="117"/>
        <v>0</v>
      </c>
      <c r="R337" s="1241">
        <f t="shared" si="117"/>
        <v>0</v>
      </c>
      <c r="S337" s="1241">
        <f t="shared" si="117"/>
        <v>0</v>
      </c>
      <c r="T337" s="1241">
        <f t="shared" si="117"/>
        <v>0</v>
      </c>
      <c r="U337" s="1241">
        <f t="shared" si="117"/>
        <v>0</v>
      </c>
      <c r="V337" s="1241">
        <f t="shared" si="117"/>
        <v>0</v>
      </c>
      <c r="W337" s="1241">
        <f t="shared" si="117"/>
        <v>0</v>
      </c>
      <c r="X337" s="1241">
        <f t="shared" ref="X337:BE337" si="118">-X331</f>
        <v>0</v>
      </c>
      <c r="Y337" s="1241">
        <f t="shared" si="118"/>
        <v>0</v>
      </c>
      <c r="Z337" s="1241">
        <f t="shared" si="118"/>
        <v>0</v>
      </c>
      <c r="AA337" s="1241">
        <f t="shared" si="118"/>
        <v>0</v>
      </c>
      <c r="AB337" s="1241">
        <f t="shared" si="118"/>
        <v>0</v>
      </c>
      <c r="AC337" s="1241">
        <f t="shared" si="118"/>
        <v>0</v>
      </c>
      <c r="AD337" s="1241">
        <f t="shared" si="118"/>
        <v>0</v>
      </c>
      <c r="AE337" s="1241">
        <f t="shared" si="118"/>
        <v>0</v>
      </c>
      <c r="AF337" s="1241">
        <f t="shared" si="118"/>
        <v>0</v>
      </c>
      <c r="AG337" s="1241">
        <f t="shared" si="118"/>
        <v>0</v>
      </c>
      <c r="AH337" s="1241">
        <f t="shared" si="118"/>
        <v>0</v>
      </c>
      <c r="AI337" s="1241">
        <f t="shared" si="118"/>
        <v>0</v>
      </c>
      <c r="AJ337" s="1241">
        <f t="shared" si="118"/>
        <v>0</v>
      </c>
      <c r="AK337" s="1241">
        <f t="shared" si="118"/>
        <v>0</v>
      </c>
      <c r="AL337" s="1241">
        <f t="shared" si="118"/>
        <v>0</v>
      </c>
      <c r="AM337" s="1241">
        <f t="shared" si="118"/>
        <v>0</v>
      </c>
      <c r="AN337" s="1241">
        <f t="shared" si="118"/>
        <v>0</v>
      </c>
      <c r="AO337" s="1241">
        <f t="shared" si="118"/>
        <v>0</v>
      </c>
      <c r="AP337" s="1241">
        <f t="shared" si="118"/>
        <v>0</v>
      </c>
      <c r="AQ337" s="1241">
        <f t="shared" si="118"/>
        <v>0</v>
      </c>
      <c r="AR337" s="1241">
        <f t="shared" si="118"/>
        <v>0</v>
      </c>
      <c r="AS337" s="1241">
        <f t="shared" si="118"/>
        <v>0</v>
      </c>
      <c r="AT337" s="1241">
        <f t="shared" si="118"/>
        <v>0</v>
      </c>
      <c r="AU337" s="1241">
        <f t="shared" si="118"/>
        <v>0</v>
      </c>
      <c r="AV337" s="1241">
        <f t="shared" si="118"/>
        <v>0</v>
      </c>
      <c r="AW337" s="1241">
        <f t="shared" si="118"/>
        <v>0</v>
      </c>
      <c r="AX337" s="1241">
        <f t="shared" si="118"/>
        <v>0</v>
      </c>
      <c r="AY337" s="1241">
        <f t="shared" si="118"/>
        <v>0</v>
      </c>
      <c r="AZ337" s="1241">
        <f t="shared" si="118"/>
        <v>0</v>
      </c>
      <c r="BA337" s="1241">
        <f t="shared" si="118"/>
        <v>0</v>
      </c>
      <c r="BB337" s="1241">
        <f t="shared" si="118"/>
        <v>0</v>
      </c>
      <c r="BC337" s="1241">
        <f t="shared" si="118"/>
        <v>0</v>
      </c>
      <c r="BD337" s="1241">
        <f t="shared" si="118"/>
        <v>0</v>
      </c>
      <c r="BE337" s="1242">
        <f t="shared" si="118"/>
        <v>0</v>
      </c>
    </row>
    <row r="338" spans="2:57" x14ac:dyDescent="0.25">
      <c r="B338" s="223"/>
      <c r="C338" s="221" t="s">
        <v>66</v>
      </c>
      <c r="D338" s="221"/>
      <c r="E338" s="221"/>
      <c r="F338" s="221"/>
      <c r="G338" s="1239">
        <f>SUM(G335:G337)</f>
        <v>0</v>
      </c>
      <c r="H338" s="1239">
        <f>SUM(H335:H337)</f>
        <v>0</v>
      </c>
      <c r="I338" s="1239">
        <f t="shared" ref="I338:W338" si="119">SUM(I335:I337)</f>
        <v>0</v>
      </c>
      <c r="J338" s="1239">
        <f t="shared" si="119"/>
        <v>0</v>
      </c>
      <c r="K338" s="1239">
        <f t="shared" si="119"/>
        <v>0</v>
      </c>
      <c r="L338" s="1239">
        <f t="shared" si="119"/>
        <v>0</v>
      </c>
      <c r="M338" s="1239">
        <f t="shared" si="119"/>
        <v>0</v>
      </c>
      <c r="N338" s="1239">
        <f t="shared" si="119"/>
        <v>0</v>
      </c>
      <c r="O338" s="1239">
        <f t="shared" si="119"/>
        <v>0</v>
      </c>
      <c r="P338" s="1239">
        <f t="shared" si="119"/>
        <v>0</v>
      </c>
      <c r="Q338" s="1239">
        <f t="shared" si="119"/>
        <v>0</v>
      </c>
      <c r="R338" s="1239">
        <f t="shared" si="119"/>
        <v>0</v>
      </c>
      <c r="S338" s="1239">
        <f t="shared" si="119"/>
        <v>0</v>
      </c>
      <c r="T338" s="1239">
        <f t="shared" si="119"/>
        <v>0</v>
      </c>
      <c r="U338" s="1239">
        <f t="shared" si="119"/>
        <v>0</v>
      </c>
      <c r="V338" s="1239">
        <f t="shared" si="119"/>
        <v>0</v>
      </c>
      <c r="W338" s="1239">
        <f t="shared" si="119"/>
        <v>0</v>
      </c>
      <c r="X338" s="1239">
        <f t="shared" ref="X338:BE338" si="120">SUM(X335:X337)</f>
        <v>0</v>
      </c>
      <c r="Y338" s="1239">
        <f t="shared" si="120"/>
        <v>0</v>
      </c>
      <c r="Z338" s="1239">
        <f t="shared" si="120"/>
        <v>0</v>
      </c>
      <c r="AA338" s="1239">
        <f t="shared" si="120"/>
        <v>0</v>
      </c>
      <c r="AB338" s="1239">
        <f t="shared" si="120"/>
        <v>0</v>
      </c>
      <c r="AC338" s="1239">
        <f t="shared" si="120"/>
        <v>0</v>
      </c>
      <c r="AD338" s="1239">
        <f t="shared" si="120"/>
        <v>0</v>
      </c>
      <c r="AE338" s="1239">
        <f t="shared" si="120"/>
        <v>0</v>
      </c>
      <c r="AF338" s="1239">
        <f t="shared" si="120"/>
        <v>0</v>
      </c>
      <c r="AG338" s="1239">
        <f t="shared" si="120"/>
        <v>0</v>
      </c>
      <c r="AH338" s="1239">
        <f t="shared" si="120"/>
        <v>0</v>
      </c>
      <c r="AI338" s="1239">
        <f t="shared" si="120"/>
        <v>0</v>
      </c>
      <c r="AJ338" s="1239">
        <f t="shared" si="120"/>
        <v>0</v>
      </c>
      <c r="AK338" s="1239">
        <f t="shared" si="120"/>
        <v>0</v>
      </c>
      <c r="AL338" s="1239">
        <f t="shared" si="120"/>
        <v>0</v>
      </c>
      <c r="AM338" s="1239">
        <f t="shared" si="120"/>
        <v>0</v>
      </c>
      <c r="AN338" s="1239">
        <f t="shared" si="120"/>
        <v>0</v>
      </c>
      <c r="AO338" s="1239">
        <f t="shared" si="120"/>
        <v>0</v>
      </c>
      <c r="AP338" s="1239">
        <f t="shared" si="120"/>
        <v>0</v>
      </c>
      <c r="AQ338" s="1239">
        <f t="shared" si="120"/>
        <v>0</v>
      </c>
      <c r="AR338" s="1239">
        <f t="shared" si="120"/>
        <v>0</v>
      </c>
      <c r="AS338" s="1239">
        <f t="shared" si="120"/>
        <v>0</v>
      </c>
      <c r="AT338" s="1239">
        <f t="shared" si="120"/>
        <v>0</v>
      </c>
      <c r="AU338" s="1239">
        <f t="shared" si="120"/>
        <v>0</v>
      </c>
      <c r="AV338" s="1239">
        <f t="shared" si="120"/>
        <v>0</v>
      </c>
      <c r="AW338" s="1239">
        <f t="shared" si="120"/>
        <v>0</v>
      </c>
      <c r="AX338" s="1239">
        <f t="shared" si="120"/>
        <v>0</v>
      </c>
      <c r="AY338" s="1239">
        <f t="shared" si="120"/>
        <v>0</v>
      </c>
      <c r="AZ338" s="1239">
        <f t="shared" si="120"/>
        <v>0</v>
      </c>
      <c r="BA338" s="1239">
        <f t="shared" si="120"/>
        <v>0</v>
      </c>
      <c r="BB338" s="1239">
        <f t="shared" si="120"/>
        <v>0</v>
      </c>
      <c r="BC338" s="1239">
        <f t="shared" si="120"/>
        <v>0</v>
      </c>
      <c r="BD338" s="1239">
        <f t="shared" si="120"/>
        <v>0</v>
      </c>
      <c r="BE338" s="1240">
        <f t="shared" si="120"/>
        <v>0</v>
      </c>
    </row>
    <row r="339" spans="2:57" x14ac:dyDescent="0.25">
      <c r="B339" s="223"/>
      <c r="C339" s="221"/>
      <c r="D339" s="221"/>
      <c r="E339" s="221"/>
      <c r="F339" s="221"/>
      <c r="G339" s="1239"/>
      <c r="H339" s="1239"/>
      <c r="I339" s="1239"/>
      <c r="J339" s="1239"/>
      <c r="K339" s="1239"/>
      <c r="L339" s="1239"/>
      <c r="M339" s="1239"/>
      <c r="N339" s="1239"/>
      <c r="O339" s="1239"/>
      <c r="P339" s="1239"/>
      <c r="Q339" s="1239"/>
      <c r="R339" s="1239"/>
      <c r="S339" s="1239"/>
      <c r="T339" s="1239"/>
      <c r="U339" s="1239"/>
      <c r="V339" s="1239"/>
      <c r="W339" s="1239"/>
      <c r="X339" s="1239"/>
      <c r="Y339" s="1239"/>
      <c r="Z339" s="1239"/>
      <c r="AA339" s="1239"/>
      <c r="AB339" s="1239"/>
      <c r="AC339" s="1239"/>
      <c r="AD339" s="1239"/>
      <c r="AE339" s="1239"/>
      <c r="AF339" s="1239"/>
      <c r="AG339" s="1239"/>
      <c r="AH339" s="1239"/>
      <c r="AI339" s="1239"/>
      <c r="AJ339" s="1239"/>
      <c r="AK339" s="1239"/>
      <c r="AL339" s="1239"/>
      <c r="AM339" s="1239"/>
      <c r="AN339" s="1239"/>
      <c r="AO339" s="1239"/>
      <c r="AP339" s="1239"/>
      <c r="AQ339" s="1239"/>
      <c r="AR339" s="1239"/>
      <c r="AS339" s="1239"/>
      <c r="AT339" s="1239"/>
      <c r="AU339" s="1239"/>
      <c r="AV339" s="1239"/>
      <c r="AW339" s="1239"/>
      <c r="AX339" s="1239"/>
      <c r="AY339" s="1239"/>
      <c r="AZ339" s="1239"/>
      <c r="BA339" s="1239"/>
      <c r="BB339" s="1239"/>
      <c r="BC339" s="1239"/>
      <c r="BD339" s="1239"/>
      <c r="BE339" s="1240"/>
    </row>
    <row r="340" spans="2:57" x14ac:dyDescent="0.25">
      <c r="B340" s="223"/>
      <c r="C340" s="386" t="s">
        <v>71</v>
      </c>
      <c r="D340" s="221"/>
      <c r="E340" s="221"/>
      <c r="F340" s="221"/>
      <c r="G340" s="1239"/>
      <c r="H340" s="1239"/>
      <c r="I340" s="1239"/>
      <c r="J340" s="1239"/>
      <c r="K340" s="1239"/>
      <c r="L340" s="1239"/>
      <c r="M340" s="1239"/>
      <c r="N340" s="1239"/>
      <c r="O340" s="1239"/>
      <c r="P340" s="1239"/>
      <c r="Q340" s="1239"/>
      <c r="R340" s="1239"/>
      <c r="S340" s="1239"/>
      <c r="T340" s="1239"/>
      <c r="U340" s="1239"/>
      <c r="V340" s="1239"/>
      <c r="W340" s="1239"/>
      <c r="X340" s="1239"/>
      <c r="Y340" s="1239"/>
      <c r="Z340" s="1239"/>
      <c r="AA340" s="1239"/>
      <c r="AB340" s="1239"/>
      <c r="AC340" s="1239"/>
      <c r="AD340" s="1239"/>
      <c r="AE340" s="1239"/>
      <c r="AF340" s="1239"/>
      <c r="AG340" s="1239"/>
      <c r="AH340" s="1239"/>
      <c r="AI340" s="1239"/>
      <c r="AJ340" s="1239"/>
      <c r="AK340" s="1239"/>
      <c r="AL340" s="1239"/>
      <c r="AM340" s="1239"/>
      <c r="AN340" s="1239"/>
      <c r="AO340" s="1239"/>
      <c r="AP340" s="1239"/>
      <c r="AQ340" s="1239"/>
      <c r="AR340" s="1239"/>
      <c r="AS340" s="1239"/>
      <c r="AT340" s="1239"/>
      <c r="AU340" s="1239"/>
      <c r="AV340" s="1239"/>
      <c r="AW340" s="1239"/>
      <c r="AX340" s="1239"/>
      <c r="AY340" s="1239"/>
      <c r="AZ340" s="1239"/>
      <c r="BA340" s="1239"/>
      <c r="BB340" s="1239"/>
      <c r="BC340" s="1239"/>
      <c r="BD340" s="1239"/>
      <c r="BE340" s="1240"/>
    </row>
    <row r="341" spans="2:57" x14ac:dyDescent="0.25">
      <c r="B341" s="223"/>
      <c r="C341" s="221" t="s">
        <v>234</v>
      </c>
      <c r="D341" s="221"/>
      <c r="E341" s="221"/>
      <c r="F341" s="221"/>
      <c r="G341" s="1239"/>
      <c r="H341" s="1239">
        <f>IF($G$323&gt;0, $G$323*'II. Inputs, Baseline Energy Mix'!$N$74/10000,0)</f>
        <v>0</v>
      </c>
      <c r="I341" s="1239">
        <v>0</v>
      </c>
      <c r="J341" s="1239">
        <v>0</v>
      </c>
      <c r="K341" s="1239">
        <v>0</v>
      </c>
      <c r="L341" s="1239">
        <v>0</v>
      </c>
      <c r="M341" s="1239">
        <v>0</v>
      </c>
      <c r="N341" s="1239">
        <v>0</v>
      </c>
      <c r="O341" s="1239">
        <v>0</v>
      </c>
      <c r="P341" s="1239">
        <v>0</v>
      </c>
      <c r="Q341" s="1239">
        <v>0</v>
      </c>
      <c r="R341" s="1239">
        <v>0</v>
      </c>
      <c r="S341" s="1239">
        <v>0</v>
      </c>
      <c r="T341" s="1239">
        <v>0</v>
      </c>
      <c r="U341" s="1239">
        <v>0</v>
      </c>
      <c r="V341" s="1239">
        <v>0</v>
      </c>
      <c r="W341" s="1239">
        <v>0</v>
      </c>
      <c r="X341" s="1239">
        <v>0</v>
      </c>
      <c r="Y341" s="1239">
        <v>0</v>
      </c>
      <c r="Z341" s="1239">
        <v>0</v>
      </c>
      <c r="AA341" s="1239">
        <v>0</v>
      </c>
      <c r="AB341" s="1239">
        <v>0</v>
      </c>
      <c r="AC341" s="1239">
        <v>0</v>
      </c>
      <c r="AD341" s="1239">
        <v>0</v>
      </c>
      <c r="AE341" s="1239">
        <v>0</v>
      </c>
      <c r="AF341" s="1239">
        <v>0</v>
      </c>
      <c r="AG341" s="1239">
        <v>0</v>
      </c>
      <c r="AH341" s="1239">
        <v>0</v>
      </c>
      <c r="AI341" s="1239">
        <v>0</v>
      </c>
      <c r="AJ341" s="1239">
        <v>0</v>
      </c>
      <c r="AK341" s="1239">
        <v>0</v>
      </c>
      <c r="AL341" s="1239">
        <v>0</v>
      </c>
      <c r="AM341" s="1239">
        <v>0</v>
      </c>
      <c r="AN341" s="1239">
        <v>0</v>
      </c>
      <c r="AO341" s="1239">
        <v>0</v>
      </c>
      <c r="AP341" s="1239">
        <v>0</v>
      </c>
      <c r="AQ341" s="1239">
        <v>0</v>
      </c>
      <c r="AR341" s="1239">
        <v>0</v>
      </c>
      <c r="AS341" s="1239">
        <v>0</v>
      </c>
      <c r="AT341" s="1239">
        <v>0</v>
      </c>
      <c r="AU341" s="1239">
        <v>0</v>
      </c>
      <c r="AV341" s="1239">
        <v>0</v>
      </c>
      <c r="AW341" s="1239">
        <v>0</v>
      </c>
      <c r="AX341" s="1239">
        <v>0</v>
      </c>
      <c r="AY341" s="1239">
        <v>0</v>
      </c>
      <c r="AZ341" s="1239">
        <v>0</v>
      </c>
      <c r="BA341" s="1239">
        <v>0</v>
      </c>
      <c r="BB341" s="1239">
        <v>0</v>
      </c>
      <c r="BC341" s="1239">
        <v>0</v>
      </c>
      <c r="BD341" s="1239">
        <v>0</v>
      </c>
      <c r="BE341" s="1240">
        <v>0</v>
      </c>
    </row>
    <row r="342" spans="2:57" x14ac:dyDescent="0.25">
      <c r="B342" s="223"/>
      <c r="C342" s="221" t="str">
        <f>'II. Inputs, Baseline Energy Mix'!$E$77</f>
        <v>Front-end Fee, Public Guarantee</v>
      </c>
      <c r="D342" s="221"/>
      <c r="E342" s="221"/>
      <c r="F342" s="221"/>
      <c r="G342" s="1239"/>
      <c r="H342" s="1239">
        <f>IF($G$326&gt;0, $G$323*$G$326*'II. Inputs, Baseline Energy Mix'!$N$77/10000,0)</f>
        <v>0</v>
      </c>
      <c r="I342" s="1239">
        <v>0</v>
      </c>
      <c r="J342" s="1239">
        <v>0</v>
      </c>
      <c r="K342" s="1239">
        <v>0</v>
      </c>
      <c r="L342" s="1239">
        <v>0</v>
      </c>
      <c r="M342" s="1239">
        <v>0</v>
      </c>
      <c r="N342" s="1239">
        <v>0</v>
      </c>
      <c r="O342" s="1239">
        <v>0</v>
      </c>
      <c r="P342" s="1239">
        <v>0</v>
      </c>
      <c r="Q342" s="1239">
        <v>0</v>
      </c>
      <c r="R342" s="1239">
        <v>0</v>
      </c>
      <c r="S342" s="1239">
        <v>0</v>
      </c>
      <c r="T342" s="1239">
        <v>0</v>
      </c>
      <c r="U342" s="1239">
        <v>0</v>
      </c>
      <c r="V342" s="1239">
        <v>0</v>
      </c>
      <c r="W342" s="1239">
        <v>0</v>
      </c>
      <c r="X342" s="1239">
        <v>0</v>
      </c>
      <c r="Y342" s="1239">
        <v>0</v>
      </c>
      <c r="Z342" s="1239">
        <v>0</v>
      </c>
      <c r="AA342" s="1239">
        <v>0</v>
      </c>
      <c r="AB342" s="1239">
        <v>0</v>
      </c>
      <c r="AC342" s="1239">
        <v>0</v>
      </c>
      <c r="AD342" s="1239">
        <v>0</v>
      </c>
      <c r="AE342" s="1239">
        <v>0</v>
      </c>
      <c r="AF342" s="1239">
        <v>0</v>
      </c>
      <c r="AG342" s="1239">
        <v>0</v>
      </c>
      <c r="AH342" s="1239">
        <v>0</v>
      </c>
      <c r="AI342" s="1239">
        <v>0</v>
      </c>
      <c r="AJ342" s="1239">
        <v>0</v>
      </c>
      <c r="AK342" s="1239">
        <v>0</v>
      </c>
      <c r="AL342" s="1239">
        <v>0</v>
      </c>
      <c r="AM342" s="1239">
        <v>0</v>
      </c>
      <c r="AN342" s="1239">
        <v>0</v>
      </c>
      <c r="AO342" s="1239">
        <v>0</v>
      </c>
      <c r="AP342" s="1239">
        <v>0</v>
      </c>
      <c r="AQ342" s="1239">
        <v>0</v>
      </c>
      <c r="AR342" s="1239">
        <v>0</v>
      </c>
      <c r="AS342" s="1239">
        <v>0</v>
      </c>
      <c r="AT342" s="1239">
        <v>0</v>
      </c>
      <c r="AU342" s="1239">
        <v>0</v>
      </c>
      <c r="AV342" s="1239">
        <v>0</v>
      </c>
      <c r="AW342" s="1239">
        <v>0</v>
      </c>
      <c r="AX342" s="1239">
        <v>0</v>
      </c>
      <c r="AY342" s="1239">
        <v>0</v>
      </c>
      <c r="AZ342" s="1239">
        <v>0</v>
      </c>
      <c r="BA342" s="1239">
        <v>0</v>
      </c>
      <c r="BB342" s="1239">
        <v>0</v>
      </c>
      <c r="BC342" s="1239">
        <v>0</v>
      </c>
      <c r="BD342" s="1239">
        <v>0</v>
      </c>
      <c r="BE342" s="1240">
        <v>0</v>
      </c>
    </row>
    <row r="343" spans="2:57" x14ac:dyDescent="0.25">
      <c r="B343" s="223"/>
      <c r="C343" s="221" t="str">
        <f>'II. Inputs, Baseline Energy Mix'!$E$78</f>
        <v xml:space="preserve">Annual Public Guarantee Fee </v>
      </c>
      <c r="D343" s="221"/>
      <c r="E343" s="221"/>
      <c r="F343" s="221"/>
      <c r="G343" s="1239"/>
      <c r="H343" s="1239">
        <f>IF(H$299&gt;$G$327,0,((H335+H338)/2)*$G$326*'II. Inputs, Baseline Energy Mix'!$N$78/10000)</f>
        <v>0</v>
      </c>
      <c r="I343" s="1239">
        <f>IF(I$299&gt;$G$327,0,((I335+I338)/2)*$G$326*'II. Inputs, Baseline Energy Mix'!$N$78/10000)</f>
        <v>0</v>
      </c>
      <c r="J343" s="1239">
        <f>IF(J$299&gt;$G$327,0,((J335+J338)/2)*$G$326*'II. Inputs, Baseline Energy Mix'!$N$78/10000)</f>
        <v>0</v>
      </c>
      <c r="K343" s="1239">
        <f>IF(K$299&gt;$G$327,0,((K335+K338)/2)*$G$326*'II. Inputs, Baseline Energy Mix'!$N$78/10000)</f>
        <v>0</v>
      </c>
      <c r="L343" s="1239">
        <f>IF(L$299&gt;$G$327,0,((L335+L338)/2)*$G$326*'II. Inputs, Baseline Energy Mix'!$N$78/10000)</f>
        <v>0</v>
      </c>
      <c r="M343" s="1239">
        <f>IF(M$299&gt;$G$327,0,((M335+M338)/2)*$G$326*'II. Inputs, Baseline Energy Mix'!$N$78/10000)</f>
        <v>0</v>
      </c>
      <c r="N343" s="1239">
        <f>IF(N$299&gt;$G$327,0,((N335+N338)/2)*$G$326*'II. Inputs, Baseline Energy Mix'!$N$78/10000)</f>
        <v>0</v>
      </c>
      <c r="O343" s="1239">
        <f>IF(O$299&gt;$G$327,0,((O335+O338)/2)*$G$326*'II. Inputs, Baseline Energy Mix'!$N$78/10000)</f>
        <v>0</v>
      </c>
      <c r="P343" s="1239">
        <f>IF(P$299&gt;$G$327,0,((P335+P338)/2)*$G$326*'II. Inputs, Baseline Energy Mix'!$N$78/10000)</f>
        <v>0</v>
      </c>
      <c r="Q343" s="1239">
        <f>IF(Q$299&gt;$G$327,0,((Q335+Q338)/2)*$G$326*'II. Inputs, Baseline Energy Mix'!$N$78/10000)</f>
        <v>0</v>
      </c>
      <c r="R343" s="1239">
        <f>IF(R$299&gt;$G$327,0,((R335+R338)/2)*$G$326*'II. Inputs, Baseline Energy Mix'!$N$78/10000)</f>
        <v>0</v>
      </c>
      <c r="S343" s="1239">
        <f>IF(S$299&gt;$G$327,0,((S335+S338)/2)*$G$326*'II. Inputs, Baseline Energy Mix'!$N$78/10000)</f>
        <v>0</v>
      </c>
      <c r="T343" s="1239">
        <f>IF(T$299&gt;$G$327,0,((T335+T338)/2)*$G$326*'II. Inputs, Baseline Energy Mix'!$N$78/10000)</f>
        <v>0</v>
      </c>
      <c r="U343" s="1239">
        <f>IF(U$299&gt;$G$327,0,((U335+U338)/2)*$G$326*'II. Inputs, Baseline Energy Mix'!$N$78/10000)</f>
        <v>0</v>
      </c>
      <c r="V343" s="1239">
        <f>IF(V$299&gt;$G$327,0,((V335+V338)/2)*$G$326*'II. Inputs, Baseline Energy Mix'!$N$78/10000)</f>
        <v>0</v>
      </c>
      <c r="W343" s="1239">
        <f>IF(W$299&gt;$G$327,0,((W335+W338)/2)*$G$326*'II. Inputs, Baseline Energy Mix'!$N$78/10000)</f>
        <v>0</v>
      </c>
      <c r="X343" s="1239">
        <f>IF(X$299&gt;$G$327,0,((X335+X338)/2)*$G$326*'II. Inputs, Baseline Energy Mix'!$N$78/10000)</f>
        <v>0</v>
      </c>
      <c r="Y343" s="1239">
        <f>IF(Y$299&gt;$G$327,0,((Y335+Y338)/2)*$G$326*'II. Inputs, Baseline Energy Mix'!$N$78/10000)</f>
        <v>0</v>
      </c>
      <c r="Z343" s="1239">
        <f>IF(Z$299&gt;$G$327,0,((Z335+Z338)/2)*$G$326*'II. Inputs, Baseline Energy Mix'!$N$78/10000)</f>
        <v>0</v>
      </c>
      <c r="AA343" s="1239">
        <f>IF(AA$299&gt;$G$327,0,((AA335+AA338)/2)*$G$326*'II. Inputs, Baseline Energy Mix'!$N$78/10000)</f>
        <v>0</v>
      </c>
      <c r="AB343" s="1239">
        <f>IF(AB$299&gt;$G$327,0,((AB335+AB338)/2)*$G$326*'II. Inputs, Baseline Energy Mix'!$N$78/10000)</f>
        <v>0</v>
      </c>
      <c r="AC343" s="1239">
        <f>IF(AC$299&gt;$G$327,0,((AC335+AC338)/2)*$G$326*'II. Inputs, Baseline Energy Mix'!$N$78/10000)</f>
        <v>0</v>
      </c>
      <c r="AD343" s="1239">
        <f>IF(AD$299&gt;$G$327,0,((AD335+AD338)/2)*$G$326*'II. Inputs, Baseline Energy Mix'!$N$78/10000)</f>
        <v>0</v>
      </c>
      <c r="AE343" s="1239">
        <f>IF(AE$299&gt;$G$327,0,((AE335+AE338)/2)*$G$326*'II. Inputs, Baseline Energy Mix'!$N$78/10000)</f>
        <v>0</v>
      </c>
      <c r="AF343" s="1239">
        <f>IF(AF$299&gt;$G$327,0,((AF335+AF338)/2)*$G$326*'II. Inputs, Baseline Energy Mix'!$N$78/10000)</f>
        <v>0</v>
      </c>
      <c r="AG343" s="1239">
        <f>IF(AG$299&gt;$G$327,0,((AG335+AG338)/2)*$G$326*'II. Inputs, Baseline Energy Mix'!$N$78/10000)</f>
        <v>0</v>
      </c>
      <c r="AH343" s="1239">
        <f>IF(AH$299&gt;$G$327,0,((AH335+AH338)/2)*$G$326*'II. Inputs, Baseline Energy Mix'!$N$78/10000)</f>
        <v>0</v>
      </c>
      <c r="AI343" s="1239">
        <f>IF(AI$299&gt;$G$327,0,((AI335+AI338)/2)*$G$326*'II. Inputs, Baseline Energy Mix'!$N$78/10000)</f>
        <v>0</v>
      </c>
      <c r="AJ343" s="1239">
        <f>IF(AJ$299&gt;$G$327,0,((AJ335+AJ338)/2)*$G$326*'II. Inputs, Baseline Energy Mix'!$N$78/10000)</f>
        <v>0</v>
      </c>
      <c r="AK343" s="1239">
        <f>IF(AK$299&gt;$G$327,0,((AK335+AK338)/2)*$G$326*'II. Inputs, Baseline Energy Mix'!$N$78/10000)</f>
        <v>0</v>
      </c>
      <c r="AL343" s="1239">
        <f>IF(AL$299&gt;$G$327,0,((AL335+AL338)/2)*$G$326*'II. Inputs, Baseline Energy Mix'!$N$78/10000)</f>
        <v>0</v>
      </c>
      <c r="AM343" s="1239">
        <f>IF(AM$299&gt;$G$327,0,((AM335+AM338)/2)*$G$326*'II. Inputs, Baseline Energy Mix'!$N$78/10000)</f>
        <v>0</v>
      </c>
      <c r="AN343" s="1239">
        <f>IF(AN$299&gt;$G$327,0,((AN335+AN338)/2)*$G$326*'II. Inputs, Baseline Energy Mix'!$N$78/10000)</f>
        <v>0</v>
      </c>
      <c r="AO343" s="1239">
        <f>IF(AO$299&gt;$G$327,0,((AO335+AO338)/2)*$G$326*'II. Inputs, Baseline Energy Mix'!$N$78/10000)</f>
        <v>0</v>
      </c>
      <c r="AP343" s="1239">
        <f>IF(AP$299&gt;$G$327,0,((AP335+AP338)/2)*$G$326*'II. Inputs, Baseline Energy Mix'!$N$78/10000)</f>
        <v>0</v>
      </c>
      <c r="AQ343" s="1239">
        <f>IF(AQ$299&gt;$G$327,0,((AQ335+AQ338)/2)*$G$326*'II. Inputs, Baseline Energy Mix'!$N$78/10000)</f>
        <v>0</v>
      </c>
      <c r="AR343" s="1239">
        <f>IF(AR$299&gt;$G$327,0,((AR335+AR338)/2)*$G$326*'II. Inputs, Baseline Energy Mix'!$N$78/10000)</f>
        <v>0</v>
      </c>
      <c r="AS343" s="1239">
        <f>IF(AS$299&gt;$G$327,0,((AS335+AS338)/2)*$G$326*'II. Inputs, Baseline Energy Mix'!$N$78/10000)</f>
        <v>0</v>
      </c>
      <c r="AT343" s="1239">
        <f>IF(AT$299&gt;$G$327,0,((AT335+AT338)/2)*$G$326*'II. Inputs, Baseline Energy Mix'!$N$78/10000)</f>
        <v>0</v>
      </c>
      <c r="AU343" s="1239">
        <f>IF(AU$299&gt;$G$327,0,((AU335+AU338)/2)*$G$326*'II. Inputs, Baseline Energy Mix'!$N$78/10000)</f>
        <v>0</v>
      </c>
      <c r="AV343" s="1239">
        <f>IF(AV$299&gt;$G$327,0,((AV335+AV338)/2)*$G$326*'II. Inputs, Baseline Energy Mix'!$N$78/10000)</f>
        <v>0</v>
      </c>
      <c r="AW343" s="1239">
        <f>IF(AW$299&gt;$G$327,0,((AW335+AW338)/2)*$G$326*'II. Inputs, Baseline Energy Mix'!$N$78/10000)</f>
        <v>0</v>
      </c>
      <c r="AX343" s="1239">
        <f>IF(AX$299&gt;$G$327,0,((AX335+AX338)/2)*$G$326*'II. Inputs, Baseline Energy Mix'!$N$78/10000)</f>
        <v>0</v>
      </c>
      <c r="AY343" s="1239">
        <f>IF(AY$299&gt;$G$327,0,((AY335+AY338)/2)*$G$326*'II. Inputs, Baseline Energy Mix'!$N$78/10000)</f>
        <v>0</v>
      </c>
      <c r="AZ343" s="1239">
        <f>IF(AZ$299&gt;$G$327,0,((AZ335+AZ338)/2)*$G$326*'II. Inputs, Baseline Energy Mix'!$N$78/10000)</f>
        <v>0</v>
      </c>
      <c r="BA343" s="1239">
        <f>IF(BA$299&gt;$G$327,0,((BA335+BA338)/2)*$G$326*'II. Inputs, Baseline Energy Mix'!$N$78/10000)</f>
        <v>0</v>
      </c>
      <c r="BB343" s="1239">
        <f>IF(BB$299&gt;$G$327,0,((BB335+BB338)/2)*$G$326*'II. Inputs, Baseline Energy Mix'!$N$78/10000)</f>
        <v>0</v>
      </c>
      <c r="BC343" s="1239">
        <f>IF(BC$299&gt;$G$327,0,((BC335+BC338)/2)*$G$326*'II. Inputs, Baseline Energy Mix'!$N$78/10000)</f>
        <v>0</v>
      </c>
      <c r="BD343" s="1239">
        <f>IF(BD$299&gt;$G$327,0,((BD335+BD338)/2)*$G$326*'II. Inputs, Baseline Energy Mix'!$N$78/10000)</f>
        <v>0</v>
      </c>
      <c r="BE343" s="1240">
        <f>IF(BE$299&gt;$G$327,0,((BE335+BE338)/2)*$G$326*'II. Inputs, Baseline Energy Mix'!$N$78/10000)</f>
        <v>0</v>
      </c>
    </row>
    <row r="344" spans="2:57" x14ac:dyDescent="0.25">
      <c r="B344" s="223"/>
      <c r="C344" s="221"/>
      <c r="D344" s="221"/>
      <c r="E344" s="221"/>
      <c r="F344" s="221"/>
      <c r="G344" s="221"/>
      <c r="H344" s="221"/>
      <c r="I344" s="221"/>
      <c r="J344" s="221"/>
      <c r="K344" s="221"/>
      <c r="L344" s="221"/>
      <c r="M344" s="221"/>
      <c r="N344" s="221"/>
      <c r="O344" s="221"/>
      <c r="P344" s="221"/>
      <c r="Q344" s="221"/>
      <c r="R344" s="221"/>
      <c r="S344" s="221"/>
      <c r="T344" s="221"/>
      <c r="U344" s="221"/>
      <c r="V344" s="221"/>
      <c r="W344" s="221"/>
      <c r="X344" s="221"/>
      <c r="Y344" s="221"/>
      <c r="Z344" s="221"/>
      <c r="AA344" s="221"/>
      <c r="AB344" s="221"/>
      <c r="AC344" s="221"/>
      <c r="AD344" s="221"/>
      <c r="AE344" s="221"/>
      <c r="AF344" s="221"/>
      <c r="AG344" s="221"/>
      <c r="AH344" s="221"/>
      <c r="AI344" s="221"/>
      <c r="AJ344" s="221"/>
      <c r="AK344" s="221"/>
      <c r="AL344" s="221"/>
      <c r="AM344" s="221"/>
      <c r="AN344" s="221"/>
      <c r="AO344" s="221"/>
      <c r="AP344" s="221"/>
      <c r="AQ344" s="221"/>
      <c r="AR344" s="221"/>
      <c r="AS344" s="221"/>
      <c r="AT344" s="221"/>
      <c r="AU344" s="221"/>
      <c r="AV344" s="221"/>
      <c r="AW344" s="221"/>
      <c r="AX344" s="221"/>
      <c r="AY344" s="221"/>
      <c r="AZ344" s="221"/>
      <c r="BA344" s="221"/>
      <c r="BB344" s="221"/>
      <c r="BC344" s="221"/>
      <c r="BD344" s="221"/>
      <c r="BE344" s="222"/>
    </row>
    <row r="345" spans="2:57" x14ac:dyDescent="0.25">
      <c r="B345" s="220" t="s">
        <v>181</v>
      </c>
      <c r="C345" s="221"/>
      <c r="D345" s="221"/>
      <c r="E345" s="221"/>
      <c r="F345" s="221"/>
      <c r="G345" s="221"/>
      <c r="H345" s="221"/>
      <c r="I345" s="221"/>
      <c r="J345" s="221"/>
      <c r="K345" s="221"/>
      <c r="L345" s="221"/>
      <c r="M345" s="221"/>
      <c r="N345" s="221"/>
      <c r="O345" s="221"/>
      <c r="P345" s="221"/>
      <c r="Q345" s="221"/>
      <c r="R345" s="221"/>
      <c r="S345" s="221"/>
      <c r="T345" s="221"/>
      <c r="U345" s="221"/>
      <c r="V345" s="221"/>
      <c r="W345" s="221"/>
      <c r="X345" s="221"/>
      <c r="Y345" s="221"/>
      <c r="Z345" s="221"/>
      <c r="AA345" s="221"/>
      <c r="AB345" s="221"/>
      <c r="AC345" s="221"/>
      <c r="AD345" s="221"/>
      <c r="AE345" s="221"/>
      <c r="AF345" s="221"/>
      <c r="AG345" s="221"/>
      <c r="AH345" s="221"/>
      <c r="AI345" s="221"/>
      <c r="AJ345" s="221"/>
      <c r="AK345" s="221"/>
      <c r="AL345" s="221"/>
      <c r="AM345" s="221"/>
      <c r="AN345" s="221"/>
      <c r="AO345" s="221"/>
      <c r="AP345" s="221"/>
      <c r="AQ345" s="221"/>
      <c r="AR345" s="221"/>
      <c r="AS345" s="221"/>
      <c r="AT345" s="221"/>
      <c r="AU345" s="221"/>
      <c r="AV345" s="221"/>
      <c r="AW345" s="221"/>
      <c r="AX345" s="221"/>
      <c r="AY345" s="221"/>
      <c r="AZ345" s="221"/>
      <c r="BA345" s="221"/>
      <c r="BB345" s="221"/>
      <c r="BC345" s="221"/>
      <c r="BD345" s="221"/>
      <c r="BE345" s="222"/>
    </row>
    <row r="346" spans="2:57" x14ac:dyDescent="0.25">
      <c r="B346" s="223"/>
      <c r="C346" s="383" t="s">
        <v>68</v>
      </c>
      <c r="D346" s="221"/>
      <c r="E346" s="221"/>
      <c r="F346" s="221"/>
      <c r="G346" s="1239">
        <f>IF('II. Inputs, Baseline Energy Mix'!$N$15&gt;0,('II. Inputs, Baseline Energy Mix'!$N$16*'II. Inputs, Baseline Energy Mix'!$N$17*'II. Inputs, Baseline Energy Mix'!$N$30*'II. Inputs, Baseline Energy Mix'!$N$34),0)</f>
        <v>498175.18248175178</v>
      </c>
      <c r="H346" s="221"/>
      <c r="I346" s="221"/>
      <c r="J346" s="221"/>
      <c r="K346" s="221"/>
      <c r="L346" s="221"/>
      <c r="M346" s="221"/>
      <c r="N346" s="221"/>
      <c r="O346" s="221"/>
      <c r="P346" s="221"/>
      <c r="Q346" s="221"/>
      <c r="R346" s="221"/>
      <c r="S346" s="221"/>
      <c r="T346" s="221"/>
      <c r="U346" s="221"/>
      <c r="V346" s="221"/>
      <c r="W346" s="221"/>
      <c r="X346" s="221"/>
      <c r="Y346" s="221"/>
      <c r="Z346" s="221"/>
      <c r="AA346" s="221"/>
      <c r="AB346" s="221"/>
      <c r="AC346" s="221"/>
      <c r="AD346" s="221"/>
      <c r="AE346" s="221"/>
      <c r="AF346" s="221"/>
      <c r="AG346" s="221"/>
      <c r="AH346" s="221"/>
      <c r="AI346" s="221"/>
      <c r="AJ346" s="221"/>
      <c r="AK346" s="221"/>
      <c r="AL346" s="221"/>
      <c r="AM346" s="221"/>
      <c r="AN346" s="221"/>
      <c r="AO346" s="221"/>
      <c r="AP346" s="221"/>
      <c r="AQ346" s="221"/>
      <c r="AR346" s="221"/>
      <c r="AS346" s="221"/>
      <c r="AT346" s="221"/>
      <c r="AU346" s="221"/>
      <c r="AV346" s="221"/>
      <c r="AW346" s="221"/>
      <c r="AX346" s="221"/>
      <c r="AY346" s="221"/>
      <c r="AZ346" s="221"/>
      <c r="BA346" s="221"/>
      <c r="BB346" s="221"/>
      <c r="BC346" s="221"/>
      <c r="BD346" s="221"/>
      <c r="BE346" s="222"/>
    </row>
    <row r="347" spans="2:57" x14ac:dyDescent="0.25">
      <c r="B347" s="223"/>
      <c r="C347" s="383" t="s">
        <v>69</v>
      </c>
      <c r="D347" s="221"/>
      <c r="E347" s="221"/>
      <c r="F347" s="221"/>
      <c r="G347" s="224">
        <f>SUM('II. Inputs, Baseline Energy Mix'!$N$46)</f>
        <v>12.5</v>
      </c>
      <c r="H347" s="221"/>
      <c r="I347" s="221"/>
      <c r="J347" s="221"/>
      <c r="K347" s="221"/>
      <c r="L347" s="221"/>
      <c r="M347" s="221"/>
      <c r="N347" s="221"/>
      <c r="O347" s="221"/>
      <c r="P347" s="221"/>
      <c r="Q347" s="221"/>
      <c r="R347" s="221"/>
      <c r="S347" s="221"/>
      <c r="T347" s="221"/>
      <c r="U347" s="221"/>
      <c r="V347" s="221"/>
      <c r="W347" s="221"/>
      <c r="X347" s="221"/>
      <c r="Y347" s="221"/>
      <c r="Z347" s="221"/>
      <c r="AA347" s="221"/>
      <c r="AB347" s="221"/>
      <c r="AC347" s="221"/>
      <c r="AD347" s="221"/>
      <c r="AE347" s="221"/>
      <c r="AF347" s="221"/>
      <c r="AG347" s="221"/>
      <c r="AH347" s="221"/>
      <c r="AI347" s="221"/>
      <c r="AJ347" s="221"/>
      <c r="AK347" s="221"/>
      <c r="AL347" s="221"/>
      <c r="AM347" s="221"/>
      <c r="AN347" s="221"/>
      <c r="AO347" s="221"/>
      <c r="AP347" s="221"/>
      <c r="AQ347" s="221"/>
      <c r="AR347" s="221"/>
      <c r="AS347" s="221"/>
      <c r="AT347" s="221"/>
      <c r="AU347" s="221"/>
      <c r="AV347" s="221"/>
      <c r="AW347" s="221"/>
      <c r="AX347" s="221"/>
      <c r="AY347" s="221"/>
      <c r="AZ347" s="221"/>
      <c r="BA347" s="221"/>
      <c r="BB347" s="221"/>
      <c r="BC347" s="221"/>
      <c r="BD347" s="221"/>
      <c r="BE347" s="222"/>
    </row>
    <row r="348" spans="2:57" x14ac:dyDescent="0.25">
      <c r="B348" s="223"/>
      <c r="C348" s="383" t="s">
        <v>70</v>
      </c>
      <c r="D348" s="221"/>
      <c r="E348" s="221"/>
      <c r="F348" s="221"/>
      <c r="G348" s="1134">
        <f>SUM('II. Inputs, Baseline Energy Mix'!$N$41)</f>
        <v>5.525E-2</v>
      </c>
      <c r="H348" s="221"/>
      <c r="I348" s="221"/>
      <c r="J348" s="221"/>
      <c r="K348" s="221"/>
      <c r="L348" s="221"/>
      <c r="M348" s="221"/>
      <c r="N348" s="221"/>
      <c r="O348" s="221"/>
      <c r="P348" s="221"/>
      <c r="Q348" s="221"/>
      <c r="R348" s="221"/>
      <c r="S348" s="221"/>
      <c r="T348" s="221"/>
      <c r="U348" s="221"/>
      <c r="V348" s="221"/>
      <c r="W348" s="221"/>
      <c r="X348" s="221"/>
      <c r="Y348" s="221"/>
      <c r="Z348" s="221"/>
      <c r="AA348" s="221"/>
      <c r="AB348" s="221"/>
      <c r="AC348" s="221"/>
      <c r="AD348" s="221"/>
      <c r="AE348" s="221"/>
      <c r="AF348" s="221"/>
      <c r="AG348" s="221"/>
      <c r="AH348" s="221"/>
      <c r="AI348" s="221"/>
      <c r="AJ348" s="221"/>
      <c r="AK348" s="221"/>
      <c r="AL348" s="221"/>
      <c r="AM348" s="221"/>
      <c r="AN348" s="221"/>
      <c r="AO348" s="221"/>
      <c r="AP348" s="221"/>
      <c r="AQ348" s="221"/>
      <c r="AR348" s="221"/>
      <c r="AS348" s="221"/>
      <c r="AT348" s="221"/>
      <c r="AU348" s="221"/>
      <c r="AV348" s="221"/>
      <c r="AW348" s="221"/>
      <c r="AX348" s="221"/>
      <c r="AY348" s="221"/>
      <c r="AZ348" s="221"/>
      <c r="BA348" s="221"/>
      <c r="BB348" s="221"/>
      <c r="BC348" s="221"/>
      <c r="BD348" s="221"/>
      <c r="BE348" s="222"/>
    </row>
    <row r="349" spans="2:57" x14ac:dyDescent="0.25">
      <c r="B349" s="223"/>
      <c r="C349" s="221"/>
      <c r="D349" s="221"/>
      <c r="E349" s="221"/>
      <c r="F349" s="221"/>
      <c r="G349" s="221"/>
      <c r="H349" s="221"/>
      <c r="I349" s="221"/>
      <c r="J349" s="221"/>
      <c r="K349" s="221"/>
      <c r="L349" s="221"/>
      <c r="M349" s="221"/>
      <c r="N349" s="221"/>
      <c r="O349" s="221"/>
      <c r="P349" s="221"/>
      <c r="Q349" s="221"/>
      <c r="R349" s="221"/>
      <c r="S349" s="221"/>
      <c r="T349" s="221"/>
      <c r="U349" s="221"/>
      <c r="V349" s="221"/>
      <c r="W349" s="221"/>
      <c r="X349" s="221"/>
      <c r="Y349" s="221"/>
      <c r="Z349" s="221"/>
      <c r="AA349" s="221"/>
      <c r="AB349" s="221"/>
      <c r="AC349" s="221"/>
      <c r="AD349" s="221"/>
      <c r="AE349" s="221"/>
      <c r="AF349" s="221"/>
      <c r="AG349" s="221"/>
      <c r="AH349" s="221"/>
      <c r="AI349" s="221"/>
      <c r="AJ349" s="221"/>
      <c r="AK349" s="221"/>
      <c r="AL349" s="221"/>
      <c r="AM349" s="221"/>
      <c r="AN349" s="221"/>
      <c r="AO349" s="221"/>
      <c r="AP349" s="221"/>
      <c r="AQ349" s="221"/>
      <c r="AR349" s="221"/>
      <c r="AS349" s="221"/>
      <c r="AT349" s="221"/>
      <c r="AU349" s="221"/>
      <c r="AV349" s="221"/>
      <c r="AW349" s="221"/>
      <c r="AX349" s="221"/>
      <c r="AY349" s="221"/>
      <c r="AZ349" s="221"/>
      <c r="BA349" s="221"/>
      <c r="BB349" s="221"/>
      <c r="BC349" s="221"/>
      <c r="BD349" s="221"/>
      <c r="BE349" s="222"/>
    </row>
    <row r="350" spans="2:57" x14ac:dyDescent="0.25">
      <c r="B350" s="223"/>
      <c r="C350" s="385" t="s">
        <v>67</v>
      </c>
      <c r="D350" s="221"/>
      <c r="E350" s="221"/>
      <c r="F350" s="221"/>
      <c r="G350" s="221"/>
      <c r="H350" s="221"/>
      <c r="I350" s="221"/>
      <c r="J350" s="221"/>
      <c r="K350" s="221"/>
      <c r="L350" s="221"/>
      <c r="M350" s="221"/>
      <c r="N350" s="221"/>
      <c r="O350" s="221"/>
      <c r="P350" s="221"/>
      <c r="Q350" s="221"/>
      <c r="R350" s="221"/>
      <c r="S350" s="221"/>
      <c r="T350" s="221"/>
      <c r="U350" s="221"/>
      <c r="V350" s="221"/>
      <c r="W350" s="221"/>
      <c r="X350" s="221"/>
      <c r="Y350" s="221"/>
      <c r="Z350" s="221"/>
      <c r="AA350" s="221"/>
      <c r="AB350" s="221"/>
      <c r="AC350" s="221"/>
      <c r="AD350" s="221"/>
      <c r="AE350" s="221"/>
      <c r="AF350" s="221"/>
      <c r="AG350" s="221"/>
      <c r="AH350" s="221"/>
      <c r="AI350" s="221"/>
      <c r="AJ350" s="221"/>
      <c r="AK350" s="221"/>
      <c r="AL350" s="221"/>
      <c r="AM350" s="221"/>
      <c r="AN350" s="221"/>
      <c r="AO350" s="221"/>
      <c r="AP350" s="221"/>
      <c r="AQ350" s="221"/>
      <c r="AR350" s="221"/>
      <c r="AS350" s="221"/>
      <c r="AT350" s="221"/>
      <c r="AU350" s="221"/>
      <c r="AV350" s="221"/>
      <c r="AW350" s="221"/>
      <c r="AX350" s="221"/>
      <c r="AY350" s="221"/>
      <c r="AZ350" s="221"/>
      <c r="BA350" s="221"/>
      <c r="BB350" s="221"/>
      <c r="BC350" s="221"/>
      <c r="BD350" s="221"/>
      <c r="BE350" s="222"/>
    </row>
    <row r="351" spans="2:57" x14ac:dyDescent="0.25">
      <c r="B351" s="223"/>
      <c r="C351" s="221" t="s">
        <v>73</v>
      </c>
      <c r="D351" s="221"/>
      <c r="E351" s="221"/>
      <c r="F351" s="221"/>
      <c r="G351" s="1239"/>
      <c r="H351" s="1239">
        <f>IF(H$299&gt;$G$347,0,IPMT($G$348,H$299,$G$347,-$G$346))</f>
        <v>27524.178832116784</v>
      </c>
      <c r="I351" s="1239">
        <f t="shared" ref="I351:BE351" si="121">IF(I$299&gt;$G$347,0,IPMT($G$348,I$299,$G$347,-$G$346))</f>
        <v>25937.763604722077</v>
      </c>
      <c r="J351" s="1239">
        <f t="shared" si="121"/>
        <v>24263.698936013803</v>
      </c>
      <c r="K351" s="1239">
        <f t="shared" si="121"/>
        <v>22497.1421943594</v>
      </c>
      <c r="L351" s="1239">
        <f t="shared" si="121"/>
        <v>20632.983192728592</v>
      </c>
      <c r="M351" s="1239">
        <f t="shared" si="121"/>
        <v>18665.829406257682</v>
      </c>
      <c r="N351" s="1239">
        <f t="shared" si="121"/>
        <v>16589.990373084252</v>
      </c>
      <c r="O351" s="1239">
        <f t="shared" si="121"/>
        <v>14399.461233327986</v>
      </c>
      <c r="P351" s="1239">
        <f t="shared" si="121"/>
        <v>12087.905358600196</v>
      </c>
      <c r="Q351" s="1239">
        <f t="shared" si="121"/>
        <v>9648.636021793689</v>
      </c>
      <c r="R351" s="1239">
        <f t="shared" si="121"/>
        <v>7074.5970541286233</v>
      </c>
      <c r="S351" s="1239">
        <f t="shared" si="121"/>
        <v>4358.3424335000655</v>
      </c>
      <c r="T351" s="1239">
        <f t="shared" si="121"/>
        <v>0</v>
      </c>
      <c r="U351" s="1239">
        <f t="shared" si="121"/>
        <v>0</v>
      </c>
      <c r="V351" s="1239">
        <f t="shared" si="121"/>
        <v>0</v>
      </c>
      <c r="W351" s="1239">
        <f t="shared" si="121"/>
        <v>0</v>
      </c>
      <c r="X351" s="1239">
        <f t="shared" si="121"/>
        <v>0</v>
      </c>
      <c r="Y351" s="1239">
        <f t="shared" si="121"/>
        <v>0</v>
      </c>
      <c r="Z351" s="1239">
        <f t="shared" si="121"/>
        <v>0</v>
      </c>
      <c r="AA351" s="1239">
        <f t="shared" si="121"/>
        <v>0</v>
      </c>
      <c r="AB351" s="1239">
        <f t="shared" si="121"/>
        <v>0</v>
      </c>
      <c r="AC351" s="1239">
        <f t="shared" si="121"/>
        <v>0</v>
      </c>
      <c r="AD351" s="1239">
        <f t="shared" si="121"/>
        <v>0</v>
      </c>
      <c r="AE351" s="1239">
        <f t="shared" si="121"/>
        <v>0</v>
      </c>
      <c r="AF351" s="1239">
        <f t="shared" si="121"/>
        <v>0</v>
      </c>
      <c r="AG351" s="1239">
        <f t="shared" si="121"/>
        <v>0</v>
      </c>
      <c r="AH351" s="1239">
        <f t="shared" si="121"/>
        <v>0</v>
      </c>
      <c r="AI351" s="1239">
        <f t="shared" si="121"/>
        <v>0</v>
      </c>
      <c r="AJ351" s="1239">
        <f t="shared" si="121"/>
        <v>0</v>
      </c>
      <c r="AK351" s="1239">
        <f t="shared" si="121"/>
        <v>0</v>
      </c>
      <c r="AL351" s="1239">
        <f t="shared" si="121"/>
        <v>0</v>
      </c>
      <c r="AM351" s="1239">
        <f t="shared" si="121"/>
        <v>0</v>
      </c>
      <c r="AN351" s="1239">
        <f t="shared" si="121"/>
        <v>0</v>
      </c>
      <c r="AO351" s="1239">
        <f t="shared" si="121"/>
        <v>0</v>
      </c>
      <c r="AP351" s="1239">
        <f t="shared" si="121"/>
        <v>0</v>
      </c>
      <c r="AQ351" s="1239">
        <f t="shared" si="121"/>
        <v>0</v>
      </c>
      <c r="AR351" s="1239">
        <f t="shared" si="121"/>
        <v>0</v>
      </c>
      <c r="AS351" s="1239">
        <f t="shared" si="121"/>
        <v>0</v>
      </c>
      <c r="AT351" s="1239">
        <f t="shared" si="121"/>
        <v>0</v>
      </c>
      <c r="AU351" s="1239">
        <f t="shared" si="121"/>
        <v>0</v>
      </c>
      <c r="AV351" s="1239">
        <f t="shared" si="121"/>
        <v>0</v>
      </c>
      <c r="AW351" s="1239">
        <f t="shared" si="121"/>
        <v>0</v>
      </c>
      <c r="AX351" s="1239">
        <f t="shared" si="121"/>
        <v>0</v>
      </c>
      <c r="AY351" s="1239">
        <f t="shared" si="121"/>
        <v>0</v>
      </c>
      <c r="AZ351" s="1239">
        <f t="shared" si="121"/>
        <v>0</v>
      </c>
      <c r="BA351" s="1239">
        <f t="shared" si="121"/>
        <v>0</v>
      </c>
      <c r="BB351" s="1239">
        <f t="shared" si="121"/>
        <v>0</v>
      </c>
      <c r="BC351" s="1239">
        <f t="shared" si="121"/>
        <v>0</v>
      </c>
      <c r="BD351" s="1239">
        <f t="shared" si="121"/>
        <v>0</v>
      </c>
      <c r="BE351" s="1240">
        <f t="shared" si="121"/>
        <v>0</v>
      </c>
    </row>
    <row r="352" spans="2:57" x14ac:dyDescent="0.25">
      <c r="B352" s="223"/>
      <c r="C352" s="229" t="s">
        <v>72</v>
      </c>
      <c r="D352" s="229"/>
      <c r="E352" s="229"/>
      <c r="F352" s="229"/>
      <c r="G352" s="1241"/>
      <c r="H352" s="1241">
        <f>IF(H$299&gt;$G$347,0,PPMT($G$348,H$299,$G$347,-$G$346))</f>
        <v>28713.397780899788</v>
      </c>
      <c r="I352" s="1241">
        <f t="shared" ref="I352:BE352" si="122">IF(I$299&gt;$G$347,0,PPMT($G$348,I$299,$G$347,-$G$346))</f>
        <v>30299.813008294506</v>
      </c>
      <c r="J352" s="1241">
        <f t="shared" si="122"/>
        <v>31973.877677002776</v>
      </c>
      <c r="K352" s="1241">
        <f t="shared" si="122"/>
        <v>33740.434418657183</v>
      </c>
      <c r="L352" s="1241">
        <f t="shared" si="122"/>
        <v>35604.593420287994</v>
      </c>
      <c r="M352" s="1241">
        <f t="shared" si="122"/>
        <v>37571.747206758897</v>
      </c>
      <c r="N352" s="1241">
        <f t="shared" si="122"/>
        <v>39647.58623993233</v>
      </c>
      <c r="O352" s="1241">
        <f t="shared" si="122"/>
        <v>41838.115379688592</v>
      </c>
      <c r="P352" s="1241">
        <f t="shared" si="122"/>
        <v>44149.671254416389</v>
      </c>
      <c r="Q352" s="1241">
        <f t="shared" si="122"/>
        <v>46588.94059122289</v>
      </c>
      <c r="R352" s="1241">
        <f t="shared" si="122"/>
        <v>49162.979558887957</v>
      </c>
      <c r="S352" s="1241">
        <f t="shared" si="122"/>
        <v>51879.234179516519</v>
      </c>
      <c r="T352" s="1241">
        <f t="shared" si="122"/>
        <v>0</v>
      </c>
      <c r="U352" s="1241">
        <f t="shared" si="122"/>
        <v>0</v>
      </c>
      <c r="V352" s="1241">
        <f t="shared" si="122"/>
        <v>0</v>
      </c>
      <c r="W352" s="1241">
        <f t="shared" si="122"/>
        <v>0</v>
      </c>
      <c r="X352" s="1241">
        <f t="shared" si="122"/>
        <v>0</v>
      </c>
      <c r="Y352" s="1241">
        <f t="shared" si="122"/>
        <v>0</v>
      </c>
      <c r="Z352" s="1241">
        <f t="shared" si="122"/>
        <v>0</v>
      </c>
      <c r="AA352" s="1241">
        <f t="shared" si="122"/>
        <v>0</v>
      </c>
      <c r="AB352" s="1241">
        <f t="shared" si="122"/>
        <v>0</v>
      </c>
      <c r="AC352" s="1241">
        <f t="shared" si="122"/>
        <v>0</v>
      </c>
      <c r="AD352" s="1241">
        <f t="shared" si="122"/>
        <v>0</v>
      </c>
      <c r="AE352" s="1241">
        <f t="shared" si="122"/>
        <v>0</v>
      </c>
      <c r="AF352" s="1241">
        <f t="shared" si="122"/>
        <v>0</v>
      </c>
      <c r="AG352" s="1241">
        <f t="shared" si="122"/>
        <v>0</v>
      </c>
      <c r="AH352" s="1241">
        <f t="shared" si="122"/>
        <v>0</v>
      </c>
      <c r="AI352" s="1241">
        <f t="shared" si="122"/>
        <v>0</v>
      </c>
      <c r="AJ352" s="1241">
        <f t="shared" si="122"/>
        <v>0</v>
      </c>
      <c r="AK352" s="1241">
        <f t="shared" si="122"/>
        <v>0</v>
      </c>
      <c r="AL352" s="1241">
        <f t="shared" si="122"/>
        <v>0</v>
      </c>
      <c r="AM352" s="1241">
        <f t="shared" si="122"/>
        <v>0</v>
      </c>
      <c r="AN352" s="1241">
        <f t="shared" si="122"/>
        <v>0</v>
      </c>
      <c r="AO352" s="1241">
        <f t="shared" si="122"/>
        <v>0</v>
      </c>
      <c r="AP352" s="1241">
        <f t="shared" si="122"/>
        <v>0</v>
      </c>
      <c r="AQ352" s="1241">
        <f t="shared" si="122"/>
        <v>0</v>
      </c>
      <c r="AR352" s="1241">
        <f t="shared" si="122"/>
        <v>0</v>
      </c>
      <c r="AS352" s="1241">
        <f t="shared" si="122"/>
        <v>0</v>
      </c>
      <c r="AT352" s="1241">
        <f t="shared" si="122"/>
        <v>0</v>
      </c>
      <c r="AU352" s="1241">
        <f t="shared" si="122"/>
        <v>0</v>
      </c>
      <c r="AV352" s="1241">
        <f t="shared" si="122"/>
        <v>0</v>
      </c>
      <c r="AW352" s="1241">
        <f t="shared" si="122"/>
        <v>0</v>
      </c>
      <c r="AX352" s="1241">
        <f t="shared" si="122"/>
        <v>0</v>
      </c>
      <c r="AY352" s="1241">
        <f t="shared" si="122"/>
        <v>0</v>
      </c>
      <c r="AZ352" s="1241">
        <f t="shared" si="122"/>
        <v>0</v>
      </c>
      <c r="BA352" s="1241">
        <f t="shared" si="122"/>
        <v>0</v>
      </c>
      <c r="BB352" s="1241">
        <f t="shared" si="122"/>
        <v>0</v>
      </c>
      <c r="BC352" s="1241">
        <f t="shared" si="122"/>
        <v>0</v>
      </c>
      <c r="BD352" s="1241">
        <f t="shared" si="122"/>
        <v>0</v>
      </c>
      <c r="BE352" s="1242">
        <f t="shared" si="122"/>
        <v>0</v>
      </c>
    </row>
    <row r="353" spans="2:57" x14ac:dyDescent="0.25">
      <c r="B353" s="223"/>
      <c r="C353" s="221" t="s">
        <v>74</v>
      </c>
      <c r="D353" s="221"/>
      <c r="E353" s="221"/>
      <c r="F353" s="221"/>
      <c r="G353" s="1239"/>
      <c r="H353" s="1239">
        <f>SUM(H351:H352)</f>
        <v>56237.576613016572</v>
      </c>
      <c r="I353" s="1239">
        <f t="shared" ref="I353:W353" si="123">SUM(I351:I352)</f>
        <v>56237.576613016587</v>
      </c>
      <c r="J353" s="1239">
        <f t="shared" si="123"/>
        <v>56237.576613016579</v>
      </c>
      <c r="K353" s="1239">
        <f t="shared" si="123"/>
        <v>56237.576613016587</v>
      </c>
      <c r="L353" s="1239">
        <f t="shared" si="123"/>
        <v>56237.576613016587</v>
      </c>
      <c r="M353" s="1239">
        <f t="shared" si="123"/>
        <v>56237.576613016579</v>
      </c>
      <c r="N353" s="1239">
        <f t="shared" si="123"/>
        <v>56237.576613016587</v>
      </c>
      <c r="O353" s="1239">
        <f t="shared" si="123"/>
        <v>56237.576613016579</v>
      </c>
      <c r="P353" s="1239">
        <f t="shared" si="123"/>
        <v>56237.576613016587</v>
      </c>
      <c r="Q353" s="1239">
        <f t="shared" si="123"/>
        <v>56237.576613016579</v>
      </c>
      <c r="R353" s="1239">
        <f t="shared" si="123"/>
        <v>56237.576613016579</v>
      </c>
      <c r="S353" s="1239">
        <f t="shared" si="123"/>
        <v>56237.576613016587</v>
      </c>
      <c r="T353" s="1239">
        <f t="shared" si="123"/>
        <v>0</v>
      </c>
      <c r="U353" s="1239">
        <f t="shared" si="123"/>
        <v>0</v>
      </c>
      <c r="V353" s="1239">
        <f t="shared" si="123"/>
        <v>0</v>
      </c>
      <c r="W353" s="1239">
        <f t="shared" si="123"/>
        <v>0</v>
      </c>
      <c r="X353" s="1239">
        <f t="shared" ref="X353:BE353" si="124">SUM(X351:X352)</f>
        <v>0</v>
      </c>
      <c r="Y353" s="1239">
        <f t="shared" si="124"/>
        <v>0</v>
      </c>
      <c r="Z353" s="1239">
        <f t="shared" si="124"/>
        <v>0</v>
      </c>
      <c r="AA353" s="1239">
        <f t="shared" si="124"/>
        <v>0</v>
      </c>
      <c r="AB353" s="1239">
        <f t="shared" si="124"/>
        <v>0</v>
      </c>
      <c r="AC353" s="1239">
        <f t="shared" si="124"/>
        <v>0</v>
      </c>
      <c r="AD353" s="1239">
        <f t="shared" si="124"/>
        <v>0</v>
      </c>
      <c r="AE353" s="1239">
        <f t="shared" si="124"/>
        <v>0</v>
      </c>
      <c r="AF353" s="1239">
        <f t="shared" si="124"/>
        <v>0</v>
      </c>
      <c r="AG353" s="1239">
        <f t="shared" si="124"/>
        <v>0</v>
      </c>
      <c r="AH353" s="1239">
        <f t="shared" si="124"/>
        <v>0</v>
      </c>
      <c r="AI353" s="1239">
        <f t="shared" si="124"/>
        <v>0</v>
      </c>
      <c r="AJ353" s="1239">
        <f t="shared" si="124"/>
        <v>0</v>
      </c>
      <c r="AK353" s="1239">
        <f t="shared" si="124"/>
        <v>0</v>
      </c>
      <c r="AL353" s="1239">
        <f t="shared" si="124"/>
        <v>0</v>
      </c>
      <c r="AM353" s="1239">
        <f t="shared" si="124"/>
        <v>0</v>
      </c>
      <c r="AN353" s="1239">
        <f t="shared" si="124"/>
        <v>0</v>
      </c>
      <c r="AO353" s="1239">
        <f t="shared" si="124"/>
        <v>0</v>
      </c>
      <c r="AP353" s="1239">
        <f t="shared" si="124"/>
        <v>0</v>
      </c>
      <c r="AQ353" s="1239">
        <f t="shared" si="124"/>
        <v>0</v>
      </c>
      <c r="AR353" s="1239">
        <f t="shared" si="124"/>
        <v>0</v>
      </c>
      <c r="AS353" s="1239">
        <f t="shared" si="124"/>
        <v>0</v>
      </c>
      <c r="AT353" s="1239">
        <f t="shared" si="124"/>
        <v>0</v>
      </c>
      <c r="AU353" s="1239">
        <f t="shared" si="124"/>
        <v>0</v>
      </c>
      <c r="AV353" s="1239">
        <f t="shared" si="124"/>
        <v>0</v>
      </c>
      <c r="AW353" s="1239">
        <f t="shared" si="124"/>
        <v>0</v>
      </c>
      <c r="AX353" s="1239">
        <f t="shared" si="124"/>
        <v>0</v>
      </c>
      <c r="AY353" s="1239">
        <f t="shared" si="124"/>
        <v>0</v>
      </c>
      <c r="AZ353" s="1239">
        <f t="shared" si="124"/>
        <v>0</v>
      </c>
      <c r="BA353" s="1239">
        <f t="shared" si="124"/>
        <v>0</v>
      </c>
      <c r="BB353" s="1239">
        <f t="shared" si="124"/>
        <v>0</v>
      </c>
      <c r="BC353" s="1239">
        <f t="shared" si="124"/>
        <v>0</v>
      </c>
      <c r="BD353" s="1239">
        <f t="shared" si="124"/>
        <v>0</v>
      </c>
      <c r="BE353" s="1240">
        <f t="shared" si="124"/>
        <v>0</v>
      </c>
    </row>
    <row r="354" spans="2:57" x14ac:dyDescent="0.25">
      <c r="B354" s="223"/>
      <c r="C354" s="221"/>
      <c r="D354" s="221"/>
      <c r="E354" s="221"/>
      <c r="F354" s="221"/>
      <c r="G354" s="1239"/>
      <c r="H354" s="1239"/>
      <c r="I354" s="1239"/>
      <c r="J354" s="1239"/>
      <c r="K354" s="1239"/>
      <c r="L354" s="1239"/>
      <c r="M354" s="1239"/>
      <c r="N354" s="1239"/>
      <c r="O354" s="1239"/>
      <c r="P354" s="1239"/>
      <c r="Q354" s="1239"/>
      <c r="R354" s="1239"/>
      <c r="S354" s="1239"/>
      <c r="T354" s="1239"/>
      <c r="U354" s="1239"/>
      <c r="V354" s="1239"/>
      <c r="W354" s="1239"/>
      <c r="X354" s="1239"/>
      <c r="Y354" s="1239"/>
      <c r="Z354" s="1239"/>
      <c r="AA354" s="1239"/>
      <c r="AB354" s="1239"/>
      <c r="AC354" s="1239"/>
      <c r="AD354" s="1239"/>
      <c r="AE354" s="1239"/>
      <c r="AF354" s="1239"/>
      <c r="AG354" s="1239"/>
      <c r="AH354" s="1239"/>
      <c r="AI354" s="1239"/>
      <c r="AJ354" s="1239"/>
      <c r="AK354" s="1239"/>
      <c r="AL354" s="1239"/>
      <c r="AM354" s="1239"/>
      <c r="AN354" s="1239"/>
      <c r="AO354" s="1239"/>
      <c r="AP354" s="1239"/>
      <c r="AQ354" s="1239"/>
      <c r="AR354" s="1239"/>
      <c r="AS354" s="1239"/>
      <c r="AT354" s="1239"/>
      <c r="AU354" s="1239"/>
      <c r="AV354" s="1239"/>
      <c r="AW354" s="1239"/>
      <c r="AX354" s="1239"/>
      <c r="AY354" s="1239"/>
      <c r="AZ354" s="1239"/>
      <c r="BA354" s="1239"/>
      <c r="BB354" s="1239"/>
      <c r="BC354" s="1239"/>
      <c r="BD354" s="1239"/>
      <c r="BE354" s="1240"/>
    </row>
    <row r="355" spans="2:57" x14ac:dyDescent="0.25">
      <c r="B355" s="223"/>
      <c r="C355" s="386" t="s">
        <v>65</v>
      </c>
      <c r="D355" s="221"/>
      <c r="E355" s="221"/>
      <c r="F355" s="221"/>
      <c r="G355" s="1239"/>
      <c r="H355" s="1239"/>
      <c r="I355" s="1239"/>
      <c r="J355" s="1239"/>
      <c r="K355" s="1239"/>
      <c r="L355" s="1239"/>
      <c r="M355" s="1239"/>
      <c r="N355" s="1239"/>
      <c r="O355" s="1239"/>
      <c r="P355" s="1239"/>
      <c r="Q355" s="1239"/>
      <c r="R355" s="1239"/>
      <c r="S355" s="1239"/>
      <c r="T355" s="1239"/>
      <c r="U355" s="1239"/>
      <c r="V355" s="1239"/>
      <c r="W355" s="1239"/>
      <c r="X355" s="1239"/>
      <c r="Y355" s="1239"/>
      <c r="Z355" s="1239"/>
      <c r="AA355" s="1239"/>
      <c r="AB355" s="1239"/>
      <c r="AC355" s="1239"/>
      <c r="AD355" s="1239"/>
      <c r="AE355" s="1239"/>
      <c r="AF355" s="1239"/>
      <c r="AG355" s="1239"/>
      <c r="AH355" s="1239"/>
      <c r="AI355" s="1239"/>
      <c r="AJ355" s="1239"/>
      <c r="AK355" s="1239"/>
      <c r="AL355" s="1239"/>
      <c r="AM355" s="1239"/>
      <c r="AN355" s="1239"/>
      <c r="AO355" s="1239"/>
      <c r="AP355" s="1239"/>
      <c r="AQ355" s="1239"/>
      <c r="AR355" s="1239"/>
      <c r="AS355" s="1239"/>
      <c r="AT355" s="1239"/>
      <c r="AU355" s="1239"/>
      <c r="AV355" s="1239"/>
      <c r="AW355" s="1239"/>
      <c r="AX355" s="1239"/>
      <c r="AY355" s="1239"/>
      <c r="AZ355" s="1239"/>
      <c r="BA355" s="1239"/>
      <c r="BB355" s="1239"/>
      <c r="BC355" s="1239"/>
      <c r="BD355" s="1239"/>
      <c r="BE355" s="1240"/>
    </row>
    <row r="356" spans="2:57" x14ac:dyDescent="0.25">
      <c r="B356" s="223"/>
      <c r="C356" s="221" t="s">
        <v>75</v>
      </c>
      <c r="D356" s="221"/>
      <c r="E356" s="221"/>
      <c r="F356" s="221"/>
      <c r="G356" s="1239">
        <v>0</v>
      </c>
      <c r="H356" s="1239">
        <f>G359</f>
        <v>498175.18248175178</v>
      </c>
      <c r="I356" s="1239">
        <f t="shared" ref="I356:W356" si="125">H359</f>
        <v>469461.784700852</v>
      </c>
      <c r="J356" s="1239">
        <f t="shared" si="125"/>
        <v>439161.9716925575</v>
      </c>
      <c r="K356" s="1239">
        <f t="shared" si="125"/>
        <v>407188.09401555476</v>
      </c>
      <c r="L356" s="1239">
        <f t="shared" si="125"/>
        <v>373447.65959689755</v>
      </c>
      <c r="M356" s="1239">
        <f t="shared" si="125"/>
        <v>337843.06617660954</v>
      </c>
      <c r="N356" s="1239">
        <f t="shared" si="125"/>
        <v>300271.31896985066</v>
      </c>
      <c r="O356" s="1239">
        <f t="shared" si="125"/>
        <v>260623.73272991832</v>
      </c>
      <c r="P356" s="1239">
        <f t="shared" si="125"/>
        <v>218785.61735022973</v>
      </c>
      <c r="Q356" s="1239">
        <f t="shared" si="125"/>
        <v>174635.94609581336</v>
      </c>
      <c r="R356" s="1239">
        <f t="shared" si="125"/>
        <v>128047.00550459046</v>
      </c>
      <c r="S356" s="1239">
        <f t="shared" si="125"/>
        <v>78884.025945702509</v>
      </c>
      <c r="T356" s="1239">
        <f t="shared" si="125"/>
        <v>27004.79176618599</v>
      </c>
      <c r="U356" s="1239">
        <f t="shared" si="125"/>
        <v>27004.79176618599</v>
      </c>
      <c r="V356" s="1239">
        <f t="shared" si="125"/>
        <v>27004.79176618599</v>
      </c>
      <c r="W356" s="1239">
        <f t="shared" si="125"/>
        <v>27004.79176618599</v>
      </c>
      <c r="X356" s="1239">
        <f t="shared" ref="X356:BE356" si="126">W359</f>
        <v>27004.79176618599</v>
      </c>
      <c r="Y356" s="1239">
        <f t="shared" si="126"/>
        <v>27004.79176618599</v>
      </c>
      <c r="Z356" s="1239">
        <f t="shared" si="126"/>
        <v>27004.79176618599</v>
      </c>
      <c r="AA356" s="1239">
        <f t="shared" si="126"/>
        <v>27004.79176618599</v>
      </c>
      <c r="AB356" s="1239">
        <f t="shared" si="126"/>
        <v>27004.79176618599</v>
      </c>
      <c r="AC356" s="1239">
        <f t="shared" si="126"/>
        <v>27004.79176618599</v>
      </c>
      <c r="AD356" s="1239">
        <f t="shared" si="126"/>
        <v>27004.79176618599</v>
      </c>
      <c r="AE356" s="1239">
        <f t="shared" si="126"/>
        <v>27004.79176618599</v>
      </c>
      <c r="AF356" s="1239">
        <f t="shared" si="126"/>
        <v>27004.79176618599</v>
      </c>
      <c r="AG356" s="1239">
        <f t="shared" si="126"/>
        <v>27004.79176618599</v>
      </c>
      <c r="AH356" s="1239">
        <f t="shared" si="126"/>
        <v>27004.79176618599</v>
      </c>
      <c r="AI356" s="1239">
        <f t="shared" si="126"/>
        <v>27004.79176618599</v>
      </c>
      <c r="AJ356" s="1239">
        <f t="shared" si="126"/>
        <v>27004.79176618599</v>
      </c>
      <c r="AK356" s="1239">
        <f t="shared" si="126"/>
        <v>27004.79176618599</v>
      </c>
      <c r="AL356" s="1239">
        <f t="shared" si="126"/>
        <v>27004.79176618599</v>
      </c>
      <c r="AM356" s="1239">
        <f t="shared" si="126"/>
        <v>27004.79176618599</v>
      </c>
      <c r="AN356" s="1239">
        <f t="shared" si="126"/>
        <v>27004.79176618599</v>
      </c>
      <c r="AO356" s="1239">
        <f t="shared" si="126"/>
        <v>27004.79176618599</v>
      </c>
      <c r="AP356" s="1239">
        <f t="shared" si="126"/>
        <v>27004.79176618599</v>
      </c>
      <c r="AQ356" s="1239">
        <f t="shared" si="126"/>
        <v>27004.79176618599</v>
      </c>
      <c r="AR356" s="1239">
        <f t="shared" si="126"/>
        <v>27004.79176618599</v>
      </c>
      <c r="AS356" s="1239">
        <f t="shared" si="126"/>
        <v>27004.79176618599</v>
      </c>
      <c r="AT356" s="1239">
        <f t="shared" si="126"/>
        <v>27004.79176618599</v>
      </c>
      <c r="AU356" s="1239">
        <f t="shared" si="126"/>
        <v>27004.79176618599</v>
      </c>
      <c r="AV356" s="1239">
        <f t="shared" si="126"/>
        <v>27004.79176618599</v>
      </c>
      <c r="AW356" s="1239">
        <f t="shared" si="126"/>
        <v>27004.79176618599</v>
      </c>
      <c r="AX356" s="1239">
        <f t="shared" si="126"/>
        <v>27004.79176618599</v>
      </c>
      <c r="AY356" s="1239">
        <f t="shared" si="126"/>
        <v>27004.79176618599</v>
      </c>
      <c r="AZ356" s="1239">
        <f t="shared" si="126"/>
        <v>27004.79176618599</v>
      </c>
      <c r="BA356" s="1239">
        <f t="shared" si="126"/>
        <v>27004.79176618599</v>
      </c>
      <c r="BB356" s="1239">
        <f t="shared" si="126"/>
        <v>27004.79176618599</v>
      </c>
      <c r="BC356" s="1239">
        <f t="shared" si="126"/>
        <v>27004.79176618599</v>
      </c>
      <c r="BD356" s="1239">
        <f t="shared" si="126"/>
        <v>27004.79176618599</v>
      </c>
      <c r="BE356" s="1240">
        <f t="shared" si="126"/>
        <v>27004.79176618599</v>
      </c>
    </row>
    <row r="357" spans="2:57" x14ac:dyDescent="0.25">
      <c r="B357" s="223"/>
      <c r="C357" s="221" t="s">
        <v>76</v>
      </c>
      <c r="D357" s="221"/>
      <c r="E357" s="221"/>
      <c r="F357" s="221"/>
      <c r="G357" s="1239">
        <f>G346</f>
        <v>498175.18248175178</v>
      </c>
      <c r="H357" s="1239">
        <v>0</v>
      </c>
      <c r="I357" s="1239">
        <v>0</v>
      </c>
      <c r="J357" s="1239">
        <v>0</v>
      </c>
      <c r="K357" s="1239">
        <v>0</v>
      </c>
      <c r="L357" s="1239">
        <v>0</v>
      </c>
      <c r="M357" s="1239">
        <v>0</v>
      </c>
      <c r="N357" s="1239">
        <v>0</v>
      </c>
      <c r="O357" s="1239">
        <v>0</v>
      </c>
      <c r="P357" s="1239">
        <v>0</v>
      </c>
      <c r="Q357" s="1239">
        <v>0</v>
      </c>
      <c r="R357" s="1239">
        <v>0</v>
      </c>
      <c r="S357" s="1239">
        <v>0</v>
      </c>
      <c r="T357" s="1239">
        <v>0</v>
      </c>
      <c r="U357" s="1239">
        <v>0</v>
      </c>
      <c r="V357" s="1239">
        <v>0</v>
      </c>
      <c r="W357" s="1239">
        <v>0</v>
      </c>
      <c r="X357" s="1239">
        <v>0</v>
      </c>
      <c r="Y357" s="1239">
        <v>0</v>
      </c>
      <c r="Z357" s="1239">
        <v>0</v>
      </c>
      <c r="AA357" s="1239">
        <v>0</v>
      </c>
      <c r="AB357" s="1239">
        <v>0</v>
      </c>
      <c r="AC357" s="1239">
        <v>0</v>
      </c>
      <c r="AD357" s="1239">
        <v>0</v>
      </c>
      <c r="AE357" s="1239">
        <v>0</v>
      </c>
      <c r="AF357" s="1239">
        <v>0</v>
      </c>
      <c r="AG357" s="1239">
        <v>0</v>
      </c>
      <c r="AH357" s="1239">
        <v>0</v>
      </c>
      <c r="AI357" s="1239">
        <v>0</v>
      </c>
      <c r="AJ357" s="1239">
        <v>0</v>
      </c>
      <c r="AK357" s="1239">
        <v>0</v>
      </c>
      <c r="AL357" s="1239">
        <v>0</v>
      </c>
      <c r="AM357" s="1239">
        <v>0</v>
      </c>
      <c r="AN357" s="1239">
        <v>0</v>
      </c>
      <c r="AO357" s="1239">
        <v>0</v>
      </c>
      <c r="AP357" s="1239">
        <v>0</v>
      </c>
      <c r="AQ357" s="1239">
        <v>0</v>
      </c>
      <c r="AR357" s="1239">
        <v>0</v>
      </c>
      <c r="AS357" s="1239">
        <v>0</v>
      </c>
      <c r="AT357" s="1239">
        <v>0</v>
      </c>
      <c r="AU357" s="1239">
        <v>0</v>
      </c>
      <c r="AV357" s="1239">
        <v>0</v>
      </c>
      <c r="AW357" s="1239">
        <v>0</v>
      </c>
      <c r="AX357" s="1239">
        <v>0</v>
      </c>
      <c r="AY357" s="1239">
        <v>0</v>
      </c>
      <c r="AZ357" s="1239">
        <v>0</v>
      </c>
      <c r="BA357" s="1239">
        <v>0</v>
      </c>
      <c r="BB357" s="1239">
        <v>0</v>
      </c>
      <c r="BC357" s="1239">
        <v>0</v>
      </c>
      <c r="BD357" s="1239">
        <v>0</v>
      </c>
      <c r="BE357" s="1240">
        <v>0</v>
      </c>
    </row>
    <row r="358" spans="2:57" x14ac:dyDescent="0.25">
      <c r="B358" s="223"/>
      <c r="C358" s="229" t="s">
        <v>77</v>
      </c>
      <c r="D358" s="229"/>
      <c r="E358" s="229"/>
      <c r="F358" s="229"/>
      <c r="G358" s="1241">
        <v>0</v>
      </c>
      <c r="H358" s="1241">
        <f>-H352</f>
        <v>-28713.397780899788</v>
      </c>
      <c r="I358" s="1241">
        <f t="shared" ref="I358:W358" si="127">-I352</f>
        <v>-30299.813008294506</v>
      </c>
      <c r="J358" s="1241">
        <f t="shared" si="127"/>
        <v>-31973.877677002776</v>
      </c>
      <c r="K358" s="1241">
        <f t="shared" si="127"/>
        <v>-33740.434418657183</v>
      </c>
      <c r="L358" s="1241">
        <f t="shared" si="127"/>
        <v>-35604.593420287994</v>
      </c>
      <c r="M358" s="1241">
        <f t="shared" si="127"/>
        <v>-37571.747206758897</v>
      </c>
      <c r="N358" s="1241">
        <f t="shared" si="127"/>
        <v>-39647.58623993233</v>
      </c>
      <c r="O358" s="1241">
        <f t="shared" si="127"/>
        <v>-41838.115379688592</v>
      </c>
      <c r="P358" s="1241">
        <f t="shared" si="127"/>
        <v>-44149.671254416389</v>
      </c>
      <c r="Q358" s="1241">
        <f t="shared" si="127"/>
        <v>-46588.94059122289</v>
      </c>
      <c r="R358" s="1241">
        <f t="shared" si="127"/>
        <v>-49162.979558887957</v>
      </c>
      <c r="S358" s="1241">
        <f t="shared" si="127"/>
        <v>-51879.234179516519</v>
      </c>
      <c r="T358" s="1241">
        <f t="shared" si="127"/>
        <v>0</v>
      </c>
      <c r="U358" s="1241">
        <f t="shared" si="127"/>
        <v>0</v>
      </c>
      <c r="V358" s="1241">
        <f t="shared" si="127"/>
        <v>0</v>
      </c>
      <c r="W358" s="1241">
        <f t="shared" si="127"/>
        <v>0</v>
      </c>
      <c r="X358" s="1241">
        <f t="shared" ref="X358:BE358" si="128">-X352</f>
        <v>0</v>
      </c>
      <c r="Y358" s="1241">
        <f t="shared" si="128"/>
        <v>0</v>
      </c>
      <c r="Z358" s="1241">
        <f t="shared" si="128"/>
        <v>0</v>
      </c>
      <c r="AA358" s="1241">
        <f t="shared" si="128"/>
        <v>0</v>
      </c>
      <c r="AB358" s="1241">
        <f t="shared" si="128"/>
        <v>0</v>
      </c>
      <c r="AC358" s="1241">
        <f t="shared" si="128"/>
        <v>0</v>
      </c>
      <c r="AD358" s="1241">
        <f t="shared" si="128"/>
        <v>0</v>
      </c>
      <c r="AE358" s="1241">
        <f t="shared" si="128"/>
        <v>0</v>
      </c>
      <c r="AF358" s="1241">
        <f t="shared" si="128"/>
        <v>0</v>
      </c>
      <c r="AG358" s="1241">
        <f t="shared" si="128"/>
        <v>0</v>
      </c>
      <c r="AH358" s="1241">
        <f t="shared" si="128"/>
        <v>0</v>
      </c>
      <c r="AI358" s="1241">
        <f t="shared" si="128"/>
        <v>0</v>
      </c>
      <c r="AJ358" s="1241">
        <f t="shared" si="128"/>
        <v>0</v>
      </c>
      <c r="AK358" s="1241">
        <f t="shared" si="128"/>
        <v>0</v>
      </c>
      <c r="AL358" s="1241">
        <f t="shared" si="128"/>
        <v>0</v>
      </c>
      <c r="AM358" s="1241">
        <f t="shared" si="128"/>
        <v>0</v>
      </c>
      <c r="AN358" s="1241">
        <f t="shared" si="128"/>
        <v>0</v>
      </c>
      <c r="AO358" s="1241">
        <f t="shared" si="128"/>
        <v>0</v>
      </c>
      <c r="AP358" s="1241">
        <f t="shared" si="128"/>
        <v>0</v>
      </c>
      <c r="AQ358" s="1241">
        <f t="shared" si="128"/>
        <v>0</v>
      </c>
      <c r="AR358" s="1241">
        <f t="shared" si="128"/>
        <v>0</v>
      </c>
      <c r="AS358" s="1241">
        <f t="shared" si="128"/>
        <v>0</v>
      </c>
      <c r="AT358" s="1241">
        <f t="shared" si="128"/>
        <v>0</v>
      </c>
      <c r="AU358" s="1241">
        <f t="shared" si="128"/>
        <v>0</v>
      </c>
      <c r="AV358" s="1241">
        <f t="shared" si="128"/>
        <v>0</v>
      </c>
      <c r="AW358" s="1241">
        <f t="shared" si="128"/>
        <v>0</v>
      </c>
      <c r="AX358" s="1241">
        <f t="shared" si="128"/>
        <v>0</v>
      </c>
      <c r="AY358" s="1241">
        <f t="shared" si="128"/>
        <v>0</v>
      </c>
      <c r="AZ358" s="1241">
        <f t="shared" si="128"/>
        <v>0</v>
      </c>
      <c r="BA358" s="1241">
        <f t="shared" si="128"/>
        <v>0</v>
      </c>
      <c r="BB358" s="1241">
        <f t="shared" si="128"/>
        <v>0</v>
      </c>
      <c r="BC358" s="1241">
        <f t="shared" si="128"/>
        <v>0</v>
      </c>
      <c r="BD358" s="1241">
        <f t="shared" si="128"/>
        <v>0</v>
      </c>
      <c r="BE358" s="1242">
        <f t="shared" si="128"/>
        <v>0</v>
      </c>
    </row>
    <row r="359" spans="2:57" x14ac:dyDescent="0.25">
      <c r="B359" s="223"/>
      <c r="C359" s="221" t="s">
        <v>66</v>
      </c>
      <c r="D359" s="221"/>
      <c r="E359" s="221"/>
      <c r="F359" s="221"/>
      <c r="G359" s="1239">
        <f>SUM(G356:G358)</f>
        <v>498175.18248175178</v>
      </c>
      <c r="H359" s="1239">
        <f>SUM(H356:H358)</f>
        <v>469461.784700852</v>
      </c>
      <c r="I359" s="1239">
        <f t="shared" ref="I359:W359" si="129">SUM(I356:I358)</f>
        <v>439161.9716925575</v>
      </c>
      <c r="J359" s="1239">
        <f t="shared" si="129"/>
        <v>407188.09401555476</v>
      </c>
      <c r="K359" s="1239">
        <f t="shared" si="129"/>
        <v>373447.65959689755</v>
      </c>
      <c r="L359" s="1239">
        <f t="shared" si="129"/>
        <v>337843.06617660954</v>
      </c>
      <c r="M359" s="1239">
        <f t="shared" si="129"/>
        <v>300271.31896985066</v>
      </c>
      <c r="N359" s="1239">
        <f t="shared" si="129"/>
        <v>260623.73272991832</v>
      </c>
      <c r="O359" s="1239">
        <f t="shared" si="129"/>
        <v>218785.61735022973</v>
      </c>
      <c r="P359" s="1239">
        <f t="shared" si="129"/>
        <v>174635.94609581336</v>
      </c>
      <c r="Q359" s="1239">
        <f t="shared" si="129"/>
        <v>128047.00550459046</v>
      </c>
      <c r="R359" s="1239">
        <f t="shared" si="129"/>
        <v>78884.025945702509</v>
      </c>
      <c r="S359" s="1239">
        <f t="shared" si="129"/>
        <v>27004.79176618599</v>
      </c>
      <c r="T359" s="1239">
        <f t="shared" si="129"/>
        <v>27004.79176618599</v>
      </c>
      <c r="U359" s="1239">
        <f t="shared" si="129"/>
        <v>27004.79176618599</v>
      </c>
      <c r="V359" s="1239">
        <f t="shared" si="129"/>
        <v>27004.79176618599</v>
      </c>
      <c r="W359" s="1239">
        <f t="shared" si="129"/>
        <v>27004.79176618599</v>
      </c>
      <c r="X359" s="1239">
        <f t="shared" ref="X359:BE359" si="130">SUM(X356:X358)</f>
        <v>27004.79176618599</v>
      </c>
      <c r="Y359" s="1239">
        <f t="shared" si="130"/>
        <v>27004.79176618599</v>
      </c>
      <c r="Z359" s="1239">
        <f t="shared" si="130"/>
        <v>27004.79176618599</v>
      </c>
      <c r="AA359" s="1239">
        <f t="shared" si="130"/>
        <v>27004.79176618599</v>
      </c>
      <c r="AB359" s="1239">
        <f t="shared" si="130"/>
        <v>27004.79176618599</v>
      </c>
      <c r="AC359" s="1239">
        <f t="shared" si="130"/>
        <v>27004.79176618599</v>
      </c>
      <c r="AD359" s="1239">
        <f t="shared" si="130"/>
        <v>27004.79176618599</v>
      </c>
      <c r="AE359" s="1239">
        <f t="shared" si="130"/>
        <v>27004.79176618599</v>
      </c>
      <c r="AF359" s="1239">
        <f t="shared" si="130"/>
        <v>27004.79176618599</v>
      </c>
      <c r="AG359" s="1239">
        <f t="shared" si="130"/>
        <v>27004.79176618599</v>
      </c>
      <c r="AH359" s="1239">
        <f t="shared" si="130"/>
        <v>27004.79176618599</v>
      </c>
      <c r="AI359" s="1239">
        <f t="shared" si="130"/>
        <v>27004.79176618599</v>
      </c>
      <c r="AJ359" s="1239">
        <f t="shared" si="130"/>
        <v>27004.79176618599</v>
      </c>
      <c r="AK359" s="1239">
        <f t="shared" si="130"/>
        <v>27004.79176618599</v>
      </c>
      <c r="AL359" s="1239">
        <f t="shared" si="130"/>
        <v>27004.79176618599</v>
      </c>
      <c r="AM359" s="1239">
        <f t="shared" si="130"/>
        <v>27004.79176618599</v>
      </c>
      <c r="AN359" s="1239">
        <f t="shared" si="130"/>
        <v>27004.79176618599</v>
      </c>
      <c r="AO359" s="1239">
        <f t="shared" si="130"/>
        <v>27004.79176618599</v>
      </c>
      <c r="AP359" s="1239">
        <f t="shared" si="130"/>
        <v>27004.79176618599</v>
      </c>
      <c r="AQ359" s="1239">
        <f t="shared" si="130"/>
        <v>27004.79176618599</v>
      </c>
      <c r="AR359" s="1239">
        <f t="shared" si="130"/>
        <v>27004.79176618599</v>
      </c>
      <c r="AS359" s="1239">
        <f t="shared" si="130"/>
        <v>27004.79176618599</v>
      </c>
      <c r="AT359" s="1239">
        <f t="shared" si="130"/>
        <v>27004.79176618599</v>
      </c>
      <c r="AU359" s="1239">
        <f t="shared" si="130"/>
        <v>27004.79176618599</v>
      </c>
      <c r="AV359" s="1239">
        <f t="shared" si="130"/>
        <v>27004.79176618599</v>
      </c>
      <c r="AW359" s="1239">
        <f t="shared" si="130"/>
        <v>27004.79176618599</v>
      </c>
      <c r="AX359" s="1239">
        <f t="shared" si="130"/>
        <v>27004.79176618599</v>
      </c>
      <c r="AY359" s="1239">
        <f t="shared" si="130"/>
        <v>27004.79176618599</v>
      </c>
      <c r="AZ359" s="1239">
        <f t="shared" si="130"/>
        <v>27004.79176618599</v>
      </c>
      <c r="BA359" s="1239">
        <f t="shared" si="130"/>
        <v>27004.79176618599</v>
      </c>
      <c r="BB359" s="1239">
        <f t="shared" si="130"/>
        <v>27004.79176618599</v>
      </c>
      <c r="BC359" s="1239">
        <f t="shared" si="130"/>
        <v>27004.79176618599</v>
      </c>
      <c r="BD359" s="1239">
        <f t="shared" si="130"/>
        <v>27004.79176618599</v>
      </c>
      <c r="BE359" s="1240">
        <f t="shared" si="130"/>
        <v>27004.79176618599</v>
      </c>
    </row>
    <row r="360" spans="2:57" x14ac:dyDescent="0.25">
      <c r="B360" s="223"/>
      <c r="C360" s="221"/>
      <c r="D360" s="221"/>
      <c r="E360" s="221"/>
      <c r="F360" s="221"/>
      <c r="G360" s="1239"/>
      <c r="H360" s="1239"/>
      <c r="I360" s="1239"/>
      <c r="J360" s="1239"/>
      <c r="K360" s="1239"/>
      <c r="L360" s="1239"/>
      <c r="M360" s="1239"/>
      <c r="N360" s="1239"/>
      <c r="O360" s="1239"/>
      <c r="P360" s="1239"/>
      <c r="Q360" s="1239"/>
      <c r="R360" s="1239"/>
      <c r="S360" s="1239"/>
      <c r="T360" s="1239"/>
      <c r="U360" s="1239"/>
      <c r="V360" s="1239"/>
      <c r="W360" s="1239"/>
      <c r="X360" s="1239"/>
      <c r="Y360" s="1239"/>
      <c r="Z360" s="1239"/>
      <c r="AA360" s="1239"/>
      <c r="AB360" s="1239"/>
      <c r="AC360" s="1239"/>
      <c r="AD360" s="1239"/>
      <c r="AE360" s="1239"/>
      <c r="AF360" s="1239"/>
      <c r="AG360" s="1239"/>
      <c r="AH360" s="1239"/>
      <c r="AI360" s="1239"/>
      <c r="AJ360" s="1239"/>
      <c r="AK360" s="1239"/>
      <c r="AL360" s="1239"/>
      <c r="AM360" s="1239"/>
      <c r="AN360" s="1239"/>
      <c r="AO360" s="1239"/>
      <c r="AP360" s="1239"/>
      <c r="AQ360" s="1239"/>
      <c r="AR360" s="1239"/>
      <c r="AS360" s="1239"/>
      <c r="AT360" s="1239"/>
      <c r="AU360" s="1239"/>
      <c r="AV360" s="1239"/>
      <c r="AW360" s="1239"/>
      <c r="AX360" s="1239"/>
      <c r="AY360" s="1239"/>
      <c r="AZ360" s="1239"/>
      <c r="BA360" s="1239"/>
      <c r="BB360" s="1239"/>
      <c r="BC360" s="1239"/>
      <c r="BD360" s="1239"/>
      <c r="BE360" s="1240"/>
    </row>
    <row r="361" spans="2:57" x14ac:dyDescent="0.25">
      <c r="B361" s="223"/>
      <c r="C361" s="386" t="s">
        <v>71</v>
      </c>
      <c r="D361" s="221"/>
      <c r="E361" s="221"/>
      <c r="F361" s="221"/>
      <c r="G361" s="1239"/>
      <c r="H361" s="1239"/>
      <c r="I361" s="1239"/>
      <c r="J361" s="1239"/>
      <c r="K361" s="1239"/>
      <c r="L361" s="1239"/>
      <c r="M361" s="1239"/>
      <c r="N361" s="1239"/>
      <c r="O361" s="1239"/>
      <c r="P361" s="1239"/>
      <c r="Q361" s="1239"/>
      <c r="R361" s="1239"/>
      <c r="S361" s="1239"/>
      <c r="T361" s="1239"/>
      <c r="U361" s="1239"/>
      <c r="V361" s="1239"/>
      <c r="W361" s="1239"/>
      <c r="X361" s="1239"/>
      <c r="Y361" s="1239"/>
      <c r="Z361" s="1239"/>
      <c r="AA361" s="1239"/>
      <c r="AB361" s="1239"/>
      <c r="AC361" s="1239"/>
      <c r="AD361" s="1239"/>
      <c r="AE361" s="1239"/>
      <c r="AF361" s="1239"/>
      <c r="AG361" s="1239"/>
      <c r="AH361" s="1239"/>
      <c r="AI361" s="1239"/>
      <c r="AJ361" s="1239"/>
      <c r="AK361" s="1239"/>
      <c r="AL361" s="1239"/>
      <c r="AM361" s="1239"/>
      <c r="AN361" s="1239"/>
      <c r="AO361" s="1239"/>
      <c r="AP361" s="1239"/>
      <c r="AQ361" s="1239"/>
      <c r="AR361" s="1239"/>
      <c r="AS361" s="1239"/>
      <c r="AT361" s="1239"/>
      <c r="AU361" s="1239"/>
      <c r="AV361" s="1239"/>
      <c r="AW361" s="1239"/>
      <c r="AX361" s="1239"/>
      <c r="AY361" s="1239"/>
      <c r="AZ361" s="1239"/>
      <c r="BA361" s="1239"/>
      <c r="BB361" s="1239"/>
      <c r="BC361" s="1239"/>
      <c r="BD361" s="1239"/>
      <c r="BE361" s="1240"/>
    </row>
    <row r="362" spans="2:57" x14ac:dyDescent="0.25">
      <c r="B362" s="223"/>
      <c r="C362" s="221" t="s">
        <v>237</v>
      </c>
      <c r="D362" s="221"/>
      <c r="E362" s="221"/>
      <c r="F362" s="221"/>
      <c r="G362" s="1239"/>
      <c r="H362" s="1239">
        <f>IF($G$346&gt;0, $G$346*'II. Inputs, Baseline Energy Mix'!$N$51/10000,0)</f>
        <v>0</v>
      </c>
      <c r="I362" s="1239">
        <v>0</v>
      </c>
      <c r="J362" s="1239">
        <v>0</v>
      </c>
      <c r="K362" s="1239">
        <v>0</v>
      </c>
      <c r="L362" s="1239">
        <v>0</v>
      </c>
      <c r="M362" s="1239">
        <v>0</v>
      </c>
      <c r="N362" s="1239">
        <v>0</v>
      </c>
      <c r="O362" s="1239">
        <v>0</v>
      </c>
      <c r="P362" s="1239">
        <v>0</v>
      </c>
      <c r="Q362" s="1239">
        <v>0</v>
      </c>
      <c r="R362" s="1239">
        <v>0</v>
      </c>
      <c r="S362" s="1239">
        <v>0</v>
      </c>
      <c r="T362" s="1239">
        <v>0</v>
      </c>
      <c r="U362" s="1239">
        <v>0</v>
      </c>
      <c r="V362" s="1239">
        <v>0</v>
      </c>
      <c r="W362" s="1239">
        <v>0</v>
      </c>
      <c r="X362" s="1239">
        <v>0</v>
      </c>
      <c r="Y362" s="1239">
        <v>0</v>
      </c>
      <c r="Z362" s="1239">
        <v>0</v>
      </c>
      <c r="AA362" s="1239">
        <v>0</v>
      </c>
      <c r="AB362" s="1239">
        <v>0</v>
      </c>
      <c r="AC362" s="1239">
        <v>0</v>
      </c>
      <c r="AD362" s="1239">
        <v>0</v>
      </c>
      <c r="AE362" s="1239">
        <v>0</v>
      </c>
      <c r="AF362" s="1239">
        <v>0</v>
      </c>
      <c r="AG362" s="1239">
        <v>0</v>
      </c>
      <c r="AH362" s="1239">
        <v>0</v>
      </c>
      <c r="AI362" s="1239">
        <v>0</v>
      </c>
      <c r="AJ362" s="1239">
        <v>0</v>
      </c>
      <c r="AK362" s="1239">
        <v>0</v>
      </c>
      <c r="AL362" s="1239">
        <v>0</v>
      </c>
      <c r="AM362" s="1239">
        <v>0</v>
      </c>
      <c r="AN362" s="1239">
        <v>0</v>
      </c>
      <c r="AO362" s="1239">
        <v>0</v>
      </c>
      <c r="AP362" s="1239">
        <v>0</v>
      </c>
      <c r="AQ362" s="1239">
        <v>0</v>
      </c>
      <c r="AR362" s="1239">
        <v>0</v>
      </c>
      <c r="AS362" s="1239">
        <v>0</v>
      </c>
      <c r="AT362" s="1239">
        <v>0</v>
      </c>
      <c r="AU362" s="1239">
        <v>0</v>
      </c>
      <c r="AV362" s="1239">
        <v>0</v>
      </c>
      <c r="AW362" s="1239">
        <v>0</v>
      </c>
      <c r="AX362" s="1239">
        <v>0</v>
      </c>
      <c r="AY362" s="1239">
        <v>0</v>
      </c>
      <c r="AZ362" s="1239">
        <v>0</v>
      </c>
      <c r="BA362" s="1239">
        <v>0</v>
      </c>
      <c r="BB362" s="1239">
        <v>0</v>
      </c>
      <c r="BC362" s="1239">
        <v>0</v>
      </c>
      <c r="BD362" s="1239">
        <v>0</v>
      </c>
      <c r="BE362" s="1240">
        <v>0</v>
      </c>
    </row>
    <row r="363" spans="2:57" x14ac:dyDescent="0.25">
      <c r="B363" s="223"/>
      <c r="C363" s="221"/>
      <c r="D363" s="221"/>
      <c r="E363" s="221"/>
      <c r="F363" s="221"/>
      <c r="G363" s="221"/>
      <c r="H363" s="221"/>
      <c r="I363" s="221"/>
      <c r="J363" s="221"/>
      <c r="K363" s="221"/>
      <c r="L363" s="221"/>
      <c r="M363" s="221"/>
      <c r="N363" s="221"/>
      <c r="O363" s="221"/>
      <c r="P363" s="221"/>
      <c r="Q363" s="221"/>
      <c r="R363" s="221"/>
      <c r="S363" s="221"/>
      <c r="T363" s="221"/>
      <c r="U363" s="221"/>
      <c r="V363" s="221"/>
      <c r="W363" s="221"/>
      <c r="X363" s="221"/>
      <c r="Y363" s="221"/>
      <c r="Z363" s="221"/>
      <c r="AA363" s="221"/>
      <c r="AB363" s="221"/>
      <c r="AC363" s="221"/>
      <c r="AD363" s="221"/>
      <c r="AE363" s="221"/>
      <c r="AF363" s="221"/>
      <c r="AG363" s="221"/>
      <c r="AH363" s="221"/>
      <c r="AI363" s="221"/>
      <c r="AJ363" s="221"/>
      <c r="AK363" s="221"/>
      <c r="AL363" s="221"/>
      <c r="AM363" s="221"/>
      <c r="AN363" s="221"/>
      <c r="AO363" s="221"/>
      <c r="AP363" s="221"/>
      <c r="AQ363" s="221"/>
      <c r="AR363" s="221"/>
      <c r="AS363" s="221"/>
      <c r="AT363" s="221"/>
      <c r="AU363" s="221"/>
      <c r="AV363" s="221"/>
      <c r="AW363" s="221"/>
      <c r="AX363" s="221"/>
      <c r="AY363" s="221"/>
      <c r="AZ363" s="221"/>
      <c r="BA363" s="221"/>
      <c r="BB363" s="221"/>
      <c r="BC363" s="221"/>
      <c r="BD363" s="221"/>
      <c r="BE363" s="222"/>
    </row>
    <row r="364" spans="2:57" x14ac:dyDescent="0.25">
      <c r="B364" s="223"/>
      <c r="C364" s="221"/>
      <c r="D364" s="221"/>
      <c r="E364" s="221"/>
      <c r="F364" s="221"/>
      <c r="G364" s="221"/>
      <c r="H364" s="221"/>
      <c r="I364" s="221"/>
      <c r="J364" s="221"/>
      <c r="K364" s="221"/>
      <c r="L364" s="221"/>
      <c r="M364" s="221"/>
      <c r="N364" s="221"/>
      <c r="O364" s="221"/>
      <c r="P364" s="221"/>
      <c r="Q364" s="221"/>
      <c r="R364" s="221"/>
      <c r="S364" s="221"/>
      <c r="T364" s="221"/>
      <c r="U364" s="221"/>
      <c r="V364" s="221"/>
      <c r="W364" s="221"/>
      <c r="X364" s="221"/>
      <c r="Y364" s="221"/>
      <c r="Z364" s="221"/>
      <c r="AA364" s="221"/>
      <c r="AB364" s="221"/>
      <c r="AC364" s="221"/>
      <c r="AD364" s="221"/>
      <c r="AE364" s="221"/>
      <c r="AF364" s="221"/>
      <c r="AG364" s="221"/>
      <c r="AH364" s="221"/>
      <c r="AI364" s="221"/>
      <c r="AJ364" s="221"/>
      <c r="AK364" s="221"/>
      <c r="AL364" s="221"/>
      <c r="AM364" s="221"/>
      <c r="AN364" s="221"/>
      <c r="AO364" s="221"/>
      <c r="AP364" s="221"/>
      <c r="AQ364" s="221"/>
      <c r="AR364" s="221"/>
      <c r="AS364" s="221"/>
      <c r="AT364" s="221"/>
      <c r="AU364" s="221"/>
      <c r="AV364" s="221"/>
      <c r="AW364" s="221"/>
      <c r="AX364" s="221"/>
      <c r="AY364" s="221"/>
      <c r="AZ364" s="221"/>
      <c r="BA364" s="221"/>
      <c r="BB364" s="221"/>
      <c r="BC364" s="221"/>
      <c r="BD364" s="221"/>
      <c r="BE364" s="222"/>
    </row>
    <row r="365" spans="2:57" x14ac:dyDescent="0.25">
      <c r="B365" s="220" t="s">
        <v>86</v>
      </c>
      <c r="C365" s="221"/>
      <c r="D365" s="221"/>
      <c r="E365" s="221"/>
      <c r="F365" s="221"/>
      <c r="G365" s="221"/>
      <c r="H365" s="221"/>
      <c r="I365" s="221"/>
      <c r="J365" s="221"/>
      <c r="K365" s="221"/>
      <c r="L365" s="221"/>
      <c r="M365" s="221"/>
      <c r="N365" s="221"/>
      <c r="O365" s="221"/>
      <c r="P365" s="221"/>
      <c r="Q365" s="221"/>
      <c r="R365" s="221"/>
      <c r="S365" s="221"/>
      <c r="T365" s="221"/>
      <c r="U365" s="221"/>
      <c r="V365" s="221"/>
      <c r="W365" s="221"/>
      <c r="X365" s="221"/>
      <c r="Y365" s="221"/>
      <c r="Z365" s="221"/>
      <c r="AA365" s="221"/>
      <c r="AB365" s="221"/>
      <c r="AC365" s="221"/>
      <c r="AD365" s="221"/>
      <c r="AE365" s="221"/>
      <c r="AF365" s="221"/>
      <c r="AG365" s="221"/>
      <c r="AH365" s="221"/>
      <c r="AI365" s="221"/>
      <c r="AJ365" s="221"/>
      <c r="AK365" s="221"/>
      <c r="AL365" s="221"/>
      <c r="AM365" s="221"/>
      <c r="AN365" s="221"/>
      <c r="AO365" s="221"/>
      <c r="AP365" s="221"/>
      <c r="AQ365" s="221"/>
      <c r="AR365" s="221"/>
      <c r="AS365" s="221"/>
      <c r="AT365" s="221"/>
      <c r="AU365" s="221"/>
      <c r="AV365" s="221"/>
      <c r="AW365" s="221"/>
      <c r="AX365" s="221"/>
      <c r="AY365" s="221"/>
      <c r="AZ365" s="221"/>
      <c r="BA365" s="221"/>
      <c r="BB365" s="221"/>
      <c r="BC365" s="221"/>
      <c r="BD365" s="221"/>
      <c r="BE365" s="222"/>
    </row>
    <row r="366" spans="2:57" x14ac:dyDescent="0.25">
      <c r="B366" s="223"/>
      <c r="C366" s="383" t="s">
        <v>84</v>
      </c>
      <c r="D366" s="221"/>
      <c r="E366" s="221"/>
      <c r="F366" s="221"/>
      <c r="G366" s="1239">
        <f>IF('II. Inputs, Baseline Energy Mix'!$N$15&gt;0, ('II. Inputs, Baseline Energy Mix'!$N$16*'II. Inputs, Baseline Energy Mix'!$N$17*'II. Inputs, Baseline Energy Mix'!$N$29*'II. Inputs, Baseline Energy Mix'!$N$80),0)</f>
        <v>0</v>
      </c>
      <c r="H366" s="221"/>
      <c r="I366" s="221"/>
      <c r="J366" s="221"/>
      <c r="K366" s="221"/>
      <c r="L366" s="221"/>
      <c r="M366" s="221"/>
      <c r="N366" s="221"/>
      <c r="O366" s="221"/>
      <c r="P366" s="221"/>
      <c r="Q366" s="221"/>
      <c r="R366" s="221"/>
      <c r="S366" s="221"/>
      <c r="T366" s="221"/>
      <c r="U366" s="221"/>
      <c r="V366" s="221"/>
      <c r="W366" s="221"/>
      <c r="X366" s="221"/>
      <c r="Y366" s="221"/>
      <c r="Z366" s="221"/>
      <c r="AA366" s="221"/>
      <c r="AB366" s="221"/>
      <c r="AC366" s="221"/>
      <c r="AD366" s="221"/>
      <c r="AE366" s="221"/>
      <c r="AF366" s="221"/>
      <c r="AG366" s="221"/>
      <c r="AH366" s="221"/>
      <c r="AI366" s="221"/>
      <c r="AJ366" s="221"/>
      <c r="AK366" s="221"/>
      <c r="AL366" s="221"/>
      <c r="AM366" s="221"/>
      <c r="AN366" s="221"/>
      <c r="AO366" s="221"/>
      <c r="AP366" s="221"/>
      <c r="AQ366" s="221"/>
      <c r="AR366" s="221"/>
      <c r="AS366" s="221"/>
      <c r="AT366" s="221"/>
      <c r="AU366" s="221"/>
      <c r="AV366" s="221"/>
      <c r="AW366" s="221"/>
      <c r="AX366" s="221"/>
      <c r="AY366" s="221"/>
      <c r="AZ366" s="221"/>
      <c r="BA366" s="221"/>
      <c r="BB366" s="221"/>
      <c r="BC366" s="221"/>
      <c r="BD366" s="221"/>
      <c r="BE366" s="222"/>
    </row>
    <row r="367" spans="2:57" x14ac:dyDescent="0.25">
      <c r="B367" s="223"/>
      <c r="C367" s="383" t="str">
        <f>'II. Inputs, Baseline Energy Mix'!$E$81</f>
        <v xml:space="preserve">Term of Political Risk Insurance </v>
      </c>
      <c r="D367" s="221"/>
      <c r="E367" s="221"/>
      <c r="F367" s="221"/>
      <c r="G367" s="224">
        <f>'II. Inputs, Baseline Energy Mix'!$N$81</f>
        <v>0</v>
      </c>
      <c r="H367" s="221"/>
      <c r="I367" s="221"/>
      <c r="J367" s="221"/>
      <c r="K367" s="221"/>
      <c r="L367" s="221"/>
      <c r="M367" s="221"/>
      <c r="N367" s="221"/>
      <c r="O367" s="221"/>
      <c r="P367" s="221"/>
      <c r="Q367" s="221"/>
      <c r="R367" s="221"/>
      <c r="S367" s="221"/>
      <c r="T367" s="221"/>
      <c r="U367" s="221"/>
      <c r="V367" s="221"/>
      <c r="W367" s="221"/>
      <c r="X367" s="221"/>
      <c r="Y367" s="221"/>
      <c r="Z367" s="221"/>
      <c r="AA367" s="221"/>
      <c r="AB367" s="221"/>
      <c r="AC367" s="221"/>
      <c r="AD367" s="221"/>
      <c r="AE367" s="221"/>
      <c r="AF367" s="221"/>
      <c r="AG367" s="221"/>
      <c r="AH367" s="221"/>
      <c r="AI367" s="221"/>
      <c r="AJ367" s="221"/>
      <c r="AK367" s="221"/>
      <c r="AL367" s="221"/>
      <c r="AM367" s="221"/>
      <c r="AN367" s="221"/>
      <c r="AO367" s="221"/>
      <c r="AP367" s="221"/>
      <c r="AQ367" s="221"/>
      <c r="AR367" s="221"/>
      <c r="AS367" s="221"/>
      <c r="AT367" s="221"/>
      <c r="AU367" s="221"/>
      <c r="AV367" s="221"/>
      <c r="AW367" s="221"/>
      <c r="AX367" s="221"/>
      <c r="AY367" s="221"/>
      <c r="AZ367" s="221"/>
      <c r="BA367" s="221"/>
      <c r="BB367" s="221"/>
      <c r="BC367" s="221"/>
      <c r="BD367" s="221"/>
      <c r="BE367" s="222"/>
    </row>
    <row r="368" spans="2:57" x14ac:dyDescent="0.25">
      <c r="B368" s="223"/>
      <c r="C368" s="383" t="str">
        <f>'II. Inputs, Baseline Energy Mix'!$E$82</f>
        <v xml:space="preserve">Front-end Fee </v>
      </c>
      <c r="D368" s="221"/>
      <c r="E368" s="221"/>
      <c r="F368" s="221"/>
      <c r="G368" s="1239">
        <f>'II. Inputs, Baseline Energy Mix'!$N$82</f>
        <v>0</v>
      </c>
      <c r="H368" s="221"/>
      <c r="I368" s="221"/>
      <c r="J368" s="221"/>
      <c r="K368" s="221"/>
      <c r="L368" s="221"/>
      <c r="M368" s="221"/>
      <c r="N368" s="221"/>
      <c r="O368" s="221"/>
      <c r="P368" s="221"/>
      <c r="Q368" s="221"/>
      <c r="R368" s="221"/>
      <c r="S368" s="221"/>
      <c r="T368" s="221"/>
      <c r="U368" s="221"/>
      <c r="V368" s="221"/>
      <c r="W368" s="221"/>
      <c r="X368" s="221"/>
      <c r="Y368" s="221"/>
      <c r="Z368" s="221"/>
      <c r="AA368" s="221"/>
      <c r="AB368" s="221"/>
      <c r="AC368" s="221"/>
      <c r="AD368" s="221"/>
      <c r="AE368" s="221"/>
      <c r="AF368" s="221"/>
      <c r="AG368" s="221"/>
      <c r="AH368" s="221"/>
      <c r="AI368" s="221"/>
      <c r="AJ368" s="221"/>
      <c r="AK368" s="221"/>
      <c r="AL368" s="221"/>
      <c r="AM368" s="221"/>
      <c r="AN368" s="221"/>
      <c r="AO368" s="221"/>
      <c r="AP368" s="221"/>
      <c r="AQ368" s="221"/>
      <c r="AR368" s="221"/>
      <c r="AS368" s="221"/>
      <c r="AT368" s="221"/>
      <c r="AU368" s="221"/>
      <c r="AV368" s="221"/>
      <c r="AW368" s="221"/>
      <c r="AX368" s="221"/>
      <c r="AY368" s="221"/>
      <c r="AZ368" s="221"/>
      <c r="BA368" s="221"/>
      <c r="BB368" s="221"/>
      <c r="BC368" s="221"/>
      <c r="BD368" s="221"/>
      <c r="BE368" s="222"/>
    </row>
    <row r="369" spans="2:57" x14ac:dyDescent="0.25">
      <c r="B369" s="223"/>
      <c r="C369" s="383" t="str">
        <f>'II. Inputs, Baseline Energy Mix'!$E$83</f>
        <v xml:space="preserve">Annual Political Risk Insurance Premium </v>
      </c>
      <c r="D369" s="221"/>
      <c r="E369" s="221"/>
      <c r="F369" s="221"/>
      <c r="G369" s="1239">
        <f>'II. Inputs, Baseline Energy Mix'!$N$83</f>
        <v>0</v>
      </c>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221"/>
      <c r="AY369" s="221"/>
      <c r="AZ369" s="221"/>
      <c r="BA369" s="221"/>
      <c r="BB369" s="221"/>
      <c r="BC369" s="221"/>
      <c r="BD369" s="221"/>
      <c r="BE369" s="222"/>
    </row>
    <row r="370" spans="2:57" x14ac:dyDescent="0.25">
      <c r="B370" s="223"/>
      <c r="C370" s="221"/>
      <c r="D370" s="221"/>
      <c r="E370" s="221"/>
      <c r="F370" s="221"/>
      <c r="G370" s="221"/>
      <c r="H370" s="221"/>
      <c r="I370" s="221"/>
      <c r="J370" s="221"/>
      <c r="K370" s="221"/>
      <c r="L370" s="221"/>
      <c r="M370" s="221"/>
      <c r="N370" s="221"/>
      <c r="O370" s="221"/>
      <c r="P370" s="221"/>
      <c r="Q370" s="221"/>
      <c r="R370" s="221"/>
      <c r="S370" s="221"/>
      <c r="T370" s="221"/>
      <c r="U370" s="221"/>
      <c r="V370" s="221"/>
      <c r="W370" s="221"/>
      <c r="X370" s="221"/>
      <c r="Y370" s="221"/>
      <c r="Z370" s="221"/>
      <c r="AA370" s="221"/>
      <c r="AB370" s="221"/>
      <c r="AC370" s="221"/>
      <c r="AD370" s="221"/>
      <c r="AE370" s="221"/>
      <c r="AF370" s="221"/>
      <c r="AG370" s="221"/>
      <c r="AH370" s="221"/>
      <c r="AI370" s="221"/>
      <c r="AJ370" s="221"/>
      <c r="AK370" s="221"/>
      <c r="AL370" s="221"/>
      <c r="AM370" s="221"/>
      <c r="AN370" s="221"/>
      <c r="AO370" s="221"/>
      <c r="AP370" s="221"/>
      <c r="AQ370" s="221"/>
      <c r="AR370" s="221"/>
      <c r="AS370" s="221"/>
      <c r="AT370" s="221"/>
      <c r="AU370" s="221"/>
      <c r="AV370" s="221"/>
      <c r="AW370" s="221"/>
      <c r="AX370" s="221"/>
      <c r="AY370" s="221"/>
      <c r="AZ370" s="221"/>
      <c r="BA370" s="221"/>
      <c r="BB370" s="221"/>
      <c r="BC370" s="221"/>
      <c r="BD370" s="221"/>
      <c r="BE370" s="222"/>
    </row>
    <row r="371" spans="2:57" x14ac:dyDescent="0.25">
      <c r="B371" s="223"/>
      <c r="C371" s="386" t="s">
        <v>71</v>
      </c>
      <c r="D371" s="221"/>
      <c r="E371" s="221"/>
      <c r="F371" s="221"/>
      <c r="G371" s="221"/>
      <c r="H371" s="221"/>
      <c r="I371" s="221"/>
      <c r="J371" s="221"/>
      <c r="K371" s="221"/>
      <c r="L371" s="221"/>
      <c r="M371" s="221"/>
      <c r="N371" s="221"/>
      <c r="O371" s="221"/>
      <c r="P371" s="221"/>
      <c r="Q371" s="221"/>
      <c r="R371" s="221"/>
      <c r="S371" s="221"/>
      <c r="T371" s="221"/>
      <c r="U371" s="221"/>
      <c r="V371" s="221"/>
      <c r="W371" s="221"/>
      <c r="X371" s="221"/>
      <c r="Y371" s="221"/>
      <c r="Z371" s="221"/>
      <c r="AA371" s="221"/>
      <c r="AB371" s="221"/>
      <c r="AC371" s="221"/>
      <c r="AD371" s="221"/>
      <c r="AE371" s="221"/>
      <c r="AF371" s="221"/>
      <c r="AG371" s="221"/>
      <c r="AH371" s="221"/>
      <c r="AI371" s="221"/>
      <c r="AJ371" s="221"/>
      <c r="AK371" s="221"/>
      <c r="AL371" s="221"/>
      <c r="AM371" s="221"/>
      <c r="AN371" s="221"/>
      <c r="AO371" s="221"/>
      <c r="AP371" s="221"/>
      <c r="AQ371" s="221"/>
      <c r="AR371" s="221"/>
      <c r="AS371" s="221"/>
      <c r="AT371" s="221"/>
      <c r="AU371" s="221"/>
      <c r="AV371" s="221"/>
      <c r="AW371" s="221"/>
      <c r="AX371" s="221"/>
      <c r="AY371" s="221"/>
      <c r="AZ371" s="221"/>
      <c r="BA371" s="221"/>
      <c r="BB371" s="221"/>
      <c r="BC371" s="221"/>
      <c r="BD371" s="221"/>
      <c r="BE371" s="222"/>
    </row>
    <row r="372" spans="2:57" x14ac:dyDescent="0.25">
      <c r="B372" s="223"/>
      <c r="C372" s="221" t="str">
        <f>'II. Inputs, Baseline Energy Mix'!$E$82</f>
        <v xml:space="preserve">Front-end Fee </v>
      </c>
      <c r="D372" s="221"/>
      <c r="E372" s="221"/>
      <c r="F372" s="221"/>
      <c r="G372" s="221"/>
      <c r="H372" s="1239">
        <f>IF(G366&gt;0, G366*G368/10000, 0)</f>
        <v>0</v>
      </c>
      <c r="I372" s="1239">
        <v>0</v>
      </c>
      <c r="J372" s="1239">
        <v>0</v>
      </c>
      <c r="K372" s="1239">
        <v>0</v>
      </c>
      <c r="L372" s="1239">
        <v>0</v>
      </c>
      <c r="M372" s="1239">
        <v>0</v>
      </c>
      <c r="N372" s="1239">
        <v>0</v>
      </c>
      <c r="O372" s="1239">
        <v>0</v>
      </c>
      <c r="P372" s="1239">
        <v>0</v>
      </c>
      <c r="Q372" s="1239">
        <v>0</v>
      </c>
      <c r="R372" s="1239">
        <v>0</v>
      </c>
      <c r="S372" s="1239">
        <v>0</v>
      </c>
      <c r="T372" s="1239">
        <v>0</v>
      </c>
      <c r="U372" s="1239">
        <v>0</v>
      </c>
      <c r="V372" s="1239">
        <v>0</v>
      </c>
      <c r="W372" s="1239">
        <v>0</v>
      </c>
      <c r="X372" s="1239">
        <v>0</v>
      </c>
      <c r="Y372" s="1239">
        <v>0</v>
      </c>
      <c r="Z372" s="1239">
        <v>0</v>
      </c>
      <c r="AA372" s="1239">
        <v>0</v>
      </c>
      <c r="AB372" s="1239">
        <v>0</v>
      </c>
      <c r="AC372" s="1239">
        <v>0</v>
      </c>
      <c r="AD372" s="1239">
        <v>0</v>
      </c>
      <c r="AE372" s="1239">
        <v>0</v>
      </c>
      <c r="AF372" s="1239">
        <v>0</v>
      </c>
      <c r="AG372" s="1239">
        <v>0</v>
      </c>
      <c r="AH372" s="1239">
        <v>0</v>
      </c>
      <c r="AI372" s="1239">
        <v>0</v>
      </c>
      <c r="AJ372" s="1239">
        <v>0</v>
      </c>
      <c r="AK372" s="1239">
        <v>0</v>
      </c>
      <c r="AL372" s="1239">
        <v>0</v>
      </c>
      <c r="AM372" s="1239">
        <v>0</v>
      </c>
      <c r="AN372" s="1239">
        <v>0</v>
      </c>
      <c r="AO372" s="1239">
        <v>0</v>
      </c>
      <c r="AP372" s="1239">
        <v>0</v>
      </c>
      <c r="AQ372" s="1239">
        <v>0</v>
      </c>
      <c r="AR372" s="1239">
        <v>0</v>
      </c>
      <c r="AS372" s="1239">
        <v>0</v>
      </c>
      <c r="AT372" s="1239">
        <v>0</v>
      </c>
      <c r="AU372" s="1239">
        <v>0</v>
      </c>
      <c r="AV372" s="1239">
        <v>0</v>
      </c>
      <c r="AW372" s="1239">
        <v>0</v>
      </c>
      <c r="AX372" s="1239">
        <v>0</v>
      </c>
      <c r="AY372" s="1239">
        <v>0</v>
      </c>
      <c r="AZ372" s="1239">
        <v>0</v>
      </c>
      <c r="BA372" s="1239">
        <v>0</v>
      </c>
      <c r="BB372" s="1239">
        <v>0</v>
      </c>
      <c r="BC372" s="1239">
        <v>0</v>
      </c>
      <c r="BD372" s="1239">
        <v>0</v>
      </c>
      <c r="BE372" s="1240">
        <v>0</v>
      </c>
    </row>
    <row r="373" spans="2:57" x14ac:dyDescent="0.25">
      <c r="B373" s="223"/>
      <c r="C373" s="229" t="str">
        <f>'II. Inputs, Baseline Energy Mix'!$E$83</f>
        <v xml:space="preserve">Annual Political Risk Insurance Premium </v>
      </c>
      <c r="D373" s="229"/>
      <c r="E373" s="229"/>
      <c r="F373" s="229"/>
      <c r="G373" s="229"/>
      <c r="H373" s="1241">
        <f>IF(H$299&gt;$G$367,0,($G$366*$G$369/10000))</f>
        <v>0</v>
      </c>
      <c r="I373" s="1241">
        <f t="shared" ref="I373:BE373" si="131">IF(I$299&gt;$G$367,0,($G$366*$G$369/10000))</f>
        <v>0</v>
      </c>
      <c r="J373" s="1241">
        <f t="shared" si="131"/>
        <v>0</v>
      </c>
      <c r="K373" s="1241">
        <f t="shared" si="131"/>
        <v>0</v>
      </c>
      <c r="L373" s="1241">
        <f t="shared" si="131"/>
        <v>0</v>
      </c>
      <c r="M373" s="1241">
        <f t="shared" si="131"/>
        <v>0</v>
      </c>
      <c r="N373" s="1241">
        <f t="shared" si="131"/>
        <v>0</v>
      </c>
      <c r="O373" s="1241">
        <f t="shared" si="131"/>
        <v>0</v>
      </c>
      <c r="P373" s="1241">
        <f t="shared" si="131"/>
        <v>0</v>
      </c>
      <c r="Q373" s="1241">
        <f t="shared" si="131"/>
        <v>0</v>
      </c>
      <c r="R373" s="1241">
        <f t="shared" si="131"/>
        <v>0</v>
      </c>
      <c r="S373" s="1241">
        <f t="shared" si="131"/>
        <v>0</v>
      </c>
      <c r="T373" s="1241">
        <f t="shared" si="131"/>
        <v>0</v>
      </c>
      <c r="U373" s="1241">
        <f t="shared" si="131"/>
        <v>0</v>
      </c>
      <c r="V373" s="1241">
        <f t="shared" si="131"/>
        <v>0</v>
      </c>
      <c r="W373" s="1241">
        <f t="shared" si="131"/>
        <v>0</v>
      </c>
      <c r="X373" s="1241">
        <f t="shared" si="131"/>
        <v>0</v>
      </c>
      <c r="Y373" s="1241">
        <f t="shared" si="131"/>
        <v>0</v>
      </c>
      <c r="Z373" s="1241">
        <f t="shared" si="131"/>
        <v>0</v>
      </c>
      <c r="AA373" s="1241">
        <f t="shared" si="131"/>
        <v>0</v>
      </c>
      <c r="AB373" s="1241">
        <f t="shared" si="131"/>
        <v>0</v>
      </c>
      <c r="AC373" s="1241">
        <f t="shared" si="131"/>
        <v>0</v>
      </c>
      <c r="AD373" s="1241">
        <f t="shared" si="131"/>
        <v>0</v>
      </c>
      <c r="AE373" s="1241">
        <f t="shared" si="131"/>
        <v>0</v>
      </c>
      <c r="AF373" s="1241">
        <f t="shared" si="131"/>
        <v>0</v>
      </c>
      <c r="AG373" s="1241">
        <f t="shared" si="131"/>
        <v>0</v>
      </c>
      <c r="AH373" s="1241">
        <f t="shared" si="131"/>
        <v>0</v>
      </c>
      <c r="AI373" s="1241">
        <f t="shared" si="131"/>
        <v>0</v>
      </c>
      <c r="AJ373" s="1241">
        <f t="shared" si="131"/>
        <v>0</v>
      </c>
      <c r="AK373" s="1241">
        <f t="shared" si="131"/>
        <v>0</v>
      </c>
      <c r="AL373" s="1241">
        <f t="shared" si="131"/>
        <v>0</v>
      </c>
      <c r="AM373" s="1241">
        <f t="shared" si="131"/>
        <v>0</v>
      </c>
      <c r="AN373" s="1241">
        <f t="shared" si="131"/>
        <v>0</v>
      </c>
      <c r="AO373" s="1241">
        <f t="shared" si="131"/>
        <v>0</v>
      </c>
      <c r="AP373" s="1241">
        <f t="shared" si="131"/>
        <v>0</v>
      </c>
      <c r="AQ373" s="1241">
        <f t="shared" si="131"/>
        <v>0</v>
      </c>
      <c r="AR373" s="1241">
        <f t="shared" si="131"/>
        <v>0</v>
      </c>
      <c r="AS373" s="1241">
        <f t="shared" si="131"/>
        <v>0</v>
      </c>
      <c r="AT373" s="1241">
        <f t="shared" si="131"/>
        <v>0</v>
      </c>
      <c r="AU373" s="1241">
        <f t="shared" si="131"/>
        <v>0</v>
      </c>
      <c r="AV373" s="1241">
        <f t="shared" si="131"/>
        <v>0</v>
      </c>
      <c r="AW373" s="1241">
        <f t="shared" si="131"/>
        <v>0</v>
      </c>
      <c r="AX373" s="1241">
        <f t="shared" si="131"/>
        <v>0</v>
      </c>
      <c r="AY373" s="1241">
        <f t="shared" si="131"/>
        <v>0</v>
      </c>
      <c r="AZ373" s="1241">
        <f t="shared" si="131"/>
        <v>0</v>
      </c>
      <c r="BA373" s="1241">
        <f t="shared" si="131"/>
        <v>0</v>
      </c>
      <c r="BB373" s="1241">
        <f t="shared" si="131"/>
        <v>0</v>
      </c>
      <c r="BC373" s="1241">
        <f t="shared" si="131"/>
        <v>0</v>
      </c>
      <c r="BD373" s="1241">
        <f t="shared" si="131"/>
        <v>0</v>
      </c>
      <c r="BE373" s="1242">
        <f t="shared" si="131"/>
        <v>0</v>
      </c>
    </row>
    <row r="374" spans="2:57" x14ac:dyDescent="0.25">
      <c r="B374" s="223"/>
      <c r="C374" s="221" t="s">
        <v>85</v>
      </c>
      <c r="D374" s="221"/>
      <c r="E374" s="221"/>
      <c r="F374" s="221"/>
      <c r="G374" s="221"/>
      <c r="H374" s="1239">
        <f>H372+H373</f>
        <v>0</v>
      </c>
      <c r="I374" s="1239">
        <f t="shared" ref="I374:AD374" si="132">I372+I373</f>
        <v>0</v>
      </c>
      <c r="J374" s="1239">
        <f t="shared" si="132"/>
        <v>0</v>
      </c>
      <c r="K374" s="1239">
        <f t="shared" si="132"/>
        <v>0</v>
      </c>
      <c r="L374" s="1239">
        <f t="shared" si="132"/>
        <v>0</v>
      </c>
      <c r="M374" s="1239">
        <f t="shared" si="132"/>
        <v>0</v>
      </c>
      <c r="N374" s="1239">
        <f t="shared" si="132"/>
        <v>0</v>
      </c>
      <c r="O374" s="1239">
        <f t="shared" si="132"/>
        <v>0</v>
      </c>
      <c r="P374" s="1239">
        <f t="shared" si="132"/>
        <v>0</v>
      </c>
      <c r="Q374" s="1239">
        <f t="shared" si="132"/>
        <v>0</v>
      </c>
      <c r="R374" s="1239">
        <f t="shared" si="132"/>
        <v>0</v>
      </c>
      <c r="S374" s="1239">
        <f t="shared" si="132"/>
        <v>0</v>
      </c>
      <c r="T374" s="1239">
        <f t="shared" si="132"/>
        <v>0</v>
      </c>
      <c r="U374" s="1239">
        <f t="shared" si="132"/>
        <v>0</v>
      </c>
      <c r="V374" s="1239">
        <f t="shared" si="132"/>
        <v>0</v>
      </c>
      <c r="W374" s="1239">
        <f t="shared" si="132"/>
        <v>0</v>
      </c>
      <c r="X374" s="1239">
        <f t="shared" si="132"/>
        <v>0</v>
      </c>
      <c r="Y374" s="1239">
        <f t="shared" si="132"/>
        <v>0</v>
      </c>
      <c r="Z374" s="1239">
        <f t="shared" si="132"/>
        <v>0</v>
      </c>
      <c r="AA374" s="1239">
        <f t="shared" si="132"/>
        <v>0</v>
      </c>
      <c r="AB374" s="1239">
        <f t="shared" si="132"/>
        <v>0</v>
      </c>
      <c r="AC374" s="1239">
        <f t="shared" si="132"/>
        <v>0</v>
      </c>
      <c r="AD374" s="1239">
        <f t="shared" si="132"/>
        <v>0</v>
      </c>
      <c r="AE374" s="1239">
        <f t="shared" ref="AE374:BE374" si="133">AE372+AE373</f>
        <v>0</v>
      </c>
      <c r="AF374" s="1239">
        <f t="shared" si="133"/>
        <v>0</v>
      </c>
      <c r="AG374" s="1239">
        <f t="shared" si="133"/>
        <v>0</v>
      </c>
      <c r="AH374" s="1239">
        <f t="shared" si="133"/>
        <v>0</v>
      </c>
      <c r="AI374" s="1239">
        <f t="shared" si="133"/>
        <v>0</v>
      </c>
      <c r="AJ374" s="1239">
        <f t="shared" si="133"/>
        <v>0</v>
      </c>
      <c r="AK374" s="1239">
        <f t="shared" si="133"/>
        <v>0</v>
      </c>
      <c r="AL374" s="1239">
        <f t="shared" si="133"/>
        <v>0</v>
      </c>
      <c r="AM374" s="1239">
        <f t="shared" si="133"/>
        <v>0</v>
      </c>
      <c r="AN374" s="1239">
        <f t="shared" si="133"/>
        <v>0</v>
      </c>
      <c r="AO374" s="1239">
        <f t="shared" si="133"/>
        <v>0</v>
      </c>
      <c r="AP374" s="1239">
        <f t="shared" si="133"/>
        <v>0</v>
      </c>
      <c r="AQ374" s="1239">
        <f t="shared" si="133"/>
        <v>0</v>
      </c>
      <c r="AR374" s="1239">
        <f t="shared" si="133"/>
        <v>0</v>
      </c>
      <c r="AS374" s="1239">
        <f t="shared" si="133"/>
        <v>0</v>
      </c>
      <c r="AT374" s="1239">
        <f t="shared" si="133"/>
        <v>0</v>
      </c>
      <c r="AU374" s="1239">
        <f t="shared" si="133"/>
        <v>0</v>
      </c>
      <c r="AV374" s="1239">
        <f t="shared" si="133"/>
        <v>0</v>
      </c>
      <c r="AW374" s="1239">
        <f t="shared" si="133"/>
        <v>0</v>
      </c>
      <c r="AX374" s="1239">
        <f t="shared" si="133"/>
        <v>0</v>
      </c>
      <c r="AY374" s="1239">
        <f t="shared" si="133"/>
        <v>0</v>
      </c>
      <c r="AZ374" s="1239">
        <f t="shared" si="133"/>
        <v>0</v>
      </c>
      <c r="BA374" s="1239">
        <f t="shared" si="133"/>
        <v>0</v>
      </c>
      <c r="BB374" s="1239">
        <f t="shared" si="133"/>
        <v>0</v>
      </c>
      <c r="BC374" s="1239">
        <f t="shared" si="133"/>
        <v>0</v>
      </c>
      <c r="BD374" s="1239">
        <f t="shared" si="133"/>
        <v>0</v>
      </c>
      <c r="BE374" s="1240">
        <f t="shared" si="133"/>
        <v>0</v>
      </c>
    </row>
    <row r="375" spans="2:57" ht="13.8" thickBot="1" x14ac:dyDescent="0.3">
      <c r="B375" s="387"/>
      <c r="C375" s="247"/>
      <c r="D375" s="247"/>
      <c r="E375" s="247"/>
      <c r="F375" s="247"/>
      <c r="G375" s="247"/>
      <c r="H375" s="247"/>
      <c r="I375" s="247"/>
      <c r="J375" s="247"/>
      <c r="K375" s="247"/>
      <c r="L375" s="247"/>
      <c r="M375" s="247"/>
      <c r="N375" s="247"/>
      <c r="O375" s="247"/>
      <c r="P375" s="247"/>
      <c r="Q375" s="247"/>
      <c r="R375" s="247"/>
      <c r="S375" s="247"/>
      <c r="T375" s="247"/>
      <c r="U375" s="247"/>
      <c r="V375" s="247"/>
      <c r="W375" s="247"/>
      <c r="X375" s="247"/>
      <c r="Y375" s="247"/>
      <c r="Z375" s="247"/>
      <c r="AA375" s="247"/>
      <c r="AB375" s="247"/>
      <c r="AC375" s="247"/>
      <c r="AD375" s="247"/>
      <c r="AE375" s="247"/>
      <c r="AF375" s="247"/>
      <c r="AG375" s="247"/>
      <c r="AH375" s="247"/>
      <c r="AI375" s="247"/>
      <c r="AJ375" s="247"/>
      <c r="AK375" s="247"/>
      <c r="AL375" s="247"/>
      <c r="AM375" s="247"/>
      <c r="AN375" s="247"/>
      <c r="AO375" s="247"/>
      <c r="AP375" s="247"/>
      <c r="AQ375" s="247"/>
      <c r="AR375" s="247"/>
      <c r="AS375" s="247"/>
      <c r="AT375" s="247"/>
      <c r="AU375" s="247"/>
      <c r="AV375" s="247"/>
      <c r="AW375" s="247"/>
      <c r="AX375" s="247"/>
      <c r="AY375" s="247"/>
      <c r="AZ375" s="247"/>
      <c r="BA375" s="247"/>
      <c r="BB375" s="247"/>
      <c r="BC375" s="247"/>
      <c r="BD375" s="247"/>
      <c r="BE375" s="249"/>
    </row>
    <row r="376" spans="2:57" ht="13.8" thickBot="1" x14ac:dyDescent="0.3"/>
    <row r="377" spans="2:57" s="36" customFormat="1" x14ac:dyDescent="0.25">
      <c r="B377" s="251" t="str">
        <f>$B$62</f>
        <v>COAL</v>
      </c>
      <c r="C377" s="252"/>
      <c r="D377" s="252"/>
      <c r="E377" s="252"/>
      <c r="F377" s="252"/>
      <c r="G377" s="252"/>
      <c r="H377" s="252"/>
      <c r="I377" s="252"/>
      <c r="J377" s="252"/>
      <c r="K377" s="252"/>
      <c r="L377" s="252"/>
      <c r="M377" s="252"/>
      <c r="N377" s="252"/>
      <c r="O377" s="252"/>
      <c r="P377" s="252"/>
      <c r="Q377" s="252"/>
      <c r="R377" s="252"/>
      <c r="S377" s="252"/>
      <c r="T377" s="252"/>
      <c r="U377" s="252"/>
      <c r="V377" s="252"/>
      <c r="W377" s="252"/>
      <c r="X377" s="252"/>
      <c r="Y377" s="252"/>
      <c r="Z377" s="252"/>
      <c r="AA377" s="252"/>
      <c r="AB377" s="252"/>
      <c r="AC377" s="252"/>
      <c r="AD377" s="252"/>
      <c r="AE377" s="252"/>
      <c r="AF377" s="252"/>
      <c r="AG377" s="252"/>
      <c r="AH377" s="252"/>
      <c r="AI377" s="252"/>
      <c r="AJ377" s="252"/>
      <c r="AK377" s="252"/>
      <c r="AL377" s="252"/>
      <c r="AM377" s="252"/>
      <c r="AN377" s="252"/>
      <c r="AO377" s="252"/>
      <c r="AP377" s="252"/>
      <c r="AQ377" s="252"/>
      <c r="AR377" s="252"/>
      <c r="AS377" s="252"/>
      <c r="AT377" s="252"/>
      <c r="AU377" s="252"/>
      <c r="AV377" s="252"/>
      <c r="AW377" s="252"/>
      <c r="AX377" s="252"/>
      <c r="AY377" s="252"/>
      <c r="AZ377" s="252"/>
      <c r="BA377" s="252"/>
      <c r="BB377" s="252"/>
      <c r="BC377" s="252"/>
      <c r="BD377" s="252"/>
      <c r="BE377" s="253"/>
    </row>
    <row r="378" spans="2:57" x14ac:dyDescent="0.25">
      <c r="B378" s="254"/>
      <c r="C378" s="255"/>
      <c r="D378" s="255"/>
      <c r="E378" s="255"/>
      <c r="F378" s="255"/>
      <c r="G378" s="255"/>
      <c r="H378" s="255"/>
      <c r="I378" s="255"/>
      <c r="J378" s="255"/>
      <c r="K378" s="255"/>
      <c r="L378" s="255"/>
      <c r="M378" s="255"/>
      <c r="N378" s="255"/>
      <c r="O378" s="255"/>
      <c r="P378" s="255"/>
      <c r="Q378" s="255"/>
      <c r="R378" s="255"/>
      <c r="S378" s="255"/>
      <c r="T378" s="255"/>
      <c r="U378" s="255"/>
      <c r="V378" s="255"/>
      <c r="W378" s="255"/>
      <c r="X378" s="255"/>
      <c r="Y378" s="255"/>
      <c r="Z378" s="255"/>
      <c r="AA378" s="255"/>
      <c r="AB378" s="255"/>
      <c r="AC378" s="255"/>
      <c r="AD378" s="255"/>
      <c r="AE378" s="255"/>
      <c r="AF378" s="255"/>
      <c r="AG378" s="255"/>
      <c r="AH378" s="255"/>
      <c r="AI378" s="255"/>
      <c r="AJ378" s="255"/>
      <c r="AK378" s="255"/>
      <c r="AL378" s="255"/>
      <c r="AM378" s="255"/>
      <c r="AN378" s="255"/>
      <c r="AO378" s="255"/>
      <c r="AP378" s="255"/>
      <c r="AQ378" s="255"/>
      <c r="AR378" s="255"/>
      <c r="AS378" s="255"/>
      <c r="AT378" s="255"/>
      <c r="AU378" s="255"/>
      <c r="AV378" s="255"/>
      <c r="AW378" s="255"/>
      <c r="AX378" s="255"/>
      <c r="AY378" s="255"/>
      <c r="AZ378" s="255"/>
      <c r="BA378" s="255"/>
      <c r="BB378" s="255"/>
      <c r="BC378" s="255"/>
      <c r="BD378" s="255"/>
      <c r="BE378" s="256"/>
    </row>
    <row r="379" spans="2:57" x14ac:dyDescent="0.25">
      <c r="B379" s="266" t="s">
        <v>258</v>
      </c>
      <c r="C379" s="255"/>
      <c r="D379" s="255"/>
      <c r="E379" s="255"/>
      <c r="F379" s="255"/>
      <c r="G379" s="255"/>
      <c r="H379" s="255"/>
      <c r="I379" s="255"/>
      <c r="J379" s="255"/>
      <c r="K379" s="255"/>
      <c r="L379" s="255"/>
      <c r="M379" s="255"/>
      <c r="N379" s="255"/>
      <c r="O379" s="255"/>
      <c r="P379" s="255"/>
      <c r="Q379" s="255"/>
      <c r="R379" s="255"/>
      <c r="S379" s="255"/>
      <c r="T379" s="255"/>
      <c r="U379" s="255"/>
      <c r="V379" s="255"/>
      <c r="W379" s="255"/>
      <c r="X379" s="255"/>
      <c r="Y379" s="255"/>
      <c r="Z379" s="255"/>
      <c r="AA379" s="255"/>
      <c r="AB379" s="255"/>
      <c r="AC379" s="255"/>
      <c r="AD379" s="255"/>
      <c r="AE379" s="255"/>
      <c r="AF379" s="255"/>
      <c r="AG379" s="255"/>
      <c r="AH379" s="255"/>
      <c r="AI379" s="255"/>
      <c r="AJ379" s="255"/>
      <c r="AK379" s="255"/>
      <c r="AL379" s="255"/>
      <c r="AM379" s="255"/>
      <c r="AN379" s="255"/>
      <c r="AO379" s="255"/>
      <c r="AP379" s="255"/>
      <c r="AQ379" s="255"/>
      <c r="AR379" s="255"/>
      <c r="AS379" s="255"/>
      <c r="AT379" s="255"/>
      <c r="AU379" s="255"/>
      <c r="AV379" s="255"/>
      <c r="AW379" s="255"/>
      <c r="AX379" s="255"/>
      <c r="AY379" s="255"/>
      <c r="AZ379" s="255"/>
      <c r="BA379" s="255"/>
      <c r="BB379" s="255"/>
      <c r="BC379" s="255"/>
      <c r="BD379" s="255"/>
      <c r="BE379" s="256"/>
    </row>
    <row r="380" spans="2:57" x14ac:dyDescent="0.25">
      <c r="B380" s="254"/>
      <c r="C380" s="388" t="s">
        <v>68</v>
      </c>
      <c r="D380" s="258" t="s">
        <v>631</v>
      </c>
      <c r="E380" s="255"/>
      <c r="F380" s="255"/>
      <c r="G380" s="1247">
        <f>IF('II. Inputs, Baseline Energy Mix'!$O$15&gt;0,('II. Inputs, Baseline Energy Mix'!$O$16*'II. Inputs, Baseline Energy Mix'!$O$17*'II. Inputs, Baseline Energy Mix'!$O$30*'II. Inputs, Baseline Energy Mix'!$O$32),0)</f>
        <v>0</v>
      </c>
      <c r="H380" s="255"/>
      <c r="I380" s="255"/>
      <c r="J380" s="255"/>
      <c r="K380" s="255"/>
      <c r="L380" s="255"/>
      <c r="M380" s="255"/>
      <c r="N380" s="255"/>
      <c r="O380" s="255"/>
      <c r="P380" s="255"/>
      <c r="Q380" s="255"/>
      <c r="R380" s="255"/>
      <c r="S380" s="255"/>
      <c r="T380" s="255"/>
      <c r="U380" s="255"/>
      <c r="V380" s="255"/>
      <c r="W380" s="255"/>
      <c r="X380" s="255"/>
      <c r="Y380" s="255"/>
      <c r="Z380" s="255"/>
      <c r="AA380" s="255"/>
      <c r="AB380" s="255"/>
      <c r="AC380" s="255"/>
      <c r="AD380" s="255"/>
      <c r="AE380" s="255"/>
      <c r="AF380" s="255"/>
      <c r="AG380" s="255"/>
      <c r="AH380" s="255"/>
      <c r="AI380" s="255"/>
      <c r="AJ380" s="255"/>
      <c r="AK380" s="255"/>
      <c r="AL380" s="255"/>
      <c r="AM380" s="255"/>
      <c r="AN380" s="255"/>
      <c r="AO380" s="255"/>
      <c r="AP380" s="255"/>
      <c r="AQ380" s="255"/>
      <c r="AR380" s="255"/>
      <c r="AS380" s="255"/>
      <c r="AT380" s="255"/>
      <c r="AU380" s="255"/>
      <c r="AV380" s="255"/>
      <c r="AW380" s="255"/>
      <c r="AX380" s="255"/>
      <c r="AY380" s="255"/>
      <c r="AZ380" s="255"/>
      <c r="BA380" s="255"/>
      <c r="BB380" s="255"/>
      <c r="BC380" s="255"/>
      <c r="BD380" s="255"/>
      <c r="BE380" s="256"/>
    </row>
    <row r="381" spans="2:57" x14ac:dyDescent="0.25">
      <c r="B381" s="254"/>
      <c r="C381" s="388" t="s">
        <v>69</v>
      </c>
      <c r="D381" s="258" t="s">
        <v>20</v>
      </c>
      <c r="E381" s="255"/>
      <c r="F381" s="255"/>
      <c r="G381" s="257">
        <f>SUM('II. Inputs, Baseline Energy Mix'!$O$69)</f>
        <v>0</v>
      </c>
      <c r="H381" s="255"/>
      <c r="I381" s="255"/>
      <c r="J381" s="255"/>
      <c r="K381" s="255"/>
      <c r="L381" s="255"/>
      <c r="M381" s="255"/>
      <c r="N381" s="255"/>
      <c r="O381" s="255"/>
      <c r="P381" s="255"/>
      <c r="Q381" s="255"/>
      <c r="R381" s="255"/>
      <c r="S381" s="255"/>
      <c r="T381" s="255"/>
      <c r="U381" s="255"/>
      <c r="V381" s="255"/>
      <c r="W381" s="255"/>
      <c r="X381" s="255"/>
      <c r="Y381" s="255"/>
      <c r="Z381" s="255"/>
      <c r="AA381" s="255"/>
      <c r="AB381" s="255"/>
      <c r="AC381" s="255"/>
      <c r="AD381" s="255"/>
      <c r="AE381" s="255"/>
      <c r="AF381" s="255"/>
      <c r="AG381" s="255"/>
      <c r="AH381" s="255"/>
      <c r="AI381" s="255"/>
      <c r="AJ381" s="255"/>
      <c r="AK381" s="255"/>
      <c r="AL381" s="255"/>
      <c r="AM381" s="255"/>
      <c r="AN381" s="255"/>
      <c r="AO381" s="255"/>
      <c r="AP381" s="255"/>
      <c r="AQ381" s="255"/>
      <c r="AR381" s="255"/>
      <c r="AS381" s="255"/>
      <c r="AT381" s="255"/>
      <c r="AU381" s="255"/>
      <c r="AV381" s="255"/>
      <c r="AW381" s="255"/>
      <c r="AX381" s="255"/>
      <c r="AY381" s="255"/>
      <c r="AZ381" s="255"/>
      <c r="BA381" s="255"/>
      <c r="BB381" s="255"/>
      <c r="BC381" s="255"/>
      <c r="BD381" s="255"/>
      <c r="BE381" s="256"/>
    </row>
    <row r="382" spans="2:57" x14ac:dyDescent="0.25">
      <c r="B382" s="254"/>
      <c r="C382" s="388" t="s">
        <v>70</v>
      </c>
      <c r="D382" s="258" t="s">
        <v>16</v>
      </c>
      <c r="E382" s="255"/>
      <c r="F382" s="255"/>
      <c r="G382" s="389">
        <f>SUM('II. Inputs, Baseline Energy Mix'!$O$68)</f>
        <v>0</v>
      </c>
      <c r="H382" s="255"/>
      <c r="I382" s="255"/>
      <c r="J382" s="255"/>
      <c r="K382" s="255"/>
      <c r="L382" s="255"/>
      <c r="M382" s="255"/>
      <c r="N382" s="255"/>
      <c r="O382" s="255"/>
      <c r="P382" s="255"/>
      <c r="Q382" s="255"/>
      <c r="R382" s="255"/>
      <c r="S382" s="255"/>
      <c r="T382" s="255"/>
      <c r="U382" s="255"/>
      <c r="V382" s="255"/>
      <c r="W382" s="255"/>
      <c r="X382" s="255"/>
      <c r="Y382" s="255"/>
      <c r="Z382" s="255"/>
      <c r="AA382" s="255"/>
      <c r="AB382" s="255"/>
      <c r="AC382" s="255"/>
      <c r="AD382" s="255"/>
      <c r="AE382" s="255"/>
      <c r="AF382" s="255"/>
      <c r="AG382" s="255"/>
      <c r="AH382" s="255"/>
      <c r="AI382" s="255"/>
      <c r="AJ382" s="255"/>
      <c r="AK382" s="255"/>
      <c r="AL382" s="255"/>
      <c r="AM382" s="255"/>
      <c r="AN382" s="255"/>
      <c r="AO382" s="255"/>
      <c r="AP382" s="255"/>
      <c r="AQ382" s="255"/>
      <c r="AR382" s="255"/>
      <c r="AS382" s="255"/>
      <c r="AT382" s="255"/>
      <c r="AU382" s="255"/>
      <c r="AV382" s="255"/>
      <c r="AW382" s="255"/>
      <c r="AX382" s="255"/>
      <c r="AY382" s="255"/>
      <c r="AZ382" s="255"/>
      <c r="BA382" s="255"/>
      <c r="BB382" s="255"/>
      <c r="BC382" s="255"/>
      <c r="BD382" s="255"/>
      <c r="BE382" s="256"/>
    </row>
    <row r="383" spans="2:57" x14ac:dyDescent="0.25">
      <c r="B383" s="254"/>
      <c r="C383" s="255"/>
      <c r="D383" s="255"/>
      <c r="E383" s="255"/>
      <c r="F383" s="255"/>
      <c r="G383" s="255"/>
      <c r="H383" s="255"/>
      <c r="I383" s="255"/>
      <c r="J383" s="255"/>
      <c r="K383" s="255"/>
      <c r="L383" s="255"/>
      <c r="M383" s="255"/>
      <c r="N383" s="255"/>
      <c r="O383" s="255"/>
      <c r="P383" s="255"/>
      <c r="Q383" s="255"/>
      <c r="R383" s="255"/>
      <c r="S383" s="255"/>
      <c r="T383" s="255"/>
      <c r="U383" s="255"/>
      <c r="V383" s="255"/>
      <c r="W383" s="255"/>
      <c r="X383" s="255"/>
      <c r="Y383" s="255"/>
      <c r="Z383" s="255"/>
      <c r="AA383" s="255"/>
      <c r="AB383" s="255"/>
      <c r="AC383" s="255"/>
      <c r="AD383" s="255"/>
      <c r="AE383" s="255"/>
      <c r="AF383" s="255"/>
      <c r="AG383" s="255"/>
      <c r="AH383" s="255"/>
      <c r="AI383" s="255"/>
      <c r="AJ383" s="255"/>
      <c r="AK383" s="255"/>
      <c r="AL383" s="255"/>
      <c r="AM383" s="255"/>
      <c r="AN383" s="255"/>
      <c r="AO383" s="255"/>
      <c r="AP383" s="255"/>
      <c r="AQ383" s="255"/>
      <c r="AR383" s="255"/>
      <c r="AS383" s="255"/>
      <c r="AT383" s="255"/>
      <c r="AU383" s="255"/>
      <c r="AV383" s="255"/>
      <c r="AW383" s="255"/>
      <c r="AX383" s="255"/>
      <c r="AY383" s="255"/>
      <c r="AZ383" s="255"/>
      <c r="BA383" s="255"/>
      <c r="BB383" s="255"/>
      <c r="BC383" s="255"/>
      <c r="BD383" s="255"/>
      <c r="BE383" s="256"/>
    </row>
    <row r="384" spans="2:57" x14ac:dyDescent="0.25">
      <c r="B384" s="254"/>
      <c r="C384" s="390" t="s">
        <v>67</v>
      </c>
      <c r="D384" s="255"/>
      <c r="E384" s="255"/>
      <c r="F384" s="255"/>
      <c r="G384" s="255"/>
      <c r="H384" s="255"/>
      <c r="I384" s="255"/>
      <c r="J384" s="255"/>
      <c r="K384" s="255"/>
      <c r="L384" s="255"/>
      <c r="M384" s="255"/>
      <c r="N384" s="255"/>
      <c r="O384" s="255"/>
      <c r="P384" s="255"/>
      <c r="Q384" s="255"/>
      <c r="R384" s="255"/>
      <c r="S384" s="255"/>
      <c r="T384" s="255"/>
      <c r="U384" s="255"/>
      <c r="V384" s="255"/>
      <c r="W384" s="255"/>
      <c r="X384" s="255"/>
      <c r="Y384" s="255"/>
      <c r="Z384" s="255"/>
      <c r="AA384" s="255"/>
      <c r="AB384" s="255"/>
      <c r="AC384" s="255"/>
      <c r="AD384" s="255"/>
      <c r="AE384" s="255"/>
      <c r="AF384" s="255"/>
      <c r="AG384" s="255"/>
      <c r="AH384" s="255"/>
      <c r="AI384" s="255"/>
      <c r="AJ384" s="255"/>
      <c r="AK384" s="255"/>
      <c r="AL384" s="255"/>
      <c r="AM384" s="255"/>
      <c r="AN384" s="255"/>
      <c r="AO384" s="255"/>
      <c r="AP384" s="255"/>
      <c r="AQ384" s="255"/>
      <c r="AR384" s="255"/>
      <c r="AS384" s="255"/>
      <c r="AT384" s="255"/>
      <c r="AU384" s="255"/>
      <c r="AV384" s="255"/>
      <c r="AW384" s="255"/>
      <c r="AX384" s="255"/>
      <c r="AY384" s="255"/>
      <c r="AZ384" s="255"/>
      <c r="BA384" s="255"/>
      <c r="BB384" s="255"/>
      <c r="BC384" s="255"/>
      <c r="BD384" s="255"/>
      <c r="BE384" s="256"/>
    </row>
    <row r="385" spans="2:57" x14ac:dyDescent="0.25">
      <c r="B385" s="254"/>
      <c r="C385" s="255" t="s">
        <v>73</v>
      </c>
      <c r="D385" s="255"/>
      <c r="E385" s="255"/>
      <c r="F385" s="255"/>
      <c r="G385" s="1247"/>
      <c r="H385" s="1247">
        <f>IF(H$299&gt;$G381,0,IPMT($G382,H$299,$G381,-$G380))</f>
        <v>0</v>
      </c>
      <c r="I385" s="1247">
        <f>IF(I$299&gt;$G381,0,IPMT($G382,I$299,$G381,-$G380))</f>
        <v>0</v>
      </c>
      <c r="J385" s="1247">
        <f>IF(J$299&gt;$G381,0,IPMT($G382,J$299,$G381,-$G380))</f>
        <v>0</v>
      </c>
      <c r="K385" s="1247">
        <f>IF(K$299&gt;$G381,0,IPMT($G382,K$299,$G381,-$G380))</f>
        <v>0</v>
      </c>
      <c r="L385" s="1247">
        <f t="shared" ref="L385:BE385" si="134">IF(L$299&gt;$G381,0,IPMT($G382,L$299,$G381,-$G380))</f>
        <v>0</v>
      </c>
      <c r="M385" s="1247">
        <f t="shared" si="134"/>
        <v>0</v>
      </c>
      <c r="N385" s="1247">
        <f t="shared" si="134"/>
        <v>0</v>
      </c>
      <c r="O385" s="1247">
        <f t="shared" si="134"/>
        <v>0</v>
      </c>
      <c r="P385" s="1247">
        <f t="shared" si="134"/>
        <v>0</v>
      </c>
      <c r="Q385" s="1247">
        <f t="shared" si="134"/>
        <v>0</v>
      </c>
      <c r="R385" s="1247">
        <f t="shared" si="134"/>
        <v>0</v>
      </c>
      <c r="S385" s="1247">
        <f t="shared" si="134"/>
        <v>0</v>
      </c>
      <c r="T385" s="1247">
        <f t="shared" si="134"/>
        <v>0</v>
      </c>
      <c r="U385" s="1247">
        <f t="shared" si="134"/>
        <v>0</v>
      </c>
      <c r="V385" s="1247">
        <f t="shared" si="134"/>
        <v>0</v>
      </c>
      <c r="W385" s="1247">
        <f t="shared" si="134"/>
        <v>0</v>
      </c>
      <c r="X385" s="1247">
        <f t="shared" si="134"/>
        <v>0</v>
      </c>
      <c r="Y385" s="1247">
        <f t="shared" si="134"/>
        <v>0</v>
      </c>
      <c r="Z385" s="1247">
        <f t="shared" si="134"/>
        <v>0</v>
      </c>
      <c r="AA385" s="1247">
        <f t="shared" si="134"/>
        <v>0</v>
      </c>
      <c r="AB385" s="1247">
        <f t="shared" si="134"/>
        <v>0</v>
      </c>
      <c r="AC385" s="1247">
        <f t="shared" si="134"/>
        <v>0</v>
      </c>
      <c r="AD385" s="1247">
        <f t="shared" si="134"/>
        <v>0</v>
      </c>
      <c r="AE385" s="1247">
        <f t="shared" si="134"/>
        <v>0</v>
      </c>
      <c r="AF385" s="1247">
        <f t="shared" si="134"/>
        <v>0</v>
      </c>
      <c r="AG385" s="1247">
        <f t="shared" si="134"/>
        <v>0</v>
      </c>
      <c r="AH385" s="1247">
        <f t="shared" si="134"/>
        <v>0</v>
      </c>
      <c r="AI385" s="1247">
        <f t="shared" si="134"/>
        <v>0</v>
      </c>
      <c r="AJ385" s="1247">
        <f t="shared" si="134"/>
        <v>0</v>
      </c>
      <c r="AK385" s="1247">
        <f t="shared" si="134"/>
        <v>0</v>
      </c>
      <c r="AL385" s="1247">
        <f t="shared" si="134"/>
        <v>0</v>
      </c>
      <c r="AM385" s="1247">
        <f t="shared" si="134"/>
        <v>0</v>
      </c>
      <c r="AN385" s="1247">
        <f t="shared" si="134"/>
        <v>0</v>
      </c>
      <c r="AO385" s="1247">
        <f t="shared" si="134"/>
        <v>0</v>
      </c>
      <c r="AP385" s="1247">
        <f t="shared" si="134"/>
        <v>0</v>
      </c>
      <c r="AQ385" s="1247">
        <f t="shared" si="134"/>
        <v>0</v>
      </c>
      <c r="AR385" s="1247">
        <f t="shared" si="134"/>
        <v>0</v>
      </c>
      <c r="AS385" s="1247">
        <f t="shared" si="134"/>
        <v>0</v>
      </c>
      <c r="AT385" s="1247">
        <f t="shared" si="134"/>
        <v>0</v>
      </c>
      <c r="AU385" s="1247">
        <f t="shared" si="134"/>
        <v>0</v>
      </c>
      <c r="AV385" s="1247">
        <f t="shared" si="134"/>
        <v>0</v>
      </c>
      <c r="AW385" s="1247">
        <f t="shared" si="134"/>
        <v>0</v>
      </c>
      <c r="AX385" s="1247">
        <f t="shared" si="134"/>
        <v>0</v>
      </c>
      <c r="AY385" s="1247">
        <f t="shared" si="134"/>
        <v>0</v>
      </c>
      <c r="AZ385" s="1247">
        <f t="shared" si="134"/>
        <v>0</v>
      </c>
      <c r="BA385" s="1247">
        <f t="shared" si="134"/>
        <v>0</v>
      </c>
      <c r="BB385" s="1247">
        <f t="shared" si="134"/>
        <v>0</v>
      </c>
      <c r="BC385" s="1247">
        <f t="shared" si="134"/>
        <v>0</v>
      </c>
      <c r="BD385" s="1247">
        <f t="shared" si="134"/>
        <v>0</v>
      </c>
      <c r="BE385" s="1248">
        <f t="shared" si="134"/>
        <v>0</v>
      </c>
    </row>
    <row r="386" spans="2:57" x14ac:dyDescent="0.25">
      <c r="B386" s="254"/>
      <c r="C386" s="262" t="s">
        <v>72</v>
      </c>
      <c r="D386" s="262"/>
      <c r="E386" s="262"/>
      <c r="F386" s="262"/>
      <c r="G386" s="1249"/>
      <c r="H386" s="1249">
        <f>IF(H$299&gt;$G381,0,PPMT($G382,H$299,$G381,-$G380))</f>
        <v>0</v>
      </c>
      <c r="I386" s="1249">
        <f>IF(I$299&gt;$G381,0,PPMT($G382,I$299,$G381,-$G380))</f>
        <v>0</v>
      </c>
      <c r="J386" s="1249">
        <f>IF(J$299&gt;$G381,0,PPMT($G382,J$299,$G381,-$G380))</f>
        <v>0</v>
      </c>
      <c r="K386" s="1249">
        <f>IF(K$299&gt;$G381,0,PPMT($G382,K$299,$G381,-$G380))</f>
        <v>0</v>
      </c>
      <c r="L386" s="1249">
        <f t="shared" ref="L386:BE386" si="135">IF(L$299&gt;$G381,0,PPMT($G382,L$299,$G381,-$G380))</f>
        <v>0</v>
      </c>
      <c r="M386" s="1249">
        <f t="shared" si="135"/>
        <v>0</v>
      </c>
      <c r="N386" s="1249">
        <f t="shared" si="135"/>
        <v>0</v>
      </c>
      <c r="O386" s="1249">
        <f t="shared" si="135"/>
        <v>0</v>
      </c>
      <c r="P386" s="1249">
        <f t="shared" si="135"/>
        <v>0</v>
      </c>
      <c r="Q386" s="1249">
        <f t="shared" si="135"/>
        <v>0</v>
      </c>
      <c r="R386" s="1249">
        <f t="shared" si="135"/>
        <v>0</v>
      </c>
      <c r="S386" s="1249">
        <f t="shared" si="135"/>
        <v>0</v>
      </c>
      <c r="T386" s="1249">
        <f t="shared" si="135"/>
        <v>0</v>
      </c>
      <c r="U386" s="1249">
        <f t="shared" si="135"/>
        <v>0</v>
      </c>
      <c r="V386" s="1249">
        <f t="shared" si="135"/>
        <v>0</v>
      </c>
      <c r="W386" s="1249">
        <f t="shared" si="135"/>
        <v>0</v>
      </c>
      <c r="X386" s="1249">
        <f t="shared" si="135"/>
        <v>0</v>
      </c>
      <c r="Y386" s="1249">
        <f t="shared" si="135"/>
        <v>0</v>
      </c>
      <c r="Z386" s="1249">
        <f t="shared" si="135"/>
        <v>0</v>
      </c>
      <c r="AA386" s="1249">
        <f t="shared" si="135"/>
        <v>0</v>
      </c>
      <c r="AB386" s="1249">
        <f t="shared" si="135"/>
        <v>0</v>
      </c>
      <c r="AC386" s="1249">
        <f t="shared" si="135"/>
        <v>0</v>
      </c>
      <c r="AD386" s="1249">
        <f t="shared" si="135"/>
        <v>0</v>
      </c>
      <c r="AE386" s="1249">
        <f t="shared" si="135"/>
        <v>0</v>
      </c>
      <c r="AF386" s="1249">
        <f t="shared" si="135"/>
        <v>0</v>
      </c>
      <c r="AG386" s="1249">
        <f t="shared" si="135"/>
        <v>0</v>
      </c>
      <c r="AH386" s="1249">
        <f t="shared" si="135"/>
        <v>0</v>
      </c>
      <c r="AI386" s="1249">
        <f t="shared" si="135"/>
        <v>0</v>
      </c>
      <c r="AJ386" s="1249">
        <f t="shared" si="135"/>
        <v>0</v>
      </c>
      <c r="AK386" s="1249">
        <f t="shared" si="135"/>
        <v>0</v>
      </c>
      <c r="AL386" s="1249">
        <f t="shared" si="135"/>
        <v>0</v>
      </c>
      <c r="AM386" s="1249">
        <f t="shared" si="135"/>
        <v>0</v>
      </c>
      <c r="AN386" s="1249">
        <f t="shared" si="135"/>
        <v>0</v>
      </c>
      <c r="AO386" s="1249">
        <f t="shared" si="135"/>
        <v>0</v>
      </c>
      <c r="AP386" s="1249">
        <f t="shared" si="135"/>
        <v>0</v>
      </c>
      <c r="AQ386" s="1249">
        <f t="shared" si="135"/>
        <v>0</v>
      </c>
      <c r="AR386" s="1249">
        <f t="shared" si="135"/>
        <v>0</v>
      </c>
      <c r="AS386" s="1249">
        <f t="shared" si="135"/>
        <v>0</v>
      </c>
      <c r="AT386" s="1249">
        <f t="shared" si="135"/>
        <v>0</v>
      </c>
      <c r="AU386" s="1249">
        <f t="shared" si="135"/>
        <v>0</v>
      </c>
      <c r="AV386" s="1249">
        <f t="shared" si="135"/>
        <v>0</v>
      </c>
      <c r="AW386" s="1249">
        <f t="shared" si="135"/>
        <v>0</v>
      </c>
      <c r="AX386" s="1249">
        <f t="shared" si="135"/>
        <v>0</v>
      </c>
      <c r="AY386" s="1249">
        <f t="shared" si="135"/>
        <v>0</v>
      </c>
      <c r="AZ386" s="1249">
        <f t="shared" si="135"/>
        <v>0</v>
      </c>
      <c r="BA386" s="1249">
        <f t="shared" si="135"/>
        <v>0</v>
      </c>
      <c r="BB386" s="1249">
        <f t="shared" si="135"/>
        <v>0</v>
      </c>
      <c r="BC386" s="1249">
        <f t="shared" si="135"/>
        <v>0</v>
      </c>
      <c r="BD386" s="1249">
        <f t="shared" si="135"/>
        <v>0</v>
      </c>
      <c r="BE386" s="1250">
        <f t="shared" si="135"/>
        <v>0</v>
      </c>
    </row>
    <row r="387" spans="2:57" x14ac:dyDescent="0.25">
      <c r="B387" s="254"/>
      <c r="C387" s="255" t="s">
        <v>74</v>
      </c>
      <c r="D387" s="255"/>
      <c r="E387" s="255"/>
      <c r="F387" s="255"/>
      <c r="G387" s="1247"/>
      <c r="H387" s="1247">
        <f>SUM(H385:H386)</f>
        <v>0</v>
      </c>
      <c r="I387" s="1247">
        <f t="shared" ref="I387:BE387" si="136">SUM(I385:I386)</f>
        <v>0</v>
      </c>
      <c r="J387" s="1247">
        <f t="shared" si="136"/>
        <v>0</v>
      </c>
      <c r="K387" s="1247">
        <f t="shared" si="136"/>
        <v>0</v>
      </c>
      <c r="L387" s="1247">
        <f t="shared" si="136"/>
        <v>0</v>
      </c>
      <c r="M387" s="1247">
        <f t="shared" si="136"/>
        <v>0</v>
      </c>
      <c r="N387" s="1247">
        <f t="shared" si="136"/>
        <v>0</v>
      </c>
      <c r="O387" s="1247">
        <f t="shared" si="136"/>
        <v>0</v>
      </c>
      <c r="P387" s="1247">
        <f t="shared" si="136"/>
        <v>0</v>
      </c>
      <c r="Q387" s="1247">
        <f t="shared" si="136"/>
        <v>0</v>
      </c>
      <c r="R387" s="1247">
        <f t="shared" si="136"/>
        <v>0</v>
      </c>
      <c r="S387" s="1247">
        <f t="shared" si="136"/>
        <v>0</v>
      </c>
      <c r="T387" s="1247">
        <f t="shared" si="136"/>
        <v>0</v>
      </c>
      <c r="U387" s="1247">
        <f t="shared" si="136"/>
        <v>0</v>
      </c>
      <c r="V387" s="1247">
        <f t="shared" si="136"/>
        <v>0</v>
      </c>
      <c r="W387" s="1247">
        <f t="shared" si="136"/>
        <v>0</v>
      </c>
      <c r="X387" s="1247">
        <f t="shared" si="136"/>
        <v>0</v>
      </c>
      <c r="Y387" s="1247">
        <f t="shared" si="136"/>
        <v>0</v>
      </c>
      <c r="Z387" s="1247">
        <f t="shared" si="136"/>
        <v>0</v>
      </c>
      <c r="AA387" s="1247">
        <f t="shared" si="136"/>
        <v>0</v>
      </c>
      <c r="AB387" s="1247">
        <f t="shared" si="136"/>
        <v>0</v>
      </c>
      <c r="AC387" s="1247">
        <f t="shared" si="136"/>
        <v>0</v>
      </c>
      <c r="AD387" s="1247">
        <f t="shared" si="136"/>
        <v>0</v>
      </c>
      <c r="AE387" s="1247">
        <f t="shared" si="136"/>
        <v>0</v>
      </c>
      <c r="AF387" s="1247">
        <f t="shared" si="136"/>
        <v>0</v>
      </c>
      <c r="AG387" s="1247">
        <f t="shared" si="136"/>
        <v>0</v>
      </c>
      <c r="AH387" s="1247">
        <f t="shared" si="136"/>
        <v>0</v>
      </c>
      <c r="AI387" s="1247">
        <f t="shared" si="136"/>
        <v>0</v>
      </c>
      <c r="AJ387" s="1247">
        <f t="shared" si="136"/>
        <v>0</v>
      </c>
      <c r="AK387" s="1247">
        <f t="shared" si="136"/>
        <v>0</v>
      </c>
      <c r="AL387" s="1247">
        <f t="shared" si="136"/>
        <v>0</v>
      </c>
      <c r="AM387" s="1247">
        <f t="shared" si="136"/>
        <v>0</v>
      </c>
      <c r="AN387" s="1247">
        <f t="shared" si="136"/>
        <v>0</v>
      </c>
      <c r="AO387" s="1247">
        <f t="shared" si="136"/>
        <v>0</v>
      </c>
      <c r="AP387" s="1247">
        <f t="shared" si="136"/>
        <v>0</v>
      </c>
      <c r="AQ387" s="1247">
        <f t="shared" si="136"/>
        <v>0</v>
      </c>
      <c r="AR387" s="1247">
        <f t="shared" si="136"/>
        <v>0</v>
      </c>
      <c r="AS387" s="1247">
        <f t="shared" si="136"/>
        <v>0</v>
      </c>
      <c r="AT387" s="1247">
        <f t="shared" si="136"/>
        <v>0</v>
      </c>
      <c r="AU387" s="1247">
        <f t="shared" si="136"/>
        <v>0</v>
      </c>
      <c r="AV387" s="1247">
        <f t="shared" si="136"/>
        <v>0</v>
      </c>
      <c r="AW387" s="1247">
        <f t="shared" si="136"/>
        <v>0</v>
      </c>
      <c r="AX387" s="1247">
        <f t="shared" si="136"/>
        <v>0</v>
      </c>
      <c r="AY387" s="1247">
        <f t="shared" si="136"/>
        <v>0</v>
      </c>
      <c r="AZ387" s="1247">
        <f t="shared" si="136"/>
        <v>0</v>
      </c>
      <c r="BA387" s="1247">
        <f t="shared" si="136"/>
        <v>0</v>
      </c>
      <c r="BB387" s="1247">
        <f t="shared" si="136"/>
        <v>0</v>
      </c>
      <c r="BC387" s="1247">
        <f t="shared" si="136"/>
        <v>0</v>
      </c>
      <c r="BD387" s="1247">
        <f t="shared" si="136"/>
        <v>0</v>
      </c>
      <c r="BE387" s="1248">
        <f t="shared" si="136"/>
        <v>0</v>
      </c>
    </row>
    <row r="388" spans="2:57" x14ac:dyDescent="0.25">
      <c r="B388" s="254"/>
      <c r="C388" s="255"/>
      <c r="D388" s="255"/>
      <c r="E388" s="255"/>
      <c r="F388" s="255"/>
      <c r="G388" s="1247"/>
      <c r="H388" s="1247"/>
      <c r="I388" s="1247"/>
      <c r="J388" s="1247"/>
      <c r="K388" s="1247"/>
      <c r="L388" s="1247"/>
      <c r="M388" s="1247"/>
      <c r="N388" s="1247"/>
      <c r="O388" s="1247"/>
      <c r="P388" s="1247"/>
      <c r="Q388" s="1247"/>
      <c r="R388" s="1247"/>
      <c r="S388" s="1247"/>
      <c r="T388" s="1247"/>
      <c r="U388" s="1247"/>
      <c r="V388" s="1247"/>
      <c r="W388" s="1247"/>
      <c r="X388" s="1247"/>
      <c r="Y388" s="1247"/>
      <c r="Z388" s="1247"/>
      <c r="AA388" s="1247"/>
      <c r="AB388" s="1247"/>
      <c r="AC388" s="1247"/>
      <c r="AD388" s="1247"/>
      <c r="AE388" s="1247"/>
      <c r="AF388" s="1247"/>
      <c r="AG388" s="1247"/>
      <c r="AH388" s="1247"/>
      <c r="AI388" s="1247"/>
      <c r="AJ388" s="1247"/>
      <c r="AK388" s="1247"/>
      <c r="AL388" s="1247"/>
      <c r="AM388" s="1247"/>
      <c r="AN388" s="1247"/>
      <c r="AO388" s="1247"/>
      <c r="AP388" s="1247"/>
      <c r="AQ388" s="1247"/>
      <c r="AR388" s="1247"/>
      <c r="AS388" s="1247"/>
      <c r="AT388" s="1247"/>
      <c r="AU388" s="1247"/>
      <c r="AV388" s="1247"/>
      <c r="AW388" s="1247"/>
      <c r="AX388" s="1247"/>
      <c r="AY388" s="1247"/>
      <c r="AZ388" s="1247"/>
      <c r="BA388" s="1247"/>
      <c r="BB388" s="1247"/>
      <c r="BC388" s="1247"/>
      <c r="BD388" s="1247"/>
      <c r="BE388" s="1248"/>
    </row>
    <row r="389" spans="2:57" x14ac:dyDescent="0.25">
      <c r="B389" s="254"/>
      <c r="C389" s="391" t="s">
        <v>65</v>
      </c>
      <c r="D389" s="255"/>
      <c r="E389" s="255"/>
      <c r="F389" s="255"/>
      <c r="G389" s="1247"/>
      <c r="H389" s="1247"/>
      <c r="I389" s="1247"/>
      <c r="J389" s="1247"/>
      <c r="K389" s="1247"/>
      <c r="L389" s="1247"/>
      <c r="M389" s="1247"/>
      <c r="N389" s="1247"/>
      <c r="O389" s="1247"/>
      <c r="P389" s="1247"/>
      <c r="Q389" s="1247"/>
      <c r="R389" s="1247"/>
      <c r="S389" s="1247"/>
      <c r="T389" s="1247"/>
      <c r="U389" s="1247"/>
      <c r="V389" s="1247"/>
      <c r="W389" s="1247"/>
      <c r="X389" s="1247"/>
      <c r="Y389" s="1247"/>
      <c r="Z389" s="1247"/>
      <c r="AA389" s="1247"/>
      <c r="AB389" s="1247"/>
      <c r="AC389" s="1247"/>
      <c r="AD389" s="1247"/>
      <c r="AE389" s="1247"/>
      <c r="AF389" s="1247"/>
      <c r="AG389" s="1247"/>
      <c r="AH389" s="1247"/>
      <c r="AI389" s="1247"/>
      <c r="AJ389" s="1247"/>
      <c r="AK389" s="1247"/>
      <c r="AL389" s="1247"/>
      <c r="AM389" s="1247"/>
      <c r="AN389" s="1247"/>
      <c r="AO389" s="1247"/>
      <c r="AP389" s="1247"/>
      <c r="AQ389" s="1247"/>
      <c r="AR389" s="1247"/>
      <c r="AS389" s="1247"/>
      <c r="AT389" s="1247"/>
      <c r="AU389" s="1247"/>
      <c r="AV389" s="1247"/>
      <c r="AW389" s="1247"/>
      <c r="AX389" s="1247"/>
      <c r="AY389" s="1247"/>
      <c r="AZ389" s="1247"/>
      <c r="BA389" s="1247"/>
      <c r="BB389" s="1247"/>
      <c r="BC389" s="1247"/>
      <c r="BD389" s="1247"/>
      <c r="BE389" s="1248"/>
    </row>
    <row r="390" spans="2:57" x14ac:dyDescent="0.25">
      <c r="B390" s="254"/>
      <c r="C390" s="255" t="s">
        <v>75</v>
      </c>
      <c r="D390" s="255"/>
      <c r="E390" s="255"/>
      <c r="F390" s="255"/>
      <c r="G390" s="1247">
        <v>0</v>
      </c>
      <c r="H390" s="1247">
        <f t="shared" ref="H390:AM390" si="137">G393</f>
        <v>0</v>
      </c>
      <c r="I390" s="1247">
        <f t="shared" si="137"/>
        <v>0</v>
      </c>
      <c r="J390" s="1247">
        <f t="shared" si="137"/>
        <v>0</v>
      </c>
      <c r="K390" s="1247">
        <f t="shared" si="137"/>
        <v>0</v>
      </c>
      <c r="L390" s="1247">
        <f t="shared" si="137"/>
        <v>0</v>
      </c>
      <c r="M390" s="1247">
        <f t="shared" si="137"/>
        <v>0</v>
      </c>
      <c r="N390" s="1247">
        <f t="shared" si="137"/>
        <v>0</v>
      </c>
      <c r="O390" s="1247">
        <f t="shared" si="137"/>
        <v>0</v>
      </c>
      <c r="P390" s="1247">
        <f t="shared" si="137"/>
        <v>0</v>
      </c>
      <c r="Q390" s="1247">
        <f t="shared" si="137"/>
        <v>0</v>
      </c>
      <c r="R390" s="1247">
        <f t="shared" si="137"/>
        <v>0</v>
      </c>
      <c r="S390" s="1247">
        <f t="shared" si="137"/>
        <v>0</v>
      </c>
      <c r="T390" s="1247">
        <f t="shared" si="137"/>
        <v>0</v>
      </c>
      <c r="U390" s="1247">
        <f t="shared" si="137"/>
        <v>0</v>
      </c>
      <c r="V390" s="1247">
        <f t="shared" si="137"/>
        <v>0</v>
      </c>
      <c r="W390" s="1247">
        <f t="shared" si="137"/>
        <v>0</v>
      </c>
      <c r="X390" s="1247">
        <f t="shared" si="137"/>
        <v>0</v>
      </c>
      <c r="Y390" s="1247">
        <f t="shared" si="137"/>
        <v>0</v>
      </c>
      <c r="Z390" s="1247">
        <f t="shared" si="137"/>
        <v>0</v>
      </c>
      <c r="AA390" s="1247">
        <f t="shared" si="137"/>
        <v>0</v>
      </c>
      <c r="AB390" s="1247">
        <f t="shared" si="137"/>
        <v>0</v>
      </c>
      <c r="AC390" s="1247">
        <f t="shared" si="137"/>
        <v>0</v>
      </c>
      <c r="AD390" s="1247">
        <f t="shared" si="137"/>
        <v>0</v>
      </c>
      <c r="AE390" s="1247">
        <f t="shared" si="137"/>
        <v>0</v>
      </c>
      <c r="AF390" s="1247">
        <f t="shared" si="137"/>
        <v>0</v>
      </c>
      <c r="AG390" s="1247">
        <f t="shared" si="137"/>
        <v>0</v>
      </c>
      <c r="AH390" s="1247">
        <f t="shared" si="137"/>
        <v>0</v>
      </c>
      <c r="AI390" s="1247">
        <f t="shared" si="137"/>
        <v>0</v>
      </c>
      <c r="AJ390" s="1247">
        <f t="shared" si="137"/>
        <v>0</v>
      </c>
      <c r="AK390" s="1247">
        <f t="shared" si="137"/>
        <v>0</v>
      </c>
      <c r="AL390" s="1247">
        <f t="shared" si="137"/>
        <v>0</v>
      </c>
      <c r="AM390" s="1247">
        <f t="shared" si="137"/>
        <v>0</v>
      </c>
      <c r="AN390" s="1247">
        <f t="shared" ref="AN390:BE390" si="138">AM393</f>
        <v>0</v>
      </c>
      <c r="AO390" s="1247">
        <f t="shared" si="138"/>
        <v>0</v>
      </c>
      <c r="AP390" s="1247">
        <f t="shared" si="138"/>
        <v>0</v>
      </c>
      <c r="AQ390" s="1247">
        <f t="shared" si="138"/>
        <v>0</v>
      </c>
      <c r="AR390" s="1247">
        <f t="shared" si="138"/>
        <v>0</v>
      </c>
      <c r="AS390" s="1247">
        <f t="shared" si="138"/>
        <v>0</v>
      </c>
      <c r="AT390" s="1247">
        <f t="shared" si="138"/>
        <v>0</v>
      </c>
      <c r="AU390" s="1247">
        <f t="shared" si="138"/>
        <v>0</v>
      </c>
      <c r="AV390" s="1247">
        <f t="shared" si="138"/>
        <v>0</v>
      </c>
      <c r="AW390" s="1247">
        <f t="shared" si="138"/>
        <v>0</v>
      </c>
      <c r="AX390" s="1247">
        <f t="shared" si="138"/>
        <v>0</v>
      </c>
      <c r="AY390" s="1247">
        <f t="shared" si="138"/>
        <v>0</v>
      </c>
      <c r="AZ390" s="1247">
        <f t="shared" si="138"/>
        <v>0</v>
      </c>
      <c r="BA390" s="1247">
        <f t="shared" si="138"/>
        <v>0</v>
      </c>
      <c r="BB390" s="1247">
        <f t="shared" si="138"/>
        <v>0</v>
      </c>
      <c r="BC390" s="1247">
        <f t="shared" si="138"/>
        <v>0</v>
      </c>
      <c r="BD390" s="1247">
        <f t="shared" si="138"/>
        <v>0</v>
      </c>
      <c r="BE390" s="1248">
        <f t="shared" si="138"/>
        <v>0</v>
      </c>
    </row>
    <row r="391" spans="2:57" x14ac:dyDescent="0.25">
      <c r="B391" s="254"/>
      <c r="C391" s="255" t="s">
        <v>76</v>
      </c>
      <c r="D391" s="255"/>
      <c r="E391" s="255"/>
      <c r="F391" s="255"/>
      <c r="G391" s="1247">
        <f>G380</f>
        <v>0</v>
      </c>
      <c r="H391" s="1247">
        <v>0</v>
      </c>
      <c r="I391" s="1247">
        <v>0</v>
      </c>
      <c r="J391" s="1247">
        <v>0</v>
      </c>
      <c r="K391" s="1247">
        <v>0</v>
      </c>
      <c r="L391" s="1247">
        <v>0</v>
      </c>
      <c r="M391" s="1247">
        <v>0</v>
      </c>
      <c r="N391" s="1247">
        <v>0</v>
      </c>
      <c r="O391" s="1247">
        <v>0</v>
      </c>
      <c r="P391" s="1247">
        <v>0</v>
      </c>
      <c r="Q391" s="1247">
        <v>0</v>
      </c>
      <c r="R391" s="1247">
        <v>0</v>
      </c>
      <c r="S391" s="1247">
        <v>0</v>
      </c>
      <c r="T391" s="1247">
        <v>0</v>
      </c>
      <c r="U391" s="1247">
        <v>0</v>
      </c>
      <c r="V391" s="1247">
        <v>0</v>
      </c>
      <c r="W391" s="1247">
        <v>0</v>
      </c>
      <c r="X391" s="1247">
        <v>0</v>
      </c>
      <c r="Y391" s="1247">
        <v>0</v>
      </c>
      <c r="Z391" s="1247">
        <v>0</v>
      </c>
      <c r="AA391" s="1247">
        <v>0</v>
      </c>
      <c r="AB391" s="1247">
        <v>0</v>
      </c>
      <c r="AC391" s="1247">
        <v>0</v>
      </c>
      <c r="AD391" s="1247">
        <v>0</v>
      </c>
      <c r="AE391" s="1247">
        <v>0</v>
      </c>
      <c r="AF391" s="1247">
        <v>0</v>
      </c>
      <c r="AG391" s="1247">
        <v>0</v>
      </c>
      <c r="AH391" s="1247">
        <v>0</v>
      </c>
      <c r="AI391" s="1247">
        <v>0</v>
      </c>
      <c r="AJ391" s="1247">
        <v>0</v>
      </c>
      <c r="AK391" s="1247">
        <v>0</v>
      </c>
      <c r="AL391" s="1247">
        <v>0</v>
      </c>
      <c r="AM391" s="1247">
        <v>0</v>
      </c>
      <c r="AN391" s="1247">
        <v>0</v>
      </c>
      <c r="AO391" s="1247">
        <v>0</v>
      </c>
      <c r="AP391" s="1247">
        <v>0</v>
      </c>
      <c r="AQ391" s="1247">
        <v>0</v>
      </c>
      <c r="AR391" s="1247">
        <v>0</v>
      </c>
      <c r="AS391" s="1247">
        <v>0</v>
      </c>
      <c r="AT391" s="1247">
        <v>0</v>
      </c>
      <c r="AU391" s="1247">
        <v>0</v>
      </c>
      <c r="AV391" s="1247">
        <v>0</v>
      </c>
      <c r="AW391" s="1247">
        <v>0</v>
      </c>
      <c r="AX391" s="1247">
        <v>0</v>
      </c>
      <c r="AY391" s="1247">
        <v>0</v>
      </c>
      <c r="AZ391" s="1247">
        <v>0</v>
      </c>
      <c r="BA391" s="1247">
        <v>0</v>
      </c>
      <c r="BB391" s="1247">
        <v>0</v>
      </c>
      <c r="BC391" s="1247">
        <v>0</v>
      </c>
      <c r="BD391" s="1247">
        <v>0</v>
      </c>
      <c r="BE391" s="1248">
        <v>0</v>
      </c>
    </row>
    <row r="392" spans="2:57" x14ac:dyDescent="0.25">
      <c r="B392" s="254"/>
      <c r="C392" s="262" t="s">
        <v>77</v>
      </c>
      <c r="D392" s="262"/>
      <c r="E392" s="262"/>
      <c r="F392" s="262"/>
      <c r="G392" s="1249">
        <v>0</v>
      </c>
      <c r="H392" s="1249">
        <f t="shared" ref="H392:BE392" si="139">-H386</f>
        <v>0</v>
      </c>
      <c r="I392" s="1249">
        <f t="shared" si="139"/>
        <v>0</v>
      </c>
      <c r="J392" s="1249">
        <f t="shared" si="139"/>
        <v>0</v>
      </c>
      <c r="K392" s="1249">
        <f t="shared" si="139"/>
        <v>0</v>
      </c>
      <c r="L392" s="1249">
        <f t="shared" si="139"/>
        <v>0</v>
      </c>
      <c r="M392" s="1249">
        <f t="shared" si="139"/>
        <v>0</v>
      </c>
      <c r="N392" s="1249">
        <f t="shared" si="139"/>
        <v>0</v>
      </c>
      <c r="O392" s="1249">
        <f t="shared" si="139"/>
        <v>0</v>
      </c>
      <c r="P392" s="1249">
        <f t="shared" si="139"/>
        <v>0</v>
      </c>
      <c r="Q392" s="1249">
        <f t="shared" si="139"/>
        <v>0</v>
      </c>
      <c r="R392" s="1249">
        <f t="shared" si="139"/>
        <v>0</v>
      </c>
      <c r="S392" s="1249">
        <f t="shared" si="139"/>
        <v>0</v>
      </c>
      <c r="T392" s="1249">
        <f t="shared" si="139"/>
        <v>0</v>
      </c>
      <c r="U392" s="1249">
        <f t="shared" si="139"/>
        <v>0</v>
      </c>
      <c r="V392" s="1249">
        <f t="shared" si="139"/>
        <v>0</v>
      </c>
      <c r="W392" s="1249">
        <f t="shared" si="139"/>
        <v>0</v>
      </c>
      <c r="X392" s="1249">
        <f t="shared" si="139"/>
        <v>0</v>
      </c>
      <c r="Y392" s="1249">
        <f t="shared" si="139"/>
        <v>0</v>
      </c>
      <c r="Z392" s="1249">
        <f t="shared" si="139"/>
        <v>0</v>
      </c>
      <c r="AA392" s="1249">
        <f t="shared" si="139"/>
        <v>0</v>
      </c>
      <c r="AB392" s="1249">
        <f t="shared" si="139"/>
        <v>0</v>
      </c>
      <c r="AC392" s="1249">
        <f t="shared" si="139"/>
        <v>0</v>
      </c>
      <c r="AD392" s="1249">
        <f t="shared" si="139"/>
        <v>0</v>
      </c>
      <c r="AE392" s="1249">
        <f t="shared" si="139"/>
        <v>0</v>
      </c>
      <c r="AF392" s="1249">
        <f t="shared" si="139"/>
        <v>0</v>
      </c>
      <c r="AG392" s="1249">
        <f t="shared" si="139"/>
        <v>0</v>
      </c>
      <c r="AH392" s="1249">
        <f t="shared" si="139"/>
        <v>0</v>
      </c>
      <c r="AI392" s="1249">
        <f t="shared" si="139"/>
        <v>0</v>
      </c>
      <c r="AJ392" s="1249">
        <f t="shared" si="139"/>
        <v>0</v>
      </c>
      <c r="AK392" s="1249">
        <f t="shared" si="139"/>
        <v>0</v>
      </c>
      <c r="AL392" s="1249">
        <f t="shared" si="139"/>
        <v>0</v>
      </c>
      <c r="AM392" s="1249">
        <f t="shared" si="139"/>
        <v>0</v>
      </c>
      <c r="AN392" s="1249">
        <f t="shared" si="139"/>
        <v>0</v>
      </c>
      <c r="AO392" s="1249">
        <f t="shared" si="139"/>
        <v>0</v>
      </c>
      <c r="AP392" s="1249">
        <f t="shared" si="139"/>
        <v>0</v>
      </c>
      <c r="AQ392" s="1249">
        <f t="shared" si="139"/>
        <v>0</v>
      </c>
      <c r="AR392" s="1249">
        <f t="shared" si="139"/>
        <v>0</v>
      </c>
      <c r="AS392" s="1249">
        <f t="shared" si="139"/>
        <v>0</v>
      </c>
      <c r="AT392" s="1249">
        <f t="shared" si="139"/>
        <v>0</v>
      </c>
      <c r="AU392" s="1249">
        <f t="shared" si="139"/>
        <v>0</v>
      </c>
      <c r="AV392" s="1249">
        <f t="shared" si="139"/>
        <v>0</v>
      </c>
      <c r="AW392" s="1249">
        <f t="shared" si="139"/>
        <v>0</v>
      </c>
      <c r="AX392" s="1249">
        <f t="shared" si="139"/>
        <v>0</v>
      </c>
      <c r="AY392" s="1249">
        <f t="shared" si="139"/>
        <v>0</v>
      </c>
      <c r="AZ392" s="1249">
        <f t="shared" si="139"/>
        <v>0</v>
      </c>
      <c r="BA392" s="1249">
        <f t="shared" si="139"/>
        <v>0</v>
      </c>
      <c r="BB392" s="1249">
        <f t="shared" si="139"/>
        <v>0</v>
      </c>
      <c r="BC392" s="1249">
        <f t="shared" si="139"/>
        <v>0</v>
      </c>
      <c r="BD392" s="1249">
        <f t="shared" si="139"/>
        <v>0</v>
      </c>
      <c r="BE392" s="1250">
        <f t="shared" si="139"/>
        <v>0</v>
      </c>
    </row>
    <row r="393" spans="2:57" x14ac:dyDescent="0.25">
      <c r="B393" s="254"/>
      <c r="C393" s="255" t="s">
        <v>66</v>
      </c>
      <c r="D393" s="255"/>
      <c r="E393" s="255"/>
      <c r="F393" s="255"/>
      <c r="G393" s="1247">
        <f t="shared" ref="G393:BE393" si="140">SUM(G390:G392)</f>
        <v>0</v>
      </c>
      <c r="H393" s="1247">
        <f t="shared" si="140"/>
        <v>0</v>
      </c>
      <c r="I393" s="1247">
        <f t="shared" si="140"/>
        <v>0</v>
      </c>
      <c r="J393" s="1247">
        <f t="shared" si="140"/>
        <v>0</v>
      </c>
      <c r="K393" s="1247">
        <f t="shared" si="140"/>
        <v>0</v>
      </c>
      <c r="L393" s="1247">
        <f t="shared" si="140"/>
        <v>0</v>
      </c>
      <c r="M393" s="1247">
        <f t="shared" si="140"/>
        <v>0</v>
      </c>
      <c r="N393" s="1247">
        <f t="shared" si="140"/>
        <v>0</v>
      </c>
      <c r="O393" s="1247">
        <f t="shared" si="140"/>
        <v>0</v>
      </c>
      <c r="P393" s="1247">
        <f t="shared" si="140"/>
        <v>0</v>
      </c>
      <c r="Q393" s="1247">
        <f t="shared" si="140"/>
        <v>0</v>
      </c>
      <c r="R393" s="1247">
        <f t="shared" si="140"/>
        <v>0</v>
      </c>
      <c r="S393" s="1247">
        <f t="shared" si="140"/>
        <v>0</v>
      </c>
      <c r="T393" s="1247">
        <f t="shared" si="140"/>
        <v>0</v>
      </c>
      <c r="U393" s="1247">
        <f t="shared" si="140"/>
        <v>0</v>
      </c>
      <c r="V393" s="1247">
        <f t="shared" si="140"/>
        <v>0</v>
      </c>
      <c r="W393" s="1247">
        <f t="shared" si="140"/>
        <v>0</v>
      </c>
      <c r="X393" s="1247">
        <f t="shared" si="140"/>
        <v>0</v>
      </c>
      <c r="Y393" s="1247">
        <f t="shared" si="140"/>
        <v>0</v>
      </c>
      <c r="Z393" s="1247">
        <f t="shared" si="140"/>
        <v>0</v>
      </c>
      <c r="AA393" s="1247">
        <f t="shared" si="140"/>
        <v>0</v>
      </c>
      <c r="AB393" s="1247">
        <f t="shared" si="140"/>
        <v>0</v>
      </c>
      <c r="AC393" s="1247">
        <f t="shared" si="140"/>
        <v>0</v>
      </c>
      <c r="AD393" s="1247">
        <f t="shared" si="140"/>
        <v>0</v>
      </c>
      <c r="AE393" s="1247">
        <f t="shared" si="140"/>
        <v>0</v>
      </c>
      <c r="AF393" s="1247">
        <f t="shared" si="140"/>
        <v>0</v>
      </c>
      <c r="AG393" s="1247">
        <f t="shared" si="140"/>
        <v>0</v>
      </c>
      <c r="AH393" s="1247">
        <f t="shared" si="140"/>
        <v>0</v>
      </c>
      <c r="AI393" s="1247">
        <f t="shared" si="140"/>
        <v>0</v>
      </c>
      <c r="AJ393" s="1247">
        <f t="shared" si="140"/>
        <v>0</v>
      </c>
      <c r="AK393" s="1247">
        <f t="shared" si="140"/>
        <v>0</v>
      </c>
      <c r="AL393" s="1247">
        <f t="shared" si="140"/>
        <v>0</v>
      </c>
      <c r="AM393" s="1247">
        <f t="shared" si="140"/>
        <v>0</v>
      </c>
      <c r="AN393" s="1247">
        <f t="shared" si="140"/>
        <v>0</v>
      </c>
      <c r="AO393" s="1247">
        <f t="shared" si="140"/>
        <v>0</v>
      </c>
      <c r="AP393" s="1247">
        <f t="shared" si="140"/>
        <v>0</v>
      </c>
      <c r="AQ393" s="1247">
        <f t="shared" si="140"/>
        <v>0</v>
      </c>
      <c r="AR393" s="1247">
        <f t="shared" si="140"/>
        <v>0</v>
      </c>
      <c r="AS393" s="1247">
        <f t="shared" si="140"/>
        <v>0</v>
      </c>
      <c r="AT393" s="1247">
        <f t="shared" si="140"/>
        <v>0</v>
      </c>
      <c r="AU393" s="1247">
        <f t="shared" si="140"/>
        <v>0</v>
      </c>
      <c r="AV393" s="1247">
        <f t="shared" si="140"/>
        <v>0</v>
      </c>
      <c r="AW393" s="1247">
        <f t="shared" si="140"/>
        <v>0</v>
      </c>
      <c r="AX393" s="1247">
        <f t="shared" si="140"/>
        <v>0</v>
      </c>
      <c r="AY393" s="1247">
        <f t="shared" si="140"/>
        <v>0</v>
      </c>
      <c r="AZ393" s="1247">
        <f t="shared" si="140"/>
        <v>0</v>
      </c>
      <c r="BA393" s="1247">
        <f t="shared" si="140"/>
        <v>0</v>
      </c>
      <c r="BB393" s="1247">
        <f t="shared" si="140"/>
        <v>0</v>
      </c>
      <c r="BC393" s="1247">
        <f t="shared" si="140"/>
        <v>0</v>
      </c>
      <c r="BD393" s="1247">
        <f t="shared" si="140"/>
        <v>0</v>
      </c>
      <c r="BE393" s="1248">
        <f t="shared" si="140"/>
        <v>0</v>
      </c>
    </row>
    <row r="394" spans="2:57" x14ac:dyDescent="0.25">
      <c r="B394" s="254"/>
      <c r="C394" s="255"/>
      <c r="D394" s="255"/>
      <c r="E394" s="255"/>
      <c r="F394" s="255"/>
      <c r="G394" s="1247"/>
      <c r="H394" s="1247"/>
      <c r="I394" s="1247"/>
      <c r="J394" s="1247"/>
      <c r="K394" s="1247"/>
      <c r="L394" s="1247"/>
      <c r="M394" s="1247"/>
      <c r="N394" s="1247"/>
      <c r="O394" s="1247"/>
      <c r="P394" s="1247"/>
      <c r="Q394" s="1247"/>
      <c r="R394" s="1247"/>
      <c r="S394" s="1247"/>
      <c r="T394" s="1247"/>
      <c r="U394" s="1247"/>
      <c r="V394" s="1247"/>
      <c r="W394" s="1247"/>
      <c r="X394" s="1247"/>
      <c r="Y394" s="1247"/>
      <c r="Z394" s="1247"/>
      <c r="AA394" s="1247"/>
      <c r="AB394" s="1247"/>
      <c r="AC394" s="1247"/>
      <c r="AD394" s="1247"/>
      <c r="AE394" s="1247"/>
      <c r="AF394" s="1247"/>
      <c r="AG394" s="1247"/>
      <c r="AH394" s="1247"/>
      <c r="AI394" s="1247"/>
      <c r="AJ394" s="1247"/>
      <c r="AK394" s="1247"/>
      <c r="AL394" s="1247"/>
      <c r="AM394" s="1247"/>
      <c r="AN394" s="1247"/>
      <c r="AO394" s="1247"/>
      <c r="AP394" s="1247"/>
      <c r="AQ394" s="1247"/>
      <c r="AR394" s="1247"/>
      <c r="AS394" s="1247"/>
      <c r="AT394" s="1247"/>
      <c r="AU394" s="1247"/>
      <c r="AV394" s="1247"/>
      <c r="AW394" s="1247"/>
      <c r="AX394" s="1247"/>
      <c r="AY394" s="1247"/>
      <c r="AZ394" s="1247"/>
      <c r="BA394" s="1247"/>
      <c r="BB394" s="1247"/>
      <c r="BC394" s="1247"/>
      <c r="BD394" s="1247"/>
      <c r="BE394" s="1248"/>
    </row>
    <row r="395" spans="2:57" x14ac:dyDescent="0.25">
      <c r="B395" s="254"/>
      <c r="C395" s="391" t="s">
        <v>71</v>
      </c>
      <c r="D395" s="255"/>
      <c r="E395" s="255"/>
      <c r="F395" s="255"/>
      <c r="G395" s="1247"/>
      <c r="H395" s="1247"/>
      <c r="I395" s="1247"/>
      <c r="J395" s="1247"/>
      <c r="K395" s="1247"/>
      <c r="L395" s="1247"/>
      <c r="M395" s="1247"/>
      <c r="N395" s="1247"/>
      <c r="O395" s="1247"/>
      <c r="P395" s="1247"/>
      <c r="Q395" s="1247"/>
      <c r="R395" s="1247"/>
      <c r="S395" s="1247"/>
      <c r="T395" s="1247"/>
      <c r="U395" s="1247"/>
      <c r="V395" s="1247"/>
      <c r="W395" s="1247"/>
      <c r="X395" s="1247"/>
      <c r="Y395" s="1247"/>
      <c r="Z395" s="1247"/>
      <c r="AA395" s="1247"/>
      <c r="AB395" s="1247"/>
      <c r="AC395" s="1247"/>
      <c r="AD395" s="1247"/>
      <c r="AE395" s="1247"/>
      <c r="AF395" s="1247"/>
      <c r="AG395" s="1247"/>
      <c r="AH395" s="1247"/>
      <c r="AI395" s="1247"/>
      <c r="AJ395" s="1247"/>
      <c r="AK395" s="1247"/>
      <c r="AL395" s="1247"/>
      <c r="AM395" s="1247"/>
      <c r="AN395" s="1247"/>
      <c r="AO395" s="1247"/>
      <c r="AP395" s="1247"/>
      <c r="AQ395" s="1247"/>
      <c r="AR395" s="1247"/>
      <c r="AS395" s="1247"/>
      <c r="AT395" s="1247"/>
      <c r="AU395" s="1247"/>
      <c r="AV395" s="1247"/>
      <c r="AW395" s="1247"/>
      <c r="AX395" s="1247"/>
      <c r="AY395" s="1247"/>
      <c r="AZ395" s="1247"/>
      <c r="BA395" s="1247"/>
      <c r="BB395" s="1247"/>
      <c r="BC395" s="1247"/>
      <c r="BD395" s="1247"/>
      <c r="BE395" s="1248"/>
    </row>
    <row r="396" spans="2:57" x14ac:dyDescent="0.25">
      <c r="B396" s="254"/>
      <c r="C396" s="255" t="str">
        <f>'II. Inputs, Baseline Energy Mix'!$E$70</f>
        <v>Front-end Fee</v>
      </c>
      <c r="D396" s="255"/>
      <c r="E396" s="255"/>
      <c r="F396" s="255"/>
      <c r="G396" s="1247"/>
      <c r="H396" s="1247">
        <f>IF($G380&gt;0, $G$380*'II. Inputs, Baseline Energy Mix'!$O$70/10000,0)</f>
        <v>0</v>
      </c>
      <c r="I396" s="1247">
        <v>0</v>
      </c>
      <c r="J396" s="1247">
        <v>0</v>
      </c>
      <c r="K396" s="1247">
        <v>0</v>
      </c>
      <c r="L396" s="1247">
        <v>0</v>
      </c>
      <c r="M396" s="1247">
        <v>0</v>
      </c>
      <c r="N396" s="1247">
        <v>0</v>
      </c>
      <c r="O396" s="1247">
        <v>0</v>
      </c>
      <c r="P396" s="1247">
        <v>0</v>
      </c>
      <c r="Q396" s="1247">
        <v>0</v>
      </c>
      <c r="R396" s="1247">
        <v>0</v>
      </c>
      <c r="S396" s="1247">
        <v>0</v>
      </c>
      <c r="T396" s="1247">
        <v>0</v>
      </c>
      <c r="U396" s="1247">
        <v>0</v>
      </c>
      <c r="V396" s="1247">
        <v>0</v>
      </c>
      <c r="W396" s="1247">
        <v>0</v>
      </c>
      <c r="X396" s="1247">
        <v>0</v>
      </c>
      <c r="Y396" s="1247">
        <v>0</v>
      </c>
      <c r="Z396" s="1247">
        <v>0</v>
      </c>
      <c r="AA396" s="1247">
        <v>0</v>
      </c>
      <c r="AB396" s="1247">
        <v>0</v>
      </c>
      <c r="AC396" s="1247">
        <v>0</v>
      </c>
      <c r="AD396" s="1247">
        <v>0</v>
      </c>
      <c r="AE396" s="1247">
        <v>0</v>
      </c>
      <c r="AF396" s="1247">
        <v>0</v>
      </c>
      <c r="AG396" s="1247">
        <v>0</v>
      </c>
      <c r="AH396" s="1247">
        <v>0</v>
      </c>
      <c r="AI396" s="1247">
        <v>0</v>
      </c>
      <c r="AJ396" s="1247">
        <v>0</v>
      </c>
      <c r="AK396" s="1247">
        <v>0</v>
      </c>
      <c r="AL396" s="1247">
        <v>0</v>
      </c>
      <c r="AM396" s="1247">
        <v>0</v>
      </c>
      <c r="AN396" s="1247">
        <v>0</v>
      </c>
      <c r="AO396" s="1247">
        <v>0</v>
      </c>
      <c r="AP396" s="1247">
        <v>0</v>
      </c>
      <c r="AQ396" s="1247">
        <v>0</v>
      </c>
      <c r="AR396" s="1247">
        <v>0</v>
      </c>
      <c r="AS396" s="1247">
        <v>0</v>
      </c>
      <c r="AT396" s="1247">
        <v>0</v>
      </c>
      <c r="AU396" s="1247">
        <v>0</v>
      </c>
      <c r="AV396" s="1247">
        <v>0</v>
      </c>
      <c r="AW396" s="1247">
        <v>0</v>
      </c>
      <c r="AX396" s="1247">
        <v>0</v>
      </c>
      <c r="AY396" s="1247">
        <v>0</v>
      </c>
      <c r="AZ396" s="1247">
        <v>0</v>
      </c>
      <c r="BA396" s="1247">
        <v>0</v>
      </c>
      <c r="BB396" s="1247">
        <v>0</v>
      </c>
      <c r="BC396" s="1247">
        <v>0</v>
      </c>
      <c r="BD396" s="1247">
        <v>0</v>
      </c>
      <c r="BE396" s="1248">
        <v>0</v>
      </c>
    </row>
    <row r="397" spans="2:57" x14ac:dyDescent="0.25">
      <c r="B397" s="254"/>
      <c r="C397" s="255"/>
      <c r="D397" s="255"/>
      <c r="E397" s="255"/>
      <c r="F397" s="255"/>
      <c r="G397" s="255"/>
      <c r="H397" s="255"/>
      <c r="I397" s="255"/>
      <c r="J397" s="255"/>
      <c r="K397" s="255"/>
      <c r="L397" s="255"/>
      <c r="M397" s="255"/>
      <c r="N397" s="255"/>
      <c r="O397" s="255"/>
      <c r="P397" s="255"/>
      <c r="Q397" s="255"/>
      <c r="R397" s="255"/>
      <c r="S397" s="255"/>
      <c r="T397" s="255"/>
      <c r="U397" s="255"/>
      <c r="V397" s="255"/>
      <c r="W397" s="255"/>
      <c r="X397" s="255"/>
      <c r="Y397" s="255"/>
      <c r="Z397" s="255"/>
      <c r="AA397" s="255"/>
      <c r="AB397" s="255"/>
      <c r="AC397" s="255"/>
      <c r="AD397" s="255"/>
      <c r="AE397" s="255"/>
      <c r="AF397" s="255"/>
      <c r="AG397" s="255"/>
      <c r="AH397" s="255"/>
      <c r="AI397" s="255"/>
      <c r="AJ397" s="255"/>
      <c r="AK397" s="255"/>
      <c r="AL397" s="255"/>
      <c r="AM397" s="255"/>
      <c r="AN397" s="255"/>
      <c r="AO397" s="255"/>
      <c r="AP397" s="255"/>
      <c r="AQ397" s="255"/>
      <c r="AR397" s="255"/>
      <c r="AS397" s="255"/>
      <c r="AT397" s="255"/>
      <c r="AU397" s="255"/>
      <c r="AV397" s="255"/>
      <c r="AW397" s="255"/>
      <c r="AX397" s="255"/>
      <c r="AY397" s="255"/>
      <c r="AZ397" s="255"/>
      <c r="BA397" s="255"/>
      <c r="BB397" s="255"/>
      <c r="BC397" s="255"/>
      <c r="BD397" s="255"/>
      <c r="BE397" s="256"/>
    </row>
    <row r="398" spans="2:57" x14ac:dyDescent="0.25">
      <c r="B398" s="266" t="s">
        <v>180</v>
      </c>
      <c r="C398" s="255"/>
      <c r="D398" s="255"/>
      <c r="E398" s="255"/>
      <c r="F398" s="255"/>
      <c r="G398" s="255"/>
      <c r="H398" s="255"/>
      <c r="I398" s="255"/>
      <c r="J398" s="255"/>
      <c r="K398" s="255"/>
      <c r="L398" s="255"/>
      <c r="M398" s="255"/>
      <c r="N398" s="255"/>
      <c r="O398" s="255"/>
      <c r="P398" s="255"/>
      <c r="Q398" s="255"/>
      <c r="R398" s="255"/>
      <c r="S398" s="255"/>
      <c r="T398" s="255"/>
      <c r="U398" s="255"/>
      <c r="V398" s="255"/>
      <c r="W398" s="255"/>
      <c r="X398" s="255"/>
      <c r="Y398" s="255"/>
      <c r="Z398" s="255"/>
      <c r="AA398" s="255"/>
      <c r="AB398" s="255"/>
      <c r="AC398" s="255"/>
      <c r="AD398" s="255"/>
      <c r="AE398" s="255"/>
      <c r="AF398" s="255"/>
      <c r="AG398" s="255"/>
      <c r="AH398" s="255"/>
      <c r="AI398" s="255"/>
      <c r="AJ398" s="255"/>
      <c r="AK398" s="255"/>
      <c r="AL398" s="255"/>
      <c r="AM398" s="255"/>
      <c r="AN398" s="255"/>
      <c r="AO398" s="255"/>
      <c r="AP398" s="255"/>
      <c r="AQ398" s="255"/>
      <c r="AR398" s="255"/>
      <c r="AS398" s="255"/>
      <c r="AT398" s="255"/>
      <c r="AU398" s="255"/>
      <c r="AV398" s="255"/>
      <c r="AW398" s="255"/>
      <c r="AX398" s="255"/>
      <c r="AY398" s="255"/>
      <c r="AZ398" s="255"/>
      <c r="BA398" s="255"/>
      <c r="BB398" s="255"/>
      <c r="BC398" s="255"/>
      <c r="BD398" s="255"/>
      <c r="BE398" s="256"/>
    </row>
    <row r="399" spans="2:57" x14ac:dyDescent="0.25">
      <c r="B399" s="254"/>
      <c r="C399" s="388" t="s">
        <v>68</v>
      </c>
      <c r="D399" s="258" t="s">
        <v>631</v>
      </c>
      <c r="E399" s="255"/>
      <c r="F399" s="255"/>
      <c r="G399" s="1247">
        <f>IF('II. Inputs, Baseline Energy Mix'!$O$15&gt;0,('II. Inputs, Baseline Energy Mix'!$O$16*'II. Inputs, Baseline Energy Mix'!$O$17*'II. Inputs, Baseline Energy Mix'!$O$30*'II. Inputs, Baseline Energy Mix'!$O$33),0)</f>
        <v>0</v>
      </c>
      <c r="H399" s="255"/>
      <c r="I399" s="255"/>
      <c r="J399" s="255"/>
      <c r="K399" s="255"/>
      <c r="L399" s="255"/>
      <c r="M399" s="255"/>
      <c r="N399" s="255"/>
      <c r="O399" s="255"/>
      <c r="P399" s="255"/>
      <c r="Q399" s="255"/>
      <c r="R399" s="255"/>
      <c r="S399" s="255"/>
      <c r="T399" s="255"/>
      <c r="U399" s="255"/>
      <c r="V399" s="255"/>
      <c r="W399" s="255"/>
      <c r="X399" s="255"/>
      <c r="Y399" s="255"/>
      <c r="Z399" s="255"/>
      <c r="AA399" s="255"/>
      <c r="AB399" s="255"/>
      <c r="AC399" s="255"/>
      <c r="AD399" s="255"/>
      <c r="AE399" s="255"/>
      <c r="AF399" s="255"/>
      <c r="AG399" s="255"/>
      <c r="AH399" s="255"/>
      <c r="AI399" s="255"/>
      <c r="AJ399" s="255"/>
      <c r="AK399" s="255"/>
      <c r="AL399" s="255"/>
      <c r="AM399" s="255"/>
      <c r="AN399" s="255"/>
      <c r="AO399" s="255"/>
      <c r="AP399" s="255"/>
      <c r="AQ399" s="255"/>
      <c r="AR399" s="255"/>
      <c r="AS399" s="255"/>
      <c r="AT399" s="255"/>
      <c r="AU399" s="255"/>
      <c r="AV399" s="255"/>
      <c r="AW399" s="255"/>
      <c r="AX399" s="255"/>
      <c r="AY399" s="255"/>
      <c r="AZ399" s="255"/>
      <c r="BA399" s="255"/>
      <c r="BB399" s="255"/>
      <c r="BC399" s="255"/>
      <c r="BD399" s="255"/>
      <c r="BE399" s="256"/>
    </row>
    <row r="400" spans="2:57" x14ac:dyDescent="0.25">
      <c r="B400" s="254"/>
      <c r="C400" s="388" t="s">
        <v>69</v>
      </c>
      <c r="D400" s="258" t="s">
        <v>20</v>
      </c>
      <c r="E400" s="255"/>
      <c r="F400" s="255"/>
      <c r="G400" s="257">
        <f>SUM('II. Inputs, Baseline Energy Mix'!$O$73)</f>
        <v>0</v>
      </c>
      <c r="H400" s="255"/>
      <c r="I400" s="255"/>
      <c r="J400" s="255"/>
      <c r="K400" s="255"/>
      <c r="L400" s="255"/>
      <c r="M400" s="255"/>
      <c r="N400" s="255"/>
      <c r="O400" s="255"/>
      <c r="P400" s="255"/>
      <c r="Q400" s="255"/>
      <c r="R400" s="255"/>
      <c r="S400" s="255"/>
      <c r="T400" s="255"/>
      <c r="U400" s="255"/>
      <c r="V400" s="255"/>
      <c r="W400" s="255"/>
      <c r="X400" s="255"/>
      <c r="Y400" s="255"/>
      <c r="Z400" s="255"/>
      <c r="AA400" s="255"/>
      <c r="AB400" s="255"/>
      <c r="AC400" s="255"/>
      <c r="AD400" s="255"/>
      <c r="AE400" s="255"/>
      <c r="AF400" s="255"/>
      <c r="AG400" s="255"/>
      <c r="AH400" s="255"/>
      <c r="AI400" s="255"/>
      <c r="AJ400" s="255"/>
      <c r="AK400" s="255"/>
      <c r="AL400" s="255"/>
      <c r="AM400" s="255"/>
      <c r="AN400" s="255"/>
      <c r="AO400" s="255"/>
      <c r="AP400" s="255"/>
      <c r="AQ400" s="255"/>
      <c r="AR400" s="255"/>
      <c r="AS400" s="255"/>
      <c r="AT400" s="255"/>
      <c r="AU400" s="255"/>
      <c r="AV400" s="255"/>
      <c r="AW400" s="255"/>
      <c r="AX400" s="255"/>
      <c r="AY400" s="255"/>
      <c r="AZ400" s="255"/>
      <c r="BA400" s="255"/>
      <c r="BB400" s="255"/>
      <c r="BC400" s="255"/>
      <c r="BD400" s="255"/>
      <c r="BE400" s="256"/>
    </row>
    <row r="401" spans="2:58" x14ac:dyDescent="0.25">
      <c r="B401" s="254"/>
      <c r="C401" s="388" t="s">
        <v>70</v>
      </c>
      <c r="D401" s="258" t="s">
        <v>16</v>
      </c>
      <c r="E401" s="255"/>
      <c r="F401" s="255"/>
      <c r="G401" s="389">
        <f>SUM('II. Inputs, Baseline Energy Mix'!$O$72)</f>
        <v>0</v>
      </c>
      <c r="H401" s="255"/>
      <c r="I401" s="255"/>
      <c r="J401" s="255"/>
      <c r="K401" s="255"/>
      <c r="L401" s="255"/>
      <c r="M401" s="255"/>
      <c r="N401" s="255"/>
      <c r="O401" s="255"/>
      <c r="P401" s="255"/>
      <c r="Q401" s="255"/>
      <c r="R401" s="255"/>
      <c r="S401" s="255"/>
      <c r="T401" s="255"/>
      <c r="U401" s="255"/>
      <c r="V401" s="255"/>
      <c r="W401" s="255"/>
      <c r="X401" s="255"/>
      <c r="Y401" s="255"/>
      <c r="Z401" s="255"/>
      <c r="AA401" s="255"/>
      <c r="AB401" s="255"/>
      <c r="AC401" s="255"/>
      <c r="AD401" s="255"/>
      <c r="AE401" s="255"/>
      <c r="AF401" s="255"/>
      <c r="AG401" s="255"/>
      <c r="AH401" s="255"/>
      <c r="AI401" s="255"/>
      <c r="AJ401" s="255"/>
      <c r="AK401" s="255"/>
      <c r="AL401" s="255"/>
      <c r="AM401" s="255"/>
      <c r="AN401" s="255"/>
      <c r="AO401" s="255"/>
      <c r="AP401" s="255"/>
      <c r="AQ401" s="255"/>
      <c r="AR401" s="255"/>
      <c r="AS401" s="255"/>
      <c r="AT401" s="255"/>
      <c r="AU401" s="255"/>
      <c r="AV401" s="255"/>
      <c r="AW401" s="255"/>
      <c r="AX401" s="255"/>
      <c r="AY401" s="255"/>
      <c r="AZ401" s="255"/>
      <c r="BA401" s="255"/>
      <c r="BB401" s="255"/>
      <c r="BC401" s="255"/>
      <c r="BD401" s="255"/>
      <c r="BE401" s="256"/>
    </row>
    <row r="402" spans="2:58" x14ac:dyDescent="0.25">
      <c r="B402" s="254"/>
      <c r="C402" s="388" t="str">
        <f>'II. Inputs, Baseline Energy Mix'!$E$75</f>
        <v>Guarantee Coverage, as a % of Commercial Loan Value</v>
      </c>
      <c r="D402" s="258" t="s">
        <v>16</v>
      </c>
      <c r="E402" s="255"/>
      <c r="F402" s="255"/>
      <c r="G402" s="392">
        <f>SUM('II. Inputs, Baseline Energy Mix'!$O$75)</f>
        <v>0</v>
      </c>
      <c r="H402" s="255"/>
      <c r="I402" s="255"/>
      <c r="J402" s="255"/>
      <c r="K402" s="255"/>
      <c r="L402" s="255"/>
      <c r="M402" s="255"/>
      <c r="N402" s="255"/>
      <c r="O402" s="255"/>
      <c r="P402" s="255"/>
      <c r="Q402" s="255"/>
      <c r="R402" s="255"/>
      <c r="S402" s="255"/>
      <c r="T402" s="255"/>
      <c r="U402" s="255"/>
      <c r="V402" s="255"/>
      <c r="W402" s="255"/>
      <c r="X402" s="255"/>
      <c r="Y402" s="255"/>
      <c r="Z402" s="255"/>
      <c r="AA402" s="255"/>
      <c r="AB402" s="255"/>
      <c r="AC402" s="255"/>
      <c r="AD402" s="255"/>
      <c r="AE402" s="255"/>
      <c r="AF402" s="255"/>
      <c r="AG402" s="255"/>
      <c r="AH402" s="255"/>
      <c r="AI402" s="255"/>
      <c r="AJ402" s="255"/>
      <c r="AK402" s="255"/>
      <c r="AL402" s="255"/>
      <c r="AM402" s="255"/>
      <c r="AN402" s="255"/>
      <c r="AO402" s="255"/>
      <c r="AP402" s="255"/>
      <c r="AQ402" s="255"/>
      <c r="AR402" s="255"/>
      <c r="AS402" s="255"/>
      <c r="AT402" s="255"/>
      <c r="AU402" s="255"/>
      <c r="AV402" s="255"/>
      <c r="AW402" s="255"/>
      <c r="AX402" s="255"/>
      <c r="AY402" s="255"/>
      <c r="AZ402" s="255"/>
      <c r="BA402" s="255"/>
      <c r="BB402" s="255"/>
      <c r="BC402" s="255"/>
      <c r="BD402" s="255"/>
      <c r="BE402" s="256"/>
    </row>
    <row r="403" spans="2:58" x14ac:dyDescent="0.25">
      <c r="B403" s="254"/>
      <c r="C403" s="388" t="str">
        <f>'II. Inputs, Baseline Energy Mix'!$E$76</f>
        <v xml:space="preserve">Term of Public Guarantee Coverage </v>
      </c>
      <c r="D403" s="258" t="s">
        <v>20</v>
      </c>
      <c r="E403" s="255"/>
      <c r="F403" s="255"/>
      <c r="G403" s="257">
        <f>'II. Inputs, Baseline Energy Mix'!$O$76</f>
        <v>0</v>
      </c>
      <c r="H403" s="255"/>
      <c r="I403" s="255"/>
      <c r="J403" s="255"/>
      <c r="K403" s="255"/>
      <c r="L403" s="255"/>
      <c r="M403" s="255"/>
      <c r="N403" s="255"/>
      <c r="O403" s="255"/>
      <c r="P403" s="255"/>
      <c r="Q403" s="255"/>
      <c r="R403" s="255"/>
      <c r="S403" s="255"/>
      <c r="T403" s="255"/>
      <c r="U403" s="255"/>
      <c r="V403" s="255"/>
      <c r="W403" s="255"/>
      <c r="X403" s="255"/>
      <c r="Y403" s="255"/>
      <c r="Z403" s="255"/>
      <c r="AA403" s="255"/>
      <c r="AB403" s="255"/>
      <c r="AC403" s="255"/>
      <c r="AD403" s="255"/>
      <c r="AE403" s="255"/>
      <c r="AF403" s="255"/>
      <c r="AG403" s="255"/>
      <c r="AH403" s="255"/>
      <c r="AI403" s="255"/>
      <c r="AJ403" s="255"/>
      <c r="AK403" s="255"/>
      <c r="AL403" s="255"/>
      <c r="AM403" s="255"/>
      <c r="AN403" s="255"/>
      <c r="AO403" s="255"/>
      <c r="AP403" s="255"/>
      <c r="AQ403" s="255"/>
      <c r="AR403" s="255"/>
      <c r="AS403" s="255"/>
      <c r="AT403" s="255"/>
      <c r="AU403" s="255"/>
      <c r="AV403" s="255"/>
      <c r="AW403" s="255"/>
      <c r="AX403" s="255"/>
      <c r="AY403" s="255"/>
      <c r="AZ403" s="255"/>
      <c r="BA403" s="255"/>
      <c r="BB403" s="255"/>
      <c r="BC403" s="255"/>
      <c r="BD403" s="255"/>
      <c r="BE403" s="256"/>
    </row>
    <row r="404" spans="2:58" x14ac:dyDescent="0.25">
      <c r="B404" s="254"/>
      <c r="C404" s="255"/>
      <c r="D404" s="255"/>
      <c r="E404" s="255"/>
      <c r="F404" s="255"/>
      <c r="G404" s="255"/>
      <c r="H404" s="255"/>
      <c r="I404" s="255"/>
      <c r="J404" s="255"/>
      <c r="K404" s="255"/>
      <c r="L404" s="255"/>
      <c r="M404" s="255"/>
      <c r="N404" s="255"/>
      <c r="O404" s="255"/>
      <c r="P404" s="255"/>
      <c r="Q404" s="255"/>
      <c r="R404" s="255"/>
      <c r="S404" s="255"/>
      <c r="T404" s="255"/>
      <c r="U404" s="255"/>
      <c r="V404" s="255"/>
      <c r="W404" s="255"/>
      <c r="X404" s="255"/>
      <c r="Y404" s="255"/>
      <c r="Z404" s="255"/>
      <c r="AA404" s="255"/>
      <c r="AB404" s="255"/>
      <c r="AC404" s="255"/>
      <c r="AD404" s="255"/>
      <c r="AE404" s="255"/>
      <c r="AF404" s="255"/>
      <c r="AG404" s="255"/>
      <c r="AH404" s="255"/>
      <c r="AI404" s="255"/>
      <c r="AJ404" s="255"/>
      <c r="AK404" s="255"/>
      <c r="AL404" s="255"/>
      <c r="AM404" s="255"/>
      <c r="AN404" s="255"/>
      <c r="AO404" s="255"/>
      <c r="AP404" s="255"/>
      <c r="AQ404" s="255"/>
      <c r="AR404" s="255"/>
      <c r="AS404" s="255"/>
      <c r="AT404" s="255"/>
      <c r="AU404" s="255"/>
      <c r="AV404" s="255"/>
      <c r="AW404" s="255"/>
      <c r="AX404" s="255"/>
      <c r="AY404" s="255"/>
      <c r="AZ404" s="255"/>
      <c r="BA404" s="255"/>
      <c r="BB404" s="255"/>
      <c r="BC404" s="255"/>
      <c r="BD404" s="255"/>
      <c r="BE404" s="256"/>
    </row>
    <row r="405" spans="2:58" x14ac:dyDescent="0.25">
      <c r="B405" s="254"/>
      <c r="C405" s="390" t="s">
        <v>67</v>
      </c>
      <c r="D405" s="255"/>
      <c r="E405" s="255"/>
      <c r="F405" s="255"/>
      <c r="G405" s="1247"/>
      <c r="H405" s="1247"/>
      <c r="I405" s="1247"/>
      <c r="J405" s="1247"/>
      <c r="K405" s="1247"/>
      <c r="L405" s="1247"/>
      <c r="M405" s="1247"/>
      <c r="N405" s="1247"/>
      <c r="O405" s="1247"/>
      <c r="P405" s="1247"/>
      <c r="Q405" s="1247"/>
      <c r="R405" s="1247"/>
      <c r="S405" s="1247"/>
      <c r="T405" s="1247"/>
      <c r="U405" s="1247"/>
      <c r="V405" s="1247"/>
      <c r="W405" s="1247"/>
      <c r="X405" s="1247"/>
      <c r="Y405" s="1247"/>
      <c r="Z405" s="1247"/>
      <c r="AA405" s="1247"/>
      <c r="AB405" s="1247"/>
      <c r="AC405" s="1247"/>
      <c r="AD405" s="1247"/>
      <c r="AE405" s="1247"/>
      <c r="AF405" s="1247"/>
      <c r="AG405" s="1247"/>
      <c r="AH405" s="1247"/>
      <c r="AI405" s="1247"/>
      <c r="AJ405" s="1247"/>
      <c r="AK405" s="1247"/>
      <c r="AL405" s="1247"/>
      <c r="AM405" s="1247"/>
      <c r="AN405" s="1247"/>
      <c r="AO405" s="1247"/>
      <c r="AP405" s="1247"/>
      <c r="AQ405" s="1247"/>
      <c r="AR405" s="1247"/>
      <c r="AS405" s="1247"/>
      <c r="AT405" s="1247"/>
      <c r="AU405" s="1247"/>
      <c r="AV405" s="1247"/>
      <c r="AW405" s="1247"/>
      <c r="AX405" s="1247"/>
      <c r="AY405" s="1247"/>
      <c r="AZ405" s="1247"/>
      <c r="BA405" s="1247"/>
      <c r="BB405" s="1247"/>
      <c r="BC405" s="1247"/>
      <c r="BD405" s="1247"/>
      <c r="BE405" s="1248"/>
      <c r="BF405" s="1299"/>
    </row>
    <row r="406" spans="2:58" x14ac:dyDescent="0.25">
      <c r="B406" s="254"/>
      <c r="C406" s="255" t="s">
        <v>73</v>
      </c>
      <c r="D406" s="255"/>
      <c r="E406" s="255"/>
      <c r="F406" s="255"/>
      <c r="G406" s="1247"/>
      <c r="H406" s="1247">
        <f>IF(H$299&gt;$G400,0,IPMT($G401,H$299,$G400,-$G399))</f>
        <v>0</v>
      </c>
      <c r="I406" s="1247">
        <f t="shared" ref="I406:BE406" si="141">IF(I$299&gt;$G400,0,IPMT($G401,I$299,$G400,-$G399))</f>
        <v>0</v>
      </c>
      <c r="J406" s="1247">
        <f t="shared" si="141"/>
        <v>0</v>
      </c>
      <c r="K406" s="1247">
        <f t="shared" si="141"/>
        <v>0</v>
      </c>
      <c r="L406" s="1247">
        <f t="shared" si="141"/>
        <v>0</v>
      </c>
      <c r="M406" s="1247">
        <f t="shared" si="141"/>
        <v>0</v>
      </c>
      <c r="N406" s="1247">
        <f t="shared" si="141"/>
        <v>0</v>
      </c>
      <c r="O406" s="1247">
        <f t="shared" si="141"/>
        <v>0</v>
      </c>
      <c r="P406" s="1247">
        <f t="shared" si="141"/>
        <v>0</v>
      </c>
      <c r="Q406" s="1247">
        <f t="shared" si="141"/>
        <v>0</v>
      </c>
      <c r="R406" s="1247">
        <f t="shared" si="141"/>
        <v>0</v>
      </c>
      <c r="S406" s="1247">
        <f t="shared" si="141"/>
        <v>0</v>
      </c>
      <c r="T406" s="1247">
        <f t="shared" si="141"/>
        <v>0</v>
      </c>
      <c r="U406" s="1247">
        <f t="shared" si="141"/>
        <v>0</v>
      </c>
      <c r="V406" s="1247">
        <f t="shared" si="141"/>
        <v>0</v>
      </c>
      <c r="W406" s="1247">
        <f t="shared" si="141"/>
        <v>0</v>
      </c>
      <c r="X406" s="1247">
        <f t="shared" si="141"/>
        <v>0</v>
      </c>
      <c r="Y406" s="1247">
        <f t="shared" si="141"/>
        <v>0</v>
      </c>
      <c r="Z406" s="1247">
        <f t="shared" si="141"/>
        <v>0</v>
      </c>
      <c r="AA406" s="1247">
        <f t="shared" si="141"/>
        <v>0</v>
      </c>
      <c r="AB406" s="1247">
        <f t="shared" si="141"/>
        <v>0</v>
      </c>
      <c r="AC406" s="1247">
        <f t="shared" si="141"/>
        <v>0</v>
      </c>
      <c r="AD406" s="1247">
        <f t="shared" si="141"/>
        <v>0</v>
      </c>
      <c r="AE406" s="1247">
        <f t="shared" si="141"/>
        <v>0</v>
      </c>
      <c r="AF406" s="1247">
        <f t="shared" si="141"/>
        <v>0</v>
      </c>
      <c r="AG406" s="1247">
        <f t="shared" si="141"/>
        <v>0</v>
      </c>
      <c r="AH406" s="1247">
        <f t="shared" si="141"/>
        <v>0</v>
      </c>
      <c r="AI406" s="1247">
        <f t="shared" si="141"/>
        <v>0</v>
      </c>
      <c r="AJ406" s="1247">
        <f t="shared" si="141"/>
        <v>0</v>
      </c>
      <c r="AK406" s="1247">
        <f t="shared" si="141"/>
        <v>0</v>
      </c>
      <c r="AL406" s="1247">
        <f t="shared" si="141"/>
        <v>0</v>
      </c>
      <c r="AM406" s="1247">
        <f t="shared" si="141"/>
        <v>0</v>
      </c>
      <c r="AN406" s="1247">
        <f t="shared" si="141"/>
        <v>0</v>
      </c>
      <c r="AO406" s="1247">
        <f t="shared" si="141"/>
        <v>0</v>
      </c>
      <c r="AP406" s="1247">
        <f t="shared" si="141"/>
        <v>0</v>
      </c>
      <c r="AQ406" s="1247">
        <f t="shared" si="141"/>
        <v>0</v>
      </c>
      <c r="AR406" s="1247">
        <f t="shared" si="141"/>
        <v>0</v>
      </c>
      <c r="AS406" s="1247">
        <f t="shared" si="141"/>
        <v>0</v>
      </c>
      <c r="AT406" s="1247">
        <f t="shared" si="141"/>
        <v>0</v>
      </c>
      <c r="AU406" s="1247">
        <f t="shared" si="141"/>
        <v>0</v>
      </c>
      <c r="AV406" s="1247">
        <f t="shared" si="141"/>
        <v>0</v>
      </c>
      <c r="AW406" s="1247">
        <f t="shared" si="141"/>
        <v>0</v>
      </c>
      <c r="AX406" s="1247">
        <f t="shared" si="141"/>
        <v>0</v>
      </c>
      <c r="AY406" s="1247">
        <f t="shared" si="141"/>
        <v>0</v>
      </c>
      <c r="AZ406" s="1247">
        <f t="shared" si="141"/>
        <v>0</v>
      </c>
      <c r="BA406" s="1247">
        <f t="shared" si="141"/>
        <v>0</v>
      </c>
      <c r="BB406" s="1247">
        <f t="shared" si="141"/>
        <v>0</v>
      </c>
      <c r="BC406" s="1247">
        <f t="shared" si="141"/>
        <v>0</v>
      </c>
      <c r="BD406" s="1247">
        <f t="shared" si="141"/>
        <v>0</v>
      </c>
      <c r="BE406" s="1248">
        <f t="shared" si="141"/>
        <v>0</v>
      </c>
      <c r="BF406" s="1299"/>
    </row>
    <row r="407" spans="2:58" x14ac:dyDescent="0.25">
      <c r="B407" s="254"/>
      <c r="C407" s="262" t="s">
        <v>72</v>
      </c>
      <c r="D407" s="262"/>
      <c r="E407" s="262"/>
      <c r="F407" s="262"/>
      <c r="G407" s="1249"/>
      <c r="H407" s="1249">
        <f>IF(H$299&gt;$G400,0,PPMT($G401,H$299,$G400,-$G399))</f>
        <v>0</v>
      </c>
      <c r="I407" s="1249">
        <f t="shared" ref="I407:BE407" si="142">IF(I$299&gt;$G400,0,PPMT($G401,I$299,$G400,-$G399))</f>
        <v>0</v>
      </c>
      <c r="J407" s="1249">
        <f t="shared" si="142"/>
        <v>0</v>
      </c>
      <c r="K407" s="1249">
        <f t="shared" si="142"/>
        <v>0</v>
      </c>
      <c r="L407" s="1249">
        <f t="shared" si="142"/>
        <v>0</v>
      </c>
      <c r="M407" s="1249">
        <f t="shared" si="142"/>
        <v>0</v>
      </c>
      <c r="N407" s="1249">
        <f t="shared" si="142"/>
        <v>0</v>
      </c>
      <c r="O407" s="1249">
        <f t="shared" si="142"/>
        <v>0</v>
      </c>
      <c r="P407" s="1249">
        <f t="shared" si="142"/>
        <v>0</v>
      </c>
      <c r="Q407" s="1249">
        <f t="shared" si="142"/>
        <v>0</v>
      </c>
      <c r="R407" s="1249">
        <f t="shared" si="142"/>
        <v>0</v>
      </c>
      <c r="S407" s="1249">
        <f t="shared" si="142"/>
        <v>0</v>
      </c>
      <c r="T407" s="1249">
        <f t="shared" si="142"/>
        <v>0</v>
      </c>
      <c r="U407" s="1249">
        <f t="shared" si="142"/>
        <v>0</v>
      </c>
      <c r="V407" s="1249">
        <f t="shared" si="142"/>
        <v>0</v>
      </c>
      <c r="W407" s="1249">
        <f t="shared" si="142"/>
        <v>0</v>
      </c>
      <c r="X407" s="1249">
        <f t="shared" si="142"/>
        <v>0</v>
      </c>
      <c r="Y407" s="1249">
        <f t="shared" si="142"/>
        <v>0</v>
      </c>
      <c r="Z407" s="1249">
        <f t="shared" si="142"/>
        <v>0</v>
      </c>
      <c r="AA407" s="1249">
        <f t="shared" si="142"/>
        <v>0</v>
      </c>
      <c r="AB407" s="1249">
        <f t="shared" si="142"/>
        <v>0</v>
      </c>
      <c r="AC407" s="1249">
        <f t="shared" si="142"/>
        <v>0</v>
      </c>
      <c r="AD407" s="1249">
        <f t="shared" si="142"/>
        <v>0</v>
      </c>
      <c r="AE407" s="1249">
        <f t="shared" si="142"/>
        <v>0</v>
      </c>
      <c r="AF407" s="1249">
        <f t="shared" si="142"/>
        <v>0</v>
      </c>
      <c r="AG407" s="1249">
        <f t="shared" si="142"/>
        <v>0</v>
      </c>
      <c r="AH407" s="1249">
        <f t="shared" si="142"/>
        <v>0</v>
      </c>
      <c r="AI407" s="1249">
        <f t="shared" si="142"/>
        <v>0</v>
      </c>
      <c r="AJ407" s="1249">
        <f t="shared" si="142"/>
        <v>0</v>
      </c>
      <c r="AK407" s="1249">
        <f t="shared" si="142"/>
        <v>0</v>
      </c>
      <c r="AL407" s="1249">
        <f t="shared" si="142"/>
        <v>0</v>
      </c>
      <c r="AM407" s="1249">
        <f t="shared" si="142"/>
        <v>0</v>
      </c>
      <c r="AN407" s="1249">
        <f t="shared" si="142"/>
        <v>0</v>
      </c>
      <c r="AO407" s="1249">
        <f t="shared" si="142"/>
        <v>0</v>
      </c>
      <c r="AP407" s="1249">
        <f t="shared" si="142"/>
        <v>0</v>
      </c>
      <c r="AQ407" s="1249">
        <f t="shared" si="142"/>
        <v>0</v>
      </c>
      <c r="AR407" s="1249">
        <f t="shared" si="142"/>
        <v>0</v>
      </c>
      <c r="AS407" s="1249">
        <f t="shared" si="142"/>
        <v>0</v>
      </c>
      <c r="AT407" s="1249">
        <f t="shared" si="142"/>
        <v>0</v>
      </c>
      <c r="AU407" s="1249">
        <f t="shared" si="142"/>
        <v>0</v>
      </c>
      <c r="AV407" s="1249">
        <f t="shared" si="142"/>
        <v>0</v>
      </c>
      <c r="AW407" s="1249">
        <f t="shared" si="142"/>
        <v>0</v>
      </c>
      <c r="AX407" s="1249">
        <f t="shared" si="142"/>
        <v>0</v>
      </c>
      <c r="AY407" s="1249">
        <f t="shared" si="142"/>
        <v>0</v>
      </c>
      <c r="AZ407" s="1249">
        <f t="shared" si="142"/>
        <v>0</v>
      </c>
      <c r="BA407" s="1249">
        <f t="shared" si="142"/>
        <v>0</v>
      </c>
      <c r="BB407" s="1249">
        <f t="shared" si="142"/>
        <v>0</v>
      </c>
      <c r="BC407" s="1249">
        <f t="shared" si="142"/>
        <v>0</v>
      </c>
      <c r="BD407" s="1249">
        <f t="shared" si="142"/>
        <v>0</v>
      </c>
      <c r="BE407" s="1250">
        <f t="shared" si="142"/>
        <v>0</v>
      </c>
      <c r="BF407" s="1299"/>
    </row>
    <row r="408" spans="2:58" x14ac:dyDescent="0.25">
      <c r="B408" s="254"/>
      <c r="C408" s="255" t="s">
        <v>74</v>
      </c>
      <c r="D408" s="255"/>
      <c r="E408" s="255"/>
      <c r="F408" s="255"/>
      <c r="G408" s="1247"/>
      <c r="H408" s="1247">
        <f>SUM(H406:H407)</f>
        <v>0</v>
      </c>
      <c r="I408" s="1247">
        <f t="shared" ref="I408:BE408" si="143">SUM(I406:I407)</f>
        <v>0</v>
      </c>
      <c r="J408" s="1247">
        <f t="shared" si="143"/>
        <v>0</v>
      </c>
      <c r="K408" s="1247">
        <f t="shared" si="143"/>
        <v>0</v>
      </c>
      <c r="L408" s="1247">
        <f t="shared" si="143"/>
        <v>0</v>
      </c>
      <c r="M408" s="1247">
        <f t="shared" si="143"/>
        <v>0</v>
      </c>
      <c r="N408" s="1247">
        <f t="shared" si="143"/>
        <v>0</v>
      </c>
      <c r="O408" s="1247">
        <f t="shared" si="143"/>
        <v>0</v>
      </c>
      <c r="P408" s="1247">
        <f t="shared" si="143"/>
        <v>0</v>
      </c>
      <c r="Q408" s="1247">
        <f t="shared" si="143"/>
        <v>0</v>
      </c>
      <c r="R408" s="1247">
        <f t="shared" si="143"/>
        <v>0</v>
      </c>
      <c r="S408" s="1247">
        <f t="shared" si="143"/>
        <v>0</v>
      </c>
      <c r="T408" s="1247">
        <f t="shared" si="143"/>
        <v>0</v>
      </c>
      <c r="U408" s="1247">
        <f t="shared" si="143"/>
        <v>0</v>
      </c>
      <c r="V408" s="1247">
        <f t="shared" si="143"/>
        <v>0</v>
      </c>
      <c r="W408" s="1247">
        <f t="shared" si="143"/>
        <v>0</v>
      </c>
      <c r="X408" s="1247">
        <f t="shared" si="143"/>
        <v>0</v>
      </c>
      <c r="Y408" s="1247">
        <f t="shared" si="143"/>
        <v>0</v>
      </c>
      <c r="Z408" s="1247">
        <f t="shared" si="143"/>
        <v>0</v>
      </c>
      <c r="AA408" s="1247">
        <f t="shared" si="143"/>
        <v>0</v>
      </c>
      <c r="AB408" s="1247">
        <f t="shared" si="143"/>
        <v>0</v>
      </c>
      <c r="AC408" s="1247">
        <f t="shared" si="143"/>
        <v>0</v>
      </c>
      <c r="AD408" s="1247">
        <f t="shared" si="143"/>
        <v>0</v>
      </c>
      <c r="AE408" s="1247">
        <f t="shared" si="143"/>
        <v>0</v>
      </c>
      <c r="AF408" s="1247">
        <f t="shared" si="143"/>
        <v>0</v>
      </c>
      <c r="AG408" s="1247">
        <f t="shared" si="143"/>
        <v>0</v>
      </c>
      <c r="AH408" s="1247">
        <f t="shared" si="143"/>
        <v>0</v>
      </c>
      <c r="AI408" s="1247">
        <f t="shared" si="143"/>
        <v>0</v>
      </c>
      <c r="AJ408" s="1247">
        <f t="shared" si="143"/>
        <v>0</v>
      </c>
      <c r="AK408" s="1247">
        <f t="shared" si="143"/>
        <v>0</v>
      </c>
      <c r="AL408" s="1247">
        <f t="shared" si="143"/>
        <v>0</v>
      </c>
      <c r="AM408" s="1247">
        <f t="shared" si="143"/>
        <v>0</v>
      </c>
      <c r="AN408" s="1247">
        <f t="shared" si="143"/>
        <v>0</v>
      </c>
      <c r="AO408" s="1247">
        <f t="shared" si="143"/>
        <v>0</v>
      </c>
      <c r="AP408" s="1247">
        <f t="shared" si="143"/>
        <v>0</v>
      </c>
      <c r="AQ408" s="1247">
        <f t="shared" si="143"/>
        <v>0</v>
      </c>
      <c r="AR408" s="1247">
        <f t="shared" si="143"/>
        <v>0</v>
      </c>
      <c r="AS408" s="1247">
        <f t="shared" si="143"/>
        <v>0</v>
      </c>
      <c r="AT408" s="1247">
        <f t="shared" si="143"/>
        <v>0</v>
      </c>
      <c r="AU408" s="1247">
        <f t="shared" si="143"/>
        <v>0</v>
      </c>
      <c r="AV408" s="1247">
        <f t="shared" si="143"/>
        <v>0</v>
      </c>
      <c r="AW408" s="1247">
        <f t="shared" si="143"/>
        <v>0</v>
      </c>
      <c r="AX408" s="1247">
        <f t="shared" si="143"/>
        <v>0</v>
      </c>
      <c r="AY408" s="1247">
        <f t="shared" si="143"/>
        <v>0</v>
      </c>
      <c r="AZ408" s="1247">
        <f t="shared" si="143"/>
        <v>0</v>
      </c>
      <c r="BA408" s="1247">
        <f t="shared" si="143"/>
        <v>0</v>
      </c>
      <c r="BB408" s="1247">
        <f t="shared" si="143"/>
        <v>0</v>
      </c>
      <c r="BC408" s="1247">
        <f t="shared" si="143"/>
        <v>0</v>
      </c>
      <c r="BD408" s="1247">
        <f t="shared" si="143"/>
        <v>0</v>
      </c>
      <c r="BE408" s="1248">
        <f t="shared" si="143"/>
        <v>0</v>
      </c>
      <c r="BF408" s="1299"/>
    </row>
    <row r="409" spans="2:58" x14ac:dyDescent="0.25">
      <c r="B409" s="254"/>
      <c r="C409" s="255"/>
      <c r="D409" s="255"/>
      <c r="E409" s="255"/>
      <c r="F409" s="255"/>
      <c r="G409" s="1247"/>
      <c r="H409" s="1247"/>
      <c r="I409" s="1247"/>
      <c r="J409" s="1247"/>
      <c r="K409" s="1247"/>
      <c r="L409" s="1247"/>
      <c r="M409" s="1247"/>
      <c r="N409" s="1247"/>
      <c r="O409" s="1247"/>
      <c r="P409" s="1247"/>
      <c r="Q409" s="1247"/>
      <c r="R409" s="1247"/>
      <c r="S409" s="1247"/>
      <c r="T409" s="1247"/>
      <c r="U409" s="1247"/>
      <c r="V409" s="1247"/>
      <c r="W409" s="1247"/>
      <c r="X409" s="1247"/>
      <c r="Y409" s="1247"/>
      <c r="Z409" s="1247"/>
      <c r="AA409" s="1247"/>
      <c r="AB409" s="1247"/>
      <c r="AC409" s="1247"/>
      <c r="AD409" s="1247"/>
      <c r="AE409" s="1247"/>
      <c r="AF409" s="1247"/>
      <c r="AG409" s="1247"/>
      <c r="AH409" s="1247"/>
      <c r="AI409" s="1247"/>
      <c r="AJ409" s="1247"/>
      <c r="AK409" s="1247"/>
      <c r="AL409" s="1247"/>
      <c r="AM409" s="1247"/>
      <c r="AN409" s="1247"/>
      <c r="AO409" s="1247"/>
      <c r="AP409" s="1247"/>
      <c r="AQ409" s="1247"/>
      <c r="AR409" s="1247"/>
      <c r="AS409" s="1247"/>
      <c r="AT409" s="1247"/>
      <c r="AU409" s="1247"/>
      <c r="AV409" s="1247"/>
      <c r="AW409" s="1247"/>
      <c r="AX409" s="1247"/>
      <c r="AY409" s="1247"/>
      <c r="AZ409" s="1247"/>
      <c r="BA409" s="1247"/>
      <c r="BB409" s="1247"/>
      <c r="BC409" s="1247"/>
      <c r="BD409" s="1247"/>
      <c r="BE409" s="1248"/>
      <c r="BF409" s="1299"/>
    </row>
    <row r="410" spans="2:58" x14ac:dyDescent="0.25">
      <c r="B410" s="254"/>
      <c r="C410" s="391" t="s">
        <v>65</v>
      </c>
      <c r="D410" s="255"/>
      <c r="E410" s="255"/>
      <c r="F410" s="255"/>
      <c r="G410" s="1247"/>
      <c r="H410" s="1247"/>
      <c r="I410" s="1247"/>
      <c r="J410" s="1247"/>
      <c r="K410" s="1247"/>
      <c r="L410" s="1247"/>
      <c r="M410" s="1247"/>
      <c r="N410" s="1247"/>
      <c r="O410" s="1247"/>
      <c r="P410" s="1247"/>
      <c r="Q410" s="1247"/>
      <c r="R410" s="1247"/>
      <c r="S410" s="1247"/>
      <c r="T410" s="1247"/>
      <c r="U410" s="1247"/>
      <c r="V410" s="1247"/>
      <c r="W410" s="1247"/>
      <c r="X410" s="1247"/>
      <c r="Y410" s="1247"/>
      <c r="Z410" s="1247"/>
      <c r="AA410" s="1247"/>
      <c r="AB410" s="1247"/>
      <c r="AC410" s="1247"/>
      <c r="AD410" s="1247"/>
      <c r="AE410" s="1247"/>
      <c r="AF410" s="1247"/>
      <c r="AG410" s="1247"/>
      <c r="AH410" s="1247"/>
      <c r="AI410" s="1247"/>
      <c r="AJ410" s="1247"/>
      <c r="AK410" s="1247"/>
      <c r="AL410" s="1247"/>
      <c r="AM410" s="1247"/>
      <c r="AN410" s="1247"/>
      <c r="AO410" s="1247"/>
      <c r="AP410" s="1247"/>
      <c r="AQ410" s="1247"/>
      <c r="AR410" s="1247"/>
      <c r="AS410" s="1247"/>
      <c r="AT410" s="1247"/>
      <c r="AU410" s="1247"/>
      <c r="AV410" s="1247"/>
      <c r="AW410" s="1247"/>
      <c r="AX410" s="1247"/>
      <c r="AY410" s="1247"/>
      <c r="AZ410" s="1247"/>
      <c r="BA410" s="1247"/>
      <c r="BB410" s="1247"/>
      <c r="BC410" s="1247"/>
      <c r="BD410" s="1247"/>
      <c r="BE410" s="1248"/>
      <c r="BF410" s="1299"/>
    </row>
    <row r="411" spans="2:58" x14ac:dyDescent="0.25">
      <c r="B411" s="254"/>
      <c r="C411" s="255" t="s">
        <v>75</v>
      </c>
      <c r="D411" s="255"/>
      <c r="E411" s="255"/>
      <c r="F411" s="255"/>
      <c r="G411" s="1247">
        <v>0</v>
      </c>
      <c r="H411" s="1247">
        <f t="shared" ref="H411:AM411" si="144">G414</f>
        <v>0</v>
      </c>
      <c r="I411" s="1247">
        <f t="shared" si="144"/>
        <v>0</v>
      </c>
      <c r="J411" s="1247">
        <f t="shared" si="144"/>
        <v>0</v>
      </c>
      <c r="K411" s="1247">
        <f t="shared" si="144"/>
        <v>0</v>
      </c>
      <c r="L411" s="1247">
        <f t="shared" si="144"/>
        <v>0</v>
      </c>
      <c r="M411" s="1247">
        <f t="shared" si="144"/>
        <v>0</v>
      </c>
      <c r="N411" s="1247">
        <f t="shared" si="144"/>
        <v>0</v>
      </c>
      <c r="O411" s="1247">
        <f t="shared" si="144"/>
        <v>0</v>
      </c>
      <c r="P411" s="1247">
        <f t="shared" si="144"/>
        <v>0</v>
      </c>
      <c r="Q411" s="1247">
        <f t="shared" si="144"/>
        <v>0</v>
      </c>
      <c r="R411" s="1247">
        <f t="shared" si="144"/>
        <v>0</v>
      </c>
      <c r="S411" s="1247">
        <f t="shared" si="144"/>
        <v>0</v>
      </c>
      <c r="T411" s="1247">
        <f t="shared" si="144"/>
        <v>0</v>
      </c>
      <c r="U411" s="1247">
        <f t="shared" si="144"/>
        <v>0</v>
      </c>
      <c r="V411" s="1247">
        <f t="shared" si="144"/>
        <v>0</v>
      </c>
      <c r="W411" s="1247">
        <f t="shared" si="144"/>
        <v>0</v>
      </c>
      <c r="X411" s="1247">
        <f t="shared" si="144"/>
        <v>0</v>
      </c>
      <c r="Y411" s="1247">
        <f t="shared" si="144"/>
        <v>0</v>
      </c>
      <c r="Z411" s="1247">
        <f t="shared" si="144"/>
        <v>0</v>
      </c>
      <c r="AA411" s="1247">
        <f t="shared" si="144"/>
        <v>0</v>
      </c>
      <c r="AB411" s="1247">
        <f t="shared" si="144"/>
        <v>0</v>
      </c>
      <c r="AC411" s="1247">
        <f t="shared" si="144"/>
        <v>0</v>
      </c>
      <c r="AD411" s="1247">
        <f t="shared" si="144"/>
        <v>0</v>
      </c>
      <c r="AE411" s="1247">
        <f t="shared" si="144"/>
        <v>0</v>
      </c>
      <c r="AF411" s="1247">
        <f t="shared" si="144"/>
        <v>0</v>
      </c>
      <c r="AG411" s="1247">
        <f t="shared" si="144"/>
        <v>0</v>
      </c>
      <c r="AH411" s="1247">
        <f t="shared" si="144"/>
        <v>0</v>
      </c>
      <c r="AI411" s="1247">
        <f t="shared" si="144"/>
        <v>0</v>
      </c>
      <c r="AJ411" s="1247">
        <f t="shared" si="144"/>
        <v>0</v>
      </c>
      <c r="AK411" s="1247">
        <f t="shared" si="144"/>
        <v>0</v>
      </c>
      <c r="AL411" s="1247">
        <f t="shared" si="144"/>
        <v>0</v>
      </c>
      <c r="AM411" s="1247">
        <f t="shared" si="144"/>
        <v>0</v>
      </c>
      <c r="AN411" s="1247">
        <f t="shared" ref="AN411:BE411" si="145">AM414</f>
        <v>0</v>
      </c>
      <c r="AO411" s="1247">
        <f t="shared" si="145"/>
        <v>0</v>
      </c>
      <c r="AP411" s="1247">
        <f t="shared" si="145"/>
        <v>0</v>
      </c>
      <c r="AQ411" s="1247">
        <f t="shared" si="145"/>
        <v>0</v>
      </c>
      <c r="AR411" s="1247">
        <f t="shared" si="145"/>
        <v>0</v>
      </c>
      <c r="AS411" s="1247">
        <f t="shared" si="145"/>
        <v>0</v>
      </c>
      <c r="AT411" s="1247">
        <f t="shared" si="145"/>
        <v>0</v>
      </c>
      <c r="AU411" s="1247">
        <f t="shared" si="145"/>
        <v>0</v>
      </c>
      <c r="AV411" s="1247">
        <f t="shared" si="145"/>
        <v>0</v>
      </c>
      <c r="AW411" s="1247">
        <f t="shared" si="145"/>
        <v>0</v>
      </c>
      <c r="AX411" s="1247">
        <f t="shared" si="145"/>
        <v>0</v>
      </c>
      <c r="AY411" s="1247">
        <f t="shared" si="145"/>
        <v>0</v>
      </c>
      <c r="AZ411" s="1247">
        <f t="shared" si="145"/>
        <v>0</v>
      </c>
      <c r="BA411" s="1247">
        <f t="shared" si="145"/>
        <v>0</v>
      </c>
      <c r="BB411" s="1247">
        <f t="shared" si="145"/>
        <v>0</v>
      </c>
      <c r="BC411" s="1247">
        <f t="shared" si="145"/>
        <v>0</v>
      </c>
      <c r="BD411" s="1247">
        <f t="shared" si="145"/>
        <v>0</v>
      </c>
      <c r="BE411" s="1248">
        <f t="shared" si="145"/>
        <v>0</v>
      </c>
      <c r="BF411" s="1299"/>
    </row>
    <row r="412" spans="2:58" x14ac:dyDescent="0.25">
      <c r="B412" s="254"/>
      <c r="C412" s="255" t="s">
        <v>76</v>
      </c>
      <c r="D412" s="255"/>
      <c r="E412" s="255"/>
      <c r="F412" s="255"/>
      <c r="G412" s="1247">
        <f>G399</f>
        <v>0</v>
      </c>
      <c r="H412" s="1247">
        <v>0</v>
      </c>
      <c r="I412" s="1247">
        <v>0</v>
      </c>
      <c r="J412" s="1247">
        <v>0</v>
      </c>
      <c r="K412" s="1247">
        <v>0</v>
      </c>
      <c r="L412" s="1247">
        <v>0</v>
      </c>
      <c r="M412" s="1247">
        <v>0</v>
      </c>
      <c r="N412" s="1247">
        <v>0</v>
      </c>
      <c r="O412" s="1247">
        <v>0</v>
      </c>
      <c r="P412" s="1247">
        <v>0</v>
      </c>
      <c r="Q412" s="1247">
        <v>0</v>
      </c>
      <c r="R412" s="1247">
        <v>0</v>
      </c>
      <c r="S412" s="1247">
        <v>0</v>
      </c>
      <c r="T412" s="1247">
        <v>0</v>
      </c>
      <c r="U412" s="1247">
        <v>0</v>
      </c>
      <c r="V412" s="1247">
        <v>0</v>
      </c>
      <c r="W412" s="1247">
        <v>0</v>
      </c>
      <c r="X412" s="1247">
        <v>0</v>
      </c>
      <c r="Y412" s="1247">
        <v>0</v>
      </c>
      <c r="Z412" s="1247">
        <v>0</v>
      </c>
      <c r="AA412" s="1247">
        <v>0</v>
      </c>
      <c r="AB412" s="1247">
        <v>0</v>
      </c>
      <c r="AC412" s="1247">
        <v>0</v>
      </c>
      <c r="AD412" s="1247">
        <v>0</v>
      </c>
      <c r="AE412" s="1247">
        <v>0</v>
      </c>
      <c r="AF412" s="1247">
        <v>0</v>
      </c>
      <c r="AG412" s="1247">
        <v>0</v>
      </c>
      <c r="AH412" s="1247">
        <v>0</v>
      </c>
      <c r="AI412" s="1247">
        <v>0</v>
      </c>
      <c r="AJ412" s="1247">
        <v>0</v>
      </c>
      <c r="AK412" s="1247">
        <v>0</v>
      </c>
      <c r="AL412" s="1247">
        <v>0</v>
      </c>
      <c r="AM412" s="1247">
        <v>0</v>
      </c>
      <c r="AN412" s="1247">
        <v>0</v>
      </c>
      <c r="AO412" s="1247">
        <v>0</v>
      </c>
      <c r="AP412" s="1247">
        <v>0</v>
      </c>
      <c r="AQ412" s="1247">
        <v>0</v>
      </c>
      <c r="AR412" s="1247">
        <v>0</v>
      </c>
      <c r="AS412" s="1247">
        <v>0</v>
      </c>
      <c r="AT412" s="1247">
        <v>0</v>
      </c>
      <c r="AU412" s="1247">
        <v>0</v>
      </c>
      <c r="AV412" s="1247">
        <v>0</v>
      </c>
      <c r="AW412" s="1247">
        <v>0</v>
      </c>
      <c r="AX412" s="1247">
        <v>0</v>
      </c>
      <c r="AY412" s="1247">
        <v>0</v>
      </c>
      <c r="AZ412" s="1247">
        <v>0</v>
      </c>
      <c r="BA412" s="1247">
        <v>0</v>
      </c>
      <c r="BB412" s="1247">
        <v>0</v>
      </c>
      <c r="BC412" s="1247">
        <v>0</v>
      </c>
      <c r="BD412" s="1247">
        <v>0</v>
      </c>
      <c r="BE412" s="1248">
        <v>0</v>
      </c>
      <c r="BF412" s="1299"/>
    </row>
    <row r="413" spans="2:58" x14ac:dyDescent="0.25">
      <c r="B413" s="254"/>
      <c r="C413" s="262" t="s">
        <v>77</v>
      </c>
      <c r="D413" s="262"/>
      <c r="E413" s="262"/>
      <c r="F413" s="262"/>
      <c r="G413" s="1249">
        <v>0</v>
      </c>
      <c r="H413" s="1249">
        <f>-H407</f>
        <v>0</v>
      </c>
      <c r="I413" s="1249">
        <f t="shared" ref="I413:BE413" si="146">-I407</f>
        <v>0</v>
      </c>
      <c r="J413" s="1249">
        <f t="shared" si="146"/>
        <v>0</v>
      </c>
      <c r="K413" s="1249">
        <f t="shared" si="146"/>
        <v>0</v>
      </c>
      <c r="L413" s="1249">
        <f t="shared" si="146"/>
        <v>0</v>
      </c>
      <c r="M413" s="1249">
        <f t="shared" si="146"/>
        <v>0</v>
      </c>
      <c r="N413" s="1249">
        <f t="shared" si="146"/>
        <v>0</v>
      </c>
      <c r="O413" s="1249">
        <f t="shared" si="146"/>
        <v>0</v>
      </c>
      <c r="P413" s="1249">
        <f t="shared" si="146"/>
        <v>0</v>
      </c>
      <c r="Q413" s="1249">
        <f t="shared" si="146"/>
        <v>0</v>
      </c>
      <c r="R413" s="1249">
        <f t="shared" si="146"/>
        <v>0</v>
      </c>
      <c r="S413" s="1249">
        <f t="shared" si="146"/>
        <v>0</v>
      </c>
      <c r="T413" s="1249">
        <f t="shared" si="146"/>
        <v>0</v>
      </c>
      <c r="U413" s="1249">
        <f t="shared" si="146"/>
        <v>0</v>
      </c>
      <c r="V413" s="1249">
        <f t="shared" si="146"/>
        <v>0</v>
      </c>
      <c r="W413" s="1249">
        <f t="shared" si="146"/>
        <v>0</v>
      </c>
      <c r="X413" s="1249">
        <f t="shared" si="146"/>
        <v>0</v>
      </c>
      <c r="Y413" s="1249">
        <f t="shared" si="146"/>
        <v>0</v>
      </c>
      <c r="Z413" s="1249">
        <f t="shared" si="146"/>
        <v>0</v>
      </c>
      <c r="AA413" s="1249">
        <f t="shared" si="146"/>
        <v>0</v>
      </c>
      <c r="AB413" s="1249">
        <f t="shared" si="146"/>
        <v>0</v>
      </c>
      <c r="AC413" s="1249">
        <f t="shared" si="146"/>
        <v>0</v>
      </c>
      <c r="AD413" s="1249">
        <f t="shared" si="146"/>
        <v>0</v>
      </c>
      <c r="AE413" s="1249">
        <f t="shared" si="146"/>
        <v>0</v>
      </c>
      <c r="AF413" s="1249">
        <f t="shared" si="146"/>
        <v>0</v>
      </c>
      <c r="AG413" s="1249">
        <f t="shared" si="146"/>
        <v>0</v>
      </c>
      <c r="AH413" s="1249">
        <f t="shared" si="146"/>
        <v>0</v>
      </c>
      <c r="AI413" s="1249">
        <f t="shared" si="146"/>
        <v>0</v>
      </c>
      <c r="AJ413" s="1249">
        <f t="shared" si="146"/>
        <v>0</v>
      </c>
      <c r="AK413" s="1249">
        <f t="shared" si="146"/>
        <v>0</v>
      </c>
      <c r="AL413" s="1249">
        <f t="shared" si="146"/>
        <v>0</v>
      </c>
      <c r="AM413" s="1249">
        <f t="shared" si="146"/>
        <v>0</v>
      </c>
      <c r="AN413" s="1249">
        <f t="shared" si="146"/>
        <v>0</v>
      </c>
      <c r="AO413" s="1249">
        <f t="shared" si="146"/>
        <v>0</v>
      </c>
      <c r="AP413" s="1249">
        <f t="shared" si="146"/>
        <v>0</v>
      </c>
      <c r="AQ413" s="1249">
        <f t="shared" si="146"/>
        <v>0</v>
      </c>
      <c r="AR413" s="1249">
        <f t="shared" si="146"/>
        <v>0</v>
      </c>
      <c r="AS413" s="1249">
        <f t="shared" si="146"/>
        <v>0</v>
      </c>
      <c r="AT413" s="1249">
        <f t="shared" si="146"/>
        <v>0</v>
      </c>
      <c r="AU413" s="1249">
        <f t="shared" si="146"/>
        <v>0</v>
      </c>
      <c r="AV413" s="1249">
        <f t="shared" si="146"/>
        <v>0</v>
      </c>
      <c r="AW413" s="1249">
        <f t="shared" si="146"/>
        <v>0</v>
      </c>
      <c r="AX413" s="1249">
        <f t="shared" si="146"/>
        <v>0</v>
      </c>
      <c r="AY413" s="1249">
        <f t="shared" si="146"/>
        <v>0</v>
      </c>
      <c r="AZ413" s="1249">
        <f t="shared" si="146"/>
        <v>0</v>
      </c>
      <c r="BA413" s="1249">
        <f t="shared" si="146"/>
        <v>0</v>
      </c>
      <c r="BB413" s="1249">
        <f t="shared" si="146"/>
        <v>0</v>
      </c>
      <c r="BC413" s="1249">
        <f t="shared" si="146"/>
        <v>0</v>
      </c>
      <c r="BD413" s="1249">
        <f t="shared" si="146"/>
        <v>0</v>
      </c>
      <c r="BE413" s="1250">
        <f t="shared" si="146"/>
        <v>0</v>
      </c>
      <c r="BF413" s="1299"/>
    </row>
    <row r="414" spans="2:58" x14ac:dyDescent="0.25">
      <c r="B414" s="254"/>
      <c r="C414" s="255" t="s">
        <v>66</v>
      </c>
      <c r="D414" s="255"/>
      <c r="E414" s="255"/>
      <c r="F414" s="255"/>
      <c r="G414" s="1247">
        <f>SUM(G411:G413)</f>
        <v>0</v>
      </c>
      <c r="H414" s="1247">
        <f>SUM(H411:H413)</f>
        <v>0</v>
      </c>
      <c r="I414" s="1247">
        <f t="shared" ref="I414:BE414" si="147">SUM(I411:I413)</f>
        <v>0</v>
      </c>
      <c r="J414" s="1247">
        <f t="shared" si="147"/>
        <v>0</v>
      </c>
      <c r="K414" s="1247">
        <f t="shared" si="147"/>
        <v>0</v>
      </c>
      <c r="L414" s="1247">
        <f t="shared" si="147"/>
        <v>0</v>
      </c>
      <c r="M414" s="1247">
        <f t="shared" si="147"/>
        <v>0</v>
      </c>
      <c r="N414" s="1247">
        <f t="shared" si="147"/>
        <v>0</v>
      </c>
      <c r="O414" s="1247">
        <f t="shared" si="147"/>
        <v>0</v>
      </c>
      <c r="P414" s="1247">
        <f t="shared" si="147"/>
        <v>0</v>
      </c>
      <c r="Q414" s="1247">
        <f t="shared" si="147"/>
        <v>0</v>
      </c>
      <c r="R414" s="1247">
        <f t="shared" si="147"/>
        <v>0</v>
      </c>
      <c r="S414" s="1247">
        <f t="shared" si="147"/>
        <v>0</v>
      </c>
      <c r="T414" s="1247">
        <f t="shared" si="147"/>
        <v>0</v>
      </c>
      <c r="U414" s="1247">
        <f t="shared" si="147"/>
        <v>0</v>
      </c>
      <c r="V414" s="1247">
        <f t="shared" si="147"/>
        <v>0</v>
      </c>
      <c r="W414" s="1247">
        <f t="shared" si="147"/>
        <v>0</v>
      </c>
      <c r="X414" s="1247">
        <f t="shared" si="147"/>
        <v>0</v>
      </c>
      <c r="Y414" s="1247">
        <f t="shared" si="147"/>
        <v>0</v>
      </c>
      <c r="Z414" s="1247">
        <f t="shared" si="147"/>
        <v>0</v>
      </c>
      <c r="AA414" s="1247">
        <f t="shared" si="147"/>
        <v>0</v>
      </c>
      <c r="AB414" s="1247">
        <f t="shared" si="147"/>
        <v>0</v>
      </c>
      <c r="AC414" s="1247">
        <f t="shared" si="147"/>
        <v>0</v>
      </c>
      <c r="AD414" s="1247">
        <f t="shared" si="147"/>
        <v>0</v>
      </c>
      <c r="AE414" s="1247">
        <f t="shared" si="147"/>
        <v>0</v>
      </c>
      <c r="AF414" s="1247">
        <f t="shared" si="147"/>
        <v>0</v>
      </c>
      <c r="AG414" s="1247">
        <f t="shared" si="147"/>
        <v>0</v>
      </c>
      <c r="AH414" s="1247">
        <f t="shared" si="147"/>
        <v>0</v>
      </c>
      <c r="AI414" s="1247">
        <f t="shared" si="147"/>
        <v>0</v>
      </c>
      <c r="AJ414" s="1247">
        <f t="shared" si="147"/>
        <v>0</v>
      </c>
      <c r="AK414" s="1247">
        <f t="shared" si="147"/>
        <v>0</v>
      </c>
      <c r="AL414" s="1247">
        <f t="shared" si="147"/>
        <v>0</v>
      </c>
      <c r="AM414" s="1247">
        <f t="shared" si="147"/>
        <v>0</v>
      </c>
      <c r="AN414" s="1247">
        <f t="shared" si="147"/>
        <v>0</v>
      </c>
      <c r="AO414" s="1247">
        <f t="shared" si="147"/>
        <v>0</v>
      </c>
      <c r="AP414" s="1247">
        <f t="shared" si="147"/>
        <v>0</v>
      </c>
      <c r="AQ414" s="1247">
        <f t="shared" si="147"/>
        <v>0</v>
      </c>
      <c r="AR414" s="1247">
        <f t="shared" si="147"/>
        <v>0</v>
      </c>
      <c r="AS414" s="1247">
        <f t="shared" si="147"/>
        <v>0</v>
      </c>
      <c r="AT414" s="1247">
        <f t="shared" si="147"/>
        <v>0</v>
      </c>
      <c r="AU414" s="1247">
        <f t="shared" si="147"/>
        <v>0</v>
      </c>
      <c r="AV414" s="1247">
        <f t="shared" si="147"/>
        <v>0</v>
      </c>
      <c r="AW414" s="1247">
        <f t="shared" si="147"/>
        <v>0</v>
      </c>
      <c r="AX414" s="1247">
        <f t="shared" si="147"/>
        <v>0</v>
      </c>
      <c r="AY414" s="1247">
        <f t="shared" si="147"/>
        <v>0</v>
      </c>
      <c r="AZ414" s="1247">
        <f t="shared" si="147"/>
        <v>0</v>
      </c>
      <c r="BA414" s="1247">
        <f t="shared" si="147"/>
        <v>0</v>
      </c>
      <c r="BB414" s="1247">
        <f t="shared" si="147"/>
        <v>0</v>
      </c>
      <c r="BC414" s="1247">
        <f t="shared" si="147"/>
        <v>0</v>
      </c>
      <c r="BD414" s="1247">
        <f t="shared" si="147"/>
        <v>0</v>
      </c>
      <c r="BE414" s="1248">
        <f t="shared" si="147"/>
        <v>0</v>
      </c>
      <c r="BF414" s="1299"/>
    </row>
    <row r="415" spans="2:58" x14ac:dyDescent="0.25">
      <c r="B415" s="254"/>
      <c r="C415" s="255"/>
      <c r="D415" s="255"/>
      <c r="E415" s="255"/>
      <c r="F415" s="255"/>
      <c r="G415" s="1247"/>
      <c r="H415" s="1247"/>
      <c r="I415" s="1247"/>
      <c r="J415" s="1247"/>
      <c r="K415" s="1247"/>
      <c r="L415" s="1247"/>
      <c r="M415" s="1247"/>
      <c r="N415" s="1247"/>
      <c r="O415" s="1247"/>
      <c r="P415" s="1247"/>
      <c r="Q415" s="1247"/>
      <c r="R415" s="1247"/>
      <c r="S415" s="1247"/>
      <c r="T415" s="1247"/>
      <c r="U415" s="1247"/>
      <c r="V415" s="1247"/>
      <c r="W415" s="1247"/>
      <c r="X415" s="1247"/>
      <c r="Y415" s="1247"/>
      <c r="Z415" s="1247"/>
      <c r="AA415" s="1247"/>
      <c r="AB415" s="1247"/>
      <c r="AC415" s="1247"/>
      <c r="AD415" s="1247"/>
      <c r="AE415" s="1247"/>
      <c r="AF415" s="1247"/>
      <c r="AG415" s="1247"/>
      <c r="AH415" s="1247"/>
      <c r="AI415" s="1247"/>
      <c r="AJ415" s="1247"/>
      <c r="AK415" s="1247"/>
      <c r="AL415" s="1247"/>
      <c r="AM415" s="1247"/>
      <c r="AN415" s="1247"/>
      <c r="AO415" s="1247"/>
      <c r="AP415" s="1247"/>
      <c r="AQ415" s="1247"/>
      <c r="AR415" s="1247"/>
      <c r="AS415" s="1247"/>
      <c r="AT415" s="1247"/>
      <c r="AU415" s="1247"/>
      <c r="AV415" s="1247"/>
      <c r="AW415" s="1247"/>
      <c r="AX415" s="1247"/>
      <c r="AY415" s="1247"/>
      <c r="AZ415" s="1247"/>
      <c r="BA415" s="1247"/>
      <c r="BB415" s="1247"/>
      <c r="BC415" s="1247"/>
      <c r="BD415" s="1247"/>
      <c r="BE415" s="1248"/>
      <c r="BF415" s="1299"/>
    </row>
    <row r="416" spans="2:58" x14ac:dyDescent="0.25">
      <c r="B416" s="254"/>
      <c r="C416" s="391" t="s">
        <v>71</v>
      </c>
      <c r="D416" s="255"/>
      <c r="E416" s="255"/>
      <c r="F416" s="255"/>
      <c r="G416" s="1247"/>
      <c r="H416" s="1247"/>
      <c r="I416" s="1247"/>
      <c r="J416" s="1247"/>
      <c r="K416" s="1247"/>
      <c r="L416" s="1247"/>
      <c r="M416" s="1247"/>
      <c r="N416" s="1247"/>
      <c r="O416" s="1247"/>
      <c r="P416" s="1247"/>
      <c r="Q416" s="1247"/>
      <c r="R416" s="1247"/>
      <c r="S416" s="1247"/>
      <c r="T416" s="1247"/>
      <c r="U416" s="1247"/>
      <c r="V416" s="1247"/>
      <c r="W416" s="1247"/>
      <c r="X416" s="1247"/>
      <c r="Y416" s="1247"/>
      <c r="Z416" s="1247"/>
      <c r="AA416" s="1247"/>
      <c r="AB416" s="1247"/>
      <c r="AC416" s="1247"/>
      <c r="AD416" s="1247"/>
      <c r="AE416" s="1247"/>
      <c r="AF416" s="1247"/>
      <c r="AG416" s="1247"/>
      <c r="AH416" s="1247"/>
      <c r="AI416" s="1247"/>
      <c r="AJ416" s="1247"/>
      <c r="AK416" s="1247"/>
      <c r="AL416" s="1247"/>
      <c r="AM416" s="1247"/>
      <c r="AN416" s="1247"/>
      <c r="AO416" s="1247"/>
      <c r="AP416" s="1247"/>
      <c r="AQ416" s="1247"/>
      <c r="AR416" s="1247"/>
      <c r="AS416" s="1247"/>
      <c r="AT416" s="1247"/>
      <c r="AU416" s="1247"/>
      <c r="AV416" s="1247"/>
      <c r="AW416" s="1247"/>
      <c r="AX416" s="1247"/>
      <c r="AY416" s="1247"/>
      <c r="AZ416" s="1247"/>
      <c r="BA416" s="1247"/>
      <c r="BB416" s="1247"/>
      <c r="BC416" s="1247"/>
      <c r="BD416" s="1247"/>
      <c r="BE416" s="1248"/>
      <c r="BF416" s="1299"/>
    </row>
    <row r="417" spans="2:58" x14ac:dyDescent="0.25">
      <c r="B417" s="254"/>
      <c r="C417" s="255" t="s">
        <v>234</v>
      </c>
      <c r="D417" s="255"/>
      <c r="E417" s="255"/>
      <c r="F417" s="255"/>
      <c r="G417" s="1247"/>
      <c r="H417" s="1247">
        <f>IF($G399&gt;0, $G399*'II. Inputs, Baseline Energy Mix'!$O$74/10000,0)</f>
        <v>0</v>
      </c>
      <c r="I417" s="1247">
        <v>0</v>
      </c>
      <c r="J417" s="1247">
        <v>0</v>
      </c>
      <c r="K417" s="1247">
        <v>0</v>
      </c>
      <c r="L417" s="1247">
        <v>0</v>
      </c>
      <c r="M417" s="1247">
        <v>0</v>
      </c>
      <c r="N417" s="1247">
        <v>0</v>
      </c>
      <c r="O417" s="1247">
        <v>0</v>
      </c>
      <c r="P417" s="1247">
        <v>0</v>
      </c>
      <c r="Q417" s="1247">
        <v>0</v>
      </c>
      <c r="R417" s="1247">
        <v>0</v>
      </c>
      <c r="S417" s="1247">
        <v>0</v>
      </c>
      <c r="T417" s="1247">
        <v>0</v>
      </c>
      <c r="U417" s="1247">
        <v>0</v>
      </c>
      <c r="V417" s="1247">
        <v>0</v>
      </c>
      <c r="W417" s="1247">
        <v>0</v>
      </c>
      <c r="X417" s="1247">
        <v>0</v>
      </c>
      <c r="Y417" s="1247">
        <v>0</v>
      </c>
      <c r="Z417" s="1247">
        <v>0</v>
      </c>
      <c r="AA417" s="1247">
        <v>0</v>
      </c>
      <c r="AB417" s="1247">
        <v>0</v>
      </c>
      <c r="AC417" s="1247">
        <v>0</v>
      </c>
      <c r="AD417" s="1247">
        <v>0</v>
      </c>
      <c r="AE417" s="1247">
        <v>0</v>
      </c>
      <c r="AF417" s="1247">
        <v>0</v>
      </c>
      <c r="AG417" s="1247">
        <v>0</v>
      </c>
      <c r="AH417" s="1247">
        <v>0</v>
      </c>
      <c r="AI417" s="1247">
        <v>0</v>
      </c>
      <c r="AJ417" s="1247">
        <v>0</v>
      </c>
      <c r="AK417" s="1247">
        <v>0</v>
      </c>
      <c r="AL417" s="1247">
        <v>0</v>
      </c>
      <c r="AM417" s="1247">
        <v>0</v>
      </c>
      <c r="AN417" s="1247">
        <v>0</v>
      </c>
      <c r="AO417" s="1247">
        <v>0</v>
      </c>
      <c r="AP417" s="1247">
        <v>0</v>
      </c>
      <c r="AQ417" s="1247">
        <v>0</v>
      </c>
      <c r="AR417" s="1247">
        <v>0</v>
      </c>
      <c r="AS417" s="1247">
        <v>0</v>
      </c>
      <c r="AT417" s="1247">
        <v>0</v>
      </c>
      <c r="AU417" s="1247">
        <v>0</v>
      </c>
      <c r="AV417" s="1247">
        <v>0</v>
      </c>
      <c r="AW417" s="1247">
        <v>0</v>
      </c>
      <c r="AX417" s="1247">
        <v>0</v>
      </c>
      <c r="AY417" s="1247">
        <v>0</v>
      </c>
      <c r="AZ417" s="1247">
        <v>0</v>
      </c>
      <c r="BA417" s="1247">
        <v>0</v>
      </c>
      <c r="BB417" s="1247">
        <v>0</v>
      </c>
      <c r="BC417" s="1247">
        <v>0</v>
      </c>
      <c r="BD417" s="1247">
        <v>0</v>
      </c>
      <c r="BE417" s="1248">
        <v>0</v>
      </c>
      <c r="BF417" s="1299"/>
    </row>
    <row r="418" spans="2:58" x14ac:dyDescent="0.25">
      <c r="B418" s="254"/>
      <c r="C418" s="255" t="str">
        <f>'II. Inputs, Baseline Energy Mix'!$E$77</f>
        <v>Front-end Fee, Public Guarantee</v>
      </c>
      <c r="D418" s="255"/>
      <c r="E418" s="255"/>
      <c r="F418" s="255"/>
      <c r="G418" s="1247"/>
      <c r="H418" s="1247">
        <f>IF($G399&gt;0, $G399*$G402*'II. Inputs, Baseline Energy Mix'!$O$77/10000,0)</f>
        <v>0</v>
      </c>
      <c r="I418" s="1247">
        <v>0</v>
      </c>
      <c r="J418" s="1247">
        <v>0</v>
      </c>
      <c r="K418" s="1247">
        <v>0</v>
      </c>
      <c r="L418" s="1247">
        <v>0</v>
      </c>
      <c r="M418" s="1247">
        <v>0</v>
      </c>
      <c r="N418" s="1247">
        <v>0</v>
      </c>
      <c r="O418" s="1247">
        <v>0</v>
      </c>
      <c r="P418" s="1247">
        <v>0</v>
      </c>
      <c r="Q418" s="1247">
        <v>0</v>
      </c>
      <c r="R418" s="1247">
        <v>0</v>
      </c>
      <c r="S418" s="1247">
        <v>0</v>
      </c>
      <c r="T418" s="1247">
        <v>0</v>
      </c>
      <c r="U418" s="1247">
        <v>0</v>
      </c>
      <c r="V418" s="1247">
        <v>0</v>
      </c>
      <c r="W418" s="1247">
        <v>0</v>
      </c>
      <c r="X418" s="1247">
        <v>0</v>
      </c>
      <c r="Y418" s="1247">
        <v>0</v>
      </c>
      <c r="Z418" s="1247">
        <v>0</v>
      </c>
      <c r="AA418" s="1247">
        <v>0</v>
      </c>
      <c r="AB418" s="1247">
        <v>0</v>
      </c>
      <c r="AC418" s="1247">
        <v>0</v>
      </c>
      <c r="AD418" s="1247">
        <v>0</v>
      </c>
      <c r="AE418" s="1247">
        <v>0</v>
      </c>
      <c r="AF418" s="1247">
        <v>0</v>
      </c>
      <c r="AG418" s="1247">
        <v>0</v>
      </c>
      <c r="AH418" s="1247">
        <v>0</v>
      </c>
      <c r="AI418" s="1247">
        <v>0</v>
      </c>
      <c r="AJ418" s="1247">
        <v>0</v>
      </c>
      <c r="AK418" s="1247">
        <v>0</v>
      </c>
      <c r="AL418" s="1247">
        <v>0</v>
      </c>
      <c r="AM418" s="1247">
        <v>0</v>
      </c>
      <c r="AN418" s="1247">
        <v>0</v>
      </c>
      <c r="AO418" s="1247">
        <v>0</v>
      </c>
      <c r="AP418" s="1247">
        <v>0</v>
      </c>
      <c r="AQ418" s="1247">
        <v>0</v>
      </c>
      <c r="AR418" s="1247">
        <v>0</v>
      </c>
      <c r="AS418" s="1247">
        <v>0</v>
      </c>
      <c r="AT418" s="1247">
        <v>0</v>
      </c>
      <c r="AU418" s="1247">
        <v>0</v>
      </c>
      <c r="AV418" s="1247">
        <v>0</v>
      </c>
      <c r="AW418" s="1247">
        <v>0</v>
      </c>
      <c r="AX418" s="1247">
        <v>0</v>
      </c>
      <c r="AY418" s="1247">
        <v>0</v>
      </c>
      <c r="AZ418" s="1247">
        <v>0</v>
      </c>
      <c r="BA418" s="1247">
        <v>0</v>
      </c>
      <c r="BB418" s="1247">
        <v>0</v>
      </c>
      <c r="BC418" s="1247">
        <v>0</v>
      </c>
      <c r="BD418" s="1247">
        <v>0</v>
      </c>
      <c r="BE418" s="1248">
        <v>0</v>
      </c>
      <c r="BF418" s="1299"/>
    </row>
    <row r="419" spans="2:58" x14ac:dyDescent="0.25">
      <c r="B419" s="254"/>
      <c r="C419" s="255" t="str">
        <f>'II. Inputs, Baseline Energy Mix'!$E$78</f>
        <v xml:space="preserve">Annual Public Guarantee Fee </v>
      </c>
      <c r="D419" s="255"/>
      <c r="E419" s="255"/>
      <c r="F419" s="255"/>
      <c r="G419" s="1247"/>
      <c r="H419" s="1247">
        <f>IF(H$299&gt;$G403,0,((H411+H414)/2)*$G402*'II. Inputs, Baseline Energy Mix'!$O$78/10000)</f>
        <v>0</v>
      </c>
      <c r="I419" s="1247">
        <f>IF(I$299&gt;$G403,0,((I411+I414)/2)*$G402*'II. Inputs, Baseline Energy Mix'!$O$78/10000)</f>
        <v>0</v>
      </c>
      <c r="J419" s="1247">
        <f>IF(J$299&gt;$G403,0,((J411+J414)/2)*$G402*'II. Inputs, Baseline Energy Mix'!$O$78/10000)</f>
        <v>0</v>
      </c>
      <c r="K419" s="1247">
        <f>IF(K$299&gt;$G403,0,((K411+K414)/2)*$G402*'II. Inputs, Baseline Energy Mix'!$O$78/10000)</f>
        <v>0</v>
      </c>
      <c r="L419" s="1247">
        <f>IF(L$299&gt;$G403,0,((L411+L414)/2)*$G402*'II. Inputs, Baseline Energy Mix'!$O$78/10000)</f>
        <v>0</v>
      </c>
      <c r="M419" s="1247">
        <f>IF(M$299&gt;$G403,0,((M411+M414)/2)*$G402*'II. Inputs, Baseline Energy Mix'!$O$78/10000)</f>
        <v>0</v>
      </c>
      <c r="N419" s="1247">
        <f>IF(N$299&gt;$G403,0,((N411+N414)/2)*$G402*'II. Inputs, Baseline Energy Mix'!$O$78/10000)</f>
        <v>0</v>
      </c>
      <c r="O419" s="1247">
        <f>IF(O$299&gt;$G403,0,((O411+O414)/2)*$G402*'II. Inputs, Baseline Energy Mix'!$O$78/10000)</f>
        <v>0</v>
      </c>
      <c r="P419" s="1247">
        <f>IF(P$299&gt;$G403,0,((P411+P414)/2)*$G402*'II. Inputs, Baseline Energy Mix'!$O$78/10000)</f>
        <v>0</v>
      </c>
      <c r="Q419" s="1247">
        <f>IF(Q$299&gt;$G403,0,((Q411+Q414)/2)*$G402*'II. Inputs, Baseline Energy Mix'!$O$78/10000)</f>
        <v>0</v>
      </c>
      <c r="R419" s="1247">
        <f>IF(R$299&gt;$G403,0,((R411+R414)/2)*$G402*'II. Inputs, Baseline Energy Mix'!$O$78/10000)</f>
        <v>0</v>
      </c>
      <c r="S419" s="1247">
        <f>IF(S$299&gt;$G403,0,((S411+S414)/2)*$G402*'II. Inputs, Baseline Energy Mix'!$O$78/10000)</f>
        <v>0</v>
      </c>
      <c r="T419" s="1247">
        <f>IF(T$299&gt;$G403,0,((T411+T414)/2)*$G402*'II. Inputs, Baseline Energy Mix'!$O$78/10000)</f>
        <v>0</v>
      </c>
      <c r="U419" s="1247">
        <f>IF(U$299&gt;$G403,0,((U411+U414)/2)*$G402*'II. Inputs, Baseline Energy Mix'!$O$78/10000)</f>
        <v>0</v>
      </c>
      <c r="V419" s="1247">
        <f>IF(V$299&gt;$G403,0,((V411+V414)/2)*$G402*'II. Inputs, Baseline Energy Mix'!$O$78/10000)</f>
        <v>0</v>
      </c>
      <c r="W419" s="1247">
        <f>IF(W$299&gt;$G403,0,((W411+W414)/2)*$G402*'II. Inputs, Baseline Energy Mix'!$O$78/10000)</f>
        <v>0</v>
      </c>
      <c r="X419" s="1247">
        <f>IF(X$299&gt;$G403,0,((X411+X414)/2)*$G402*'II. Inputs, Baseline Energy Mix'!$O$78/10000)</f>
        <v>0</v>
      </c>
      <c r="Y419" s="1247">
        <f>IF(Y$299&gt;$G403,0,((Y411+Y414)/2)*$G402*'II. Inputs, Baseline Energy Mix'!$O$78/10000)</f>
        <v>0</v>
      </c>
      <c r="Z419" s="1247">
        <f>IF(Z$299&gt;$G403,0,((Z411+Z414)/2)*$G402*'II. Inputs, Baseline Energy Mix'!$O$78/10000)</f>
        <v>0</v>
      </c>
      <c r="AA419" s="1247">
        <f>IF(AA$299&gt;$G403,0,((AA411+AA414)/2)*$G402*'II. Inputs, Baseline Energy Mix'!$O$78/10000)</f>
        <v>0</v>
      </c>
      <c r="AB419" s="1247">
        <f>IF(AB$299&gt;$G403,0,((AB411+AB414)/2)*$G402*'II. Inputs, Baseline Energy Mix'!$O$78/10000)</f>
        <v>0</v>
      </c>
      <c r="AC419" s="1247">
        <f>IF(AC$299&gt;$G403,0,((AC411+AC414)/2)*$G402*'II. Inputs, Baseline Energy Mix'!$O$78/10000)</f>
        <v>0</v>
      </c>
      <c r="AD419" s="1247">
        <f>IF(AD$299&gt;$G403,0,((AD411+AD414)/2)*$G402*'II. Inputs, Baseline Energy Mix'!$O$78/10000)</f>
        <v>0</v>
      </c>
      <c r="AE419" s="1247">
        <f>IF(AE$299&gt;$G403,0,((AE411+AE414)/2)*$G402*'II. Inputs, Baseline Energy Mix'!$O$78/10000)</f>
        <v>0</v>
      </c>
      <c r="AF419" s="1247">
        <f>IF(AF$299&gt;$G403,0,((AF411+AF414)/2)*$G402*'II. Inputs, Baseline Energy Mix'!$O$78/10000)</f>
        <v>0</v>
      </c>
      <c r="AG419" s="1247">
        <f>IF(AG$299&gt;$G403,0,((AG411+AG414)/2)*$G402*'II. Inputs, Baseline Energy Mix'!$O$78/10000)</f>
        <v>0</v>
      </c>
      <c r="AH419" s="1247">
        <f>IF(AH$299&gt;$G403,0,((AH411+AH414)/2)*$G402*'II. Inputs, Baseline Energy Mix'!$O$78/10000)</f>
        <v>0</v>
      </c>
      <c r="AI419" s="1247">
        <f>IF(AI$299&gt;$G403,0,((AI411+AI414)/2)*$G402*'II. Inputs, Baseline Energy Mix'!$O$78/10000)</f>
        <v>0</v>
      </c>
      <c r="AJ419" s="1247">
        <f>IF(AJ$299&gt;$G403,0,((AJ411+AJ414)/2)*$G402*'II. Inputs, Baseline Energy Mix'!$O$78/10000)</f>
        <v>0</v>
      </c>
      <c r="AK419" s="1247">
        <f>IF(AK$299&gt;$G403,0,((AK411+AK414)/2)*$G402*'II. Inputs, Baseline Energy Mix'!$O$78/10000)</f>
        <v>0</v>
      </c>
      <c r="AL419" s="1247">
        <f>IF(AL$299&gt;$G403,0,((AL411+AL414)/2)*$G402*'II. Inputs, Baseline Energy Mix'!$O$78/10000)</f>
        <v>0</v>
      </c>
      <c r="AM419" s="1247">
        <f>IF(AM$299&gt;$G403,0,((AM411+AM414)/2)*$G402*'II. Inputs, Baseline Energy Mix'!$O$78/10000)</f>
        <v>0</v>
      </c>
      <c r="AN419" s="1247">
        <f>IF(AN$299&gt;$G403,0,((AN411+AN414)/2)*$G402*'II. Inputs, Baseline Energy Mix'!$O$78/10000)</f>
        <v>0</v>
      </c>
      <c r="AO419" s="1247">
        <f>IF(AO$299&gt;$G403,0,((AO411+AO414)/2)*$G402*'II. Inputs, Baseline Energy Mix'!$O$78/10000)</f>
        <v>0</v>
      </c>
      <c r="AP419" s="1247">
        <f>IF(AP$299&gt;$G403,0,((AP411+AP414)/2)*$G402*'II. Inputs, Baseline Energy Mix'!$O$78/10000)</f>
        <v>0</v>
      </c>
      <c r="AQ419" s="1247">
        <f>IF(AQ$299&gt;$G403,0,((AQ411+AQ414)/2)*$G402*'II. Inputs, Baseline Energy Mix'!$O$78/10000)</f>
        <v>0</v>
      </c>
      <c r="AR419" s="1247">
        <f>IF(AR$299&gt;$G403,0,((AR411+AR414)/2)*$G402*'II. Inputs, Baseline Energy Mix'!$O$78/10000)</f>
        <v>0</v>
      </c>
      <c r="AS419" s="1247">
        <f>IF(AS$299&gt;$G403,0,((AS411+AS414)/2)*$G402*'II. Inputs, Baseline Energy Mix'!$O$78/10000)</f>
        <v>0</v>
      </c>
      <c r="AT419" s="1247">
        <f>IF(AT$299&gt;$G403,0,((AT411+AT414)/2)*$G402*'II. Inputs, Baseline Energy Mix'!$O$78/10000)</f>
        <v>0</v>
      </c>
      <c r="AU419" s="1247">
        <f>IF(AU$299&gt;$G403,0,((AU411+AU414)/2)*$G402*'II. Inputs, Baseline Energy Mix'!$O$78/10000)</f>
        <v>0</v>
      </c>
      <c r="AV419" s="1247">
        <f>IF(AV$299&gt;$G403,0,((AV411+AV414)/2)*$G402*'II. Inputs, Baseline Energy Mix'!$O$78/10000)</f>
        <v>0</v>
      </c>
      <c r="AW419" s="1247">
        <f>IF(AW$299&gt;$G403,0,((AW411+AW414)/2)*$G402*'II. Inputs, Baseline Energy Mix'!$O$78/10000)</f>
        <v>0</v>
      </c>
      <c r="AX419" s="1247">
        <f>IF(AX$299&gt;$G403,0,((AX411+AX414)/2)*$G402*'II. Inputs, Baseline Energy Mix'!$O$78/10000)</f>
        <v>0</v>
      </c>
      <c r="AY419" s="1247">
        <f>IF(AY$299&gt;$G403,0,((AY411+AY414)/2)*$G402*'II. Inputs, Baseline Energy Mix'!$O$78/10000)</f>
        <v>0</v>
      </c>
      <c r="AZ419" s="1247">
        <f>IF(AZ$299&gt;$G403,0,((AZ411+AZ414)/2)*$G402*'II. Inputs, Baseline Energy Mix'!$O$78/10000)</f>
        <v>0</v>
      </c>
      <c r="BA419" s="1247">
        <f>IF(BA$299&gt;$G403,0,((BA411+BA414)/2)*$G402*'II. Inputs, Baseline Energy Mix'!$O$78/10000)</f>
        <v>0</v>
      </c>
      <c r="BB419" s="1247">
        <f>IF(BB$299&gt;$G403,0,((BB411+BB414)/2)*$G402*'II. Inputs, Baseline Energy Mix'!$O$78/10000)</f>
        <v>0</v>
      </c>
      <c r="BC419" s="1247">
        <f>IF(BC$299&gt;$G403,0,((BC411+BC414)/2)*$G402*'II. Inputs, Baseline Energy Mix'!$O$78/10000)</f>
        <v>0</v>
      </c>
      <c r="BD419" s="1247">
        <f>IF(BD$299&gt;$G403,0,((BD411+BD414)/2)*$G402*'II. Inputs, Baseline Energy Mix'!$O$78/10000)</f>
        <v>0</v>
      </c>
      <c r="BE419" s="1248">
        <f>IF(BE$299&gt;$G403,0,((BE411+BE414)/2)*$G402*'II. Inputs, Baseline Energy Mix'!$O$78/10000)</f>
        <v>0</v>
      </c>
      <c r="BF419" s="1299"/>
    </row>
    <row r="420" spans="2:58" x14ac:dyDescent="0.25">
      <c r="B420" s="254"/>
      <c r="C420" s="255"/>
      <c r="D420" s="255"/>
      <c r="E420" s="255"/>
      <c r="F420" s="255"/>
      <c r="G420" s="255"/>
      <c r="H420" s="255"/>
      <c r="I420" s="255"/>
      <c r="J420" s="255"/>
      <c r="K420" s="255"/>
      <c r="L420" s="255"/>
      <c r="M420" s="255"/>
      <c r="N420" s="255"/>
      <c r="O420" s="255"/>
      <c r="P420" s="255"/>
      <c r="Q420" s="255"/>
      <c r="R420" s="255"/>
      <c r="S420" s="255"/>
      <c r="T420" s="255"/>
      <c r="U420" s="255"/>
      <c r="V420" s="255"/>
      <c r="W420" s="255"/>
      <c r="X420" s="255"/>
      <c r="Y420" s="255"/>
      <c r="Z420" s="255"/>
      <c r="AA420" s="255"/>
      <c r="AB420" s="255"/>
      <c r="AC420" s="255"/>
      <c r="AD420" s="255"/>
      <c r="AE420" s="255"/>
      <c r="AF420" s="255"/>
      <c r="AG420" s="255"/>
      <c r="AH420" s="255"/>
      <c r="AI420" s="255"/>
      <c r="AJ420" s="255"/>
      <c r="AK420" s="255"/>
      <c r="AL420" s="255"/>
      <c r="AM420" s="255"/>
      <c r="AN420" s="255"/>
      <c r="AO420" s="255"/>
      <c r="AP420" s="255"/>
      <c r="AQ420" s="255"/>
      <c r="AR420" s="255"/>
      <c r="AS420" s="255"/>
      <c r="AT420" s="255"/>
      <c r="AU420" s="255"/>
      <c r="AV420" s="255"/>
      <c r="AW420" s="255"/>
      <c r="AX420" s="255"/>
      <c r="AY420" s="255"/>
      <c r="AZ420" s="255"/>
      <c r="BA420" s="255"/>
      <c r="BB420" s="255"/>
      <c r="BC420" s="255"/>
      <c r="BD420" s="255"/>
      <c r="BE420" s="256"/>
    </row>
    <row r="421" spans="2:58" x14ac:dyDescent="0.25">
      <c r="B421" s="266" t="s">
        <v>181</v>
      </c>
      <c r="C421" s="255"/>
      <c r="D421" s="255"/>
      <c r="E421" s="255"/>
      <c r="F421" s="255"/>
      <c r="G421" s="255"/>
      <c r="H421" s="255"/>
      <c r="I421" s="255"/>
      <c r="J421" s="255"/>
      <c r="K421" s="255"/>
      <c r="L421" s="255"/>
      <c r="M421" s="255"/>
      <c r="N421" s="255"/>
      <c r="O421" s="255"/>
      <c r="P421" s="255"/>
      <c r="Q421" s="255"/>
      <c r="R421" s="255"/>
      <c r="S421" s="255"/>
      <c r="T421" s="255"/>
      <c r="U421" s="255"/>
      <c r="V421" s="255"/>
      <c r="W421" s="255"/>
      <c r="X421" s="255"/>
      <c r="Y421" s="255"/>
      <c r="Z421" s="255"/>
      <c r="AA421" s="255"/>
      <c r="AB421" s="255"/>
      <c r="AC421" s="255"/>
      <c r="AD421" s="255"/>
      <c r="AE421" s="255"/>
      <c r="AF421" s="255"/>
      <c r="AG421" s="255"/>
      <c r="AH421" s="255"/>
      <c r="AI421" s="255"/>
      <c r="AJ421" s="255"/>
      <c r="AK421" s="255"/>
      <c r="AL421" s="255"/>
      <c r="AM421" s="255"/>
      <c r="AN421" s="255"/>
      <c r="AO421" s="255"/>
      <c r="AP421" s="255"/>
      <c r="AQ421" s="255"/>
      <c r="AR421" s="255"/>
      <c r="AS421" s="255"/>
      <c r="AT421" s="255"/>
      <c r="AU421" s="255"/>
      <c r="AV421" s="255"/>
      <c r="AW421" s="255"/>
      <c r="AX421" s="255"/>
      <c r="AY421" s="255"/>
      <c r="AZ421" s="255"/>
      <c r="BA421" s="255"/>
      <c r="BB421" s="255"/>
      <c r="BC421" s="255"/>
      <c r="BD421" s="255"/>
      <c r="BE421" s="256"/>
    </row>
    <row r="422" spans="2:58" x14ac:dyDescent="0.25">
      <c r="B422" s="254"/>
      <c r="C422" s="388" t="s">
        <v>68</v>
      </c>
      <c r="D422" s="255"/>
      <c r="E422" s="255"/>
      <c r="F422" s="255"/>
      <c r="G422" s="1247">
        <f>IF('II. Inputs, Baseline Energy Mix'!$O$15&gt;0,('II. Inputs, Baseline Energy Mix'!$O$16*'II. Inputs, Baseline Energy Mix'!$O$17*'II. Inputs, Baseline Energy Mix'!$O$30*'II. Inputs, Baseline Energy Mix'!$O$34),0)</f>
        <v>0</v>
      </c>
      <c r="H422" s="255"/>
      <c r="I422" s="255"/>
      <c r="J422" s="255"/>
      <c r="K422" s="255"/>
      <c r="L422" s="255"/>
      <c r="M422" s="255"/>
      <c r="N422" s="255"/>
      <c r="O422" s="255"/>
      <c r="P422" s="255"/>
      <c r="Q422" s="255"/>
      <c r="R422" s="255"/>
      <c r="S422" s="255"/>
      <c r="T422" s="255"/>
      <c r="U422" s="255"/>
      <c r="V422" s="255"/>
      <c r="W422" s="255"/>
      <c r="X422" s="255"/>
      <c r="Y422" s="255"/>
      <c r="Z422" s="255"/>
      <c r="AA422" s="255"/>
      <c r="AB422" s="255"/>
      <c r="AC422" s="255"/>
      <c r="AD422" s="255"/>
      <c r="AE422" s="255"/>
      <c r="AF422" s="255"/>
      <c r="AG422" s="255"/>
      <c r="AH422" s="255"/>
      <c r="AI422" s="255"/>
      <c r="AJ422" s="255"/>
      <c r="AK422" s="255"/>
      <c r="AL422" s="255"/>
      <c r="AM422" s="255"/>
      <c r="AN422" s="255"/>
      <c r="AO422" s="255"/>
      <c r="AP422" s="255"/>
      <c r="AQ422" s="255"/>
      <c r="AR422" s="255"/>
      <c r="AS422" s="255"/>
      <c r="AT422" s="255"/>
      <c r="AU422" s="255"/>
      <c r="AV422" s="255"/>
      <c r="AW422" s="255"/>
      <c r="AX422" s="255"/>
      <c r="AY422" s="255"/>
      <c r="AZ422" s="255"/>
      <c r="BA422" s="255"/>
      <c r="BB422" s="255"/>
      <c r="BC422" s="255"/>
      <c r="BD422" s="255"/>
      <c r="BE422" s="256"/>
    </row>
    <row r="423" spans="2:58" x14ac:dyDescent="0.25">
      <c r="B423" s="254"/>
      <c r="C423" s="388" t="s">
        <v>69</v>
      </c>
      <c r="D423" s="255"/>
      <c r="E423" s="255"/>
      <c r="F423" s="255"/>
      <c r="G423" s="257">
        <f>SUM('II. Inputs, Baseline Energy Mix'!$O$46)</f>
        <v>0</v>
      </c>
      <c r="H423" s="255"/>
      <c r="I423" s="255"/>
      <c r="J423" s="255"/>
      <c r="K423" s="255"/>
      <c r="L423" s="255"/>
      <c r="M423" s="255"/>
      <c r="N423" s="255"/>
      <c r="O423" s="255"/>
      <c r="P423" s="255"/>
      <c r="Q423" s="255"/>
      <c r="R423" s="255"/>
      <c r="S423" s="255"/>
      <c r="T423" s="255"/>
      <c r="U423" s="255"/>
      <c r="V423" s="255"/>
      <c r="W423" s="255"/>
      <c r="X423" s="255"/>
      <c r="Y423" s="255"/>
      <c r="Z423" s="255"/>
      <c r="AA423" s="255"/>
      <c r="AB423" s="255"/>
      <c r="AC423" s="255"/>
      <c r="AD423" s="255"/>
      <c r="AE423" s="255"/>
      <c r="AF423" s="255"/>
      <c r="AG423" s="255"/>
      <c r="AH423" s="255"/>
      <c r="AI423" s="255"/>
      <c r="AJ423" s="255"/>
      <c r="AK423" s="255"/>
      <c r="AL423" s="255"/>
      <c r="AM423" s="255"/>
      <c r="AN423" s="255"/>
      <c r="AO423" s="255"/>
      <c r="AP423" s="255"/>
      <c r="AQ423" s="255"/>
      <c r="AR423" s="255"/>
      <c r="AS423" s="255"/>
      <c r="AT423" s="255"/>
      <c r="AU423" s="255"/>
      <c r="AV423" s="255"/>
      <c r="AW423" s="255"/>
      <c r="AX423" s="255"/>
      <c r="AY423" s="255"/>
      <c r="AZ423" s="255"/>
      <c r="BA423" s="255"/>
      <c r="BB423" s="255"/>
      <c r="BC423" s="255"/>
      <c r="BD423" s="255"/>
      <c r="BE423" s="256"/>
    </row>
    <row r="424" spans="2:58" x14ac:dyDescent="0.25">
      <c r="B424" s="254"/>
      <c r="C424" s="388" t="s">
        <v>70</v>
      </c>
      <c r="D424" s="255"/>
      <c r="E424" s="255"/>
      <c r="F424" s="255"/>
      <c r="G424" s="392">
        <f>SUM('II. Inputs, Baseline Energy Mix'!$O$41)</f>
        <v>0</v>
      </c>
      <c r="H424" s="255"/>
      <c r="I424" s="255"/>
      <c r="J424" s="255"/>
      <c r="K424" s="255"/>
      <c r="L424" s="255"/>
      <c r="M424" s="255"/>
      <c r="N424" s="255"/>
      <c r="O424" s="255"/>
      <c r="P424" s="255"/>
      <c r="Q424" s="255"/>
      <c r="R424" s="255"/>
      <c r="S424" s="255"/>
      <c r="T424" s="255"/>
      <c r="U424" s="255"/>
      <c r="V424" s="255"/>
      <c r="W424" s="255"/>
      <c r="X424" s="255"/>
      <c r="Y424" s="255"/>
      <c r="Z424" s="255"/>
      <c r="AA424" s="255"/>
      <c r="AB424" s="255"/>
      <c r="AC424" s="255"/>
      <c r="AD424" s="255"/>
      <c r="AE424" s="255"/>
      <c r="AF424" s="255"/>
      <c r="AG424" s="255"/>
      <c r="AH424" s="255"/>
      <c r="AI424" s="255"/>
      <c r="AJ424" s="255"/>
      <c r="AK424" s="255"/>
      <c r="AL424" s="255"/>
      <c r="AM424" s="255"/>
      <c r="AN424" s="255"/>
      <c r="AO424" s="255"/>
      <c r="AP424" s="255"/>
      <c r="AQ424" s="255"/>
      <c r="AR424" s="255"/>
      <c r="AS424" s="255"/>
      <c r="AT424" s="255"/>
      <c r="AU424" s="255"/>
      <c r="AV424" s="255"/>
      <c r="AW424" s="255"/>
      <c r="AX424" s="255"/>
      <c r="AY424" s="255"/>
      <c r="AZ424" s="255"/>
      <c r="BA424" s="255"/>
      <c r="BB424" s="255"/>
      <c r="BC424" s="255"/>
      <c r="BD424" s="255"/>
      <c r="BE424" s="256"/>
    </row>
    <row r="425" spans="2:58" x14ac:dyDescent="0.25">
      <c r="B425" s="254"/>
      <c r="C425" s="255"/>
      <c r="D425" s="255"/>
      <c r="E425" s="255"/>
      <c r="F425" s="255"/>
      <c r="G425" s="255"/>
      <c r="H425" s="255"/>
      <c r="I425" s="255"/>
      <c r="J425" s="255"/>
      <c r="K425" s="255"/>
      <c r="L425" s="255"/>
      <c r="M425" s="255"/>
      <c r="N425" s="255"/>
      <c r="O425" s="255"/>
      <c r="P425" s="255"/>
      <c r="Q425" s="255"/>
      <c r="R425" s="255"/>
      <c r="S425" s="255"/>
      <c r="T425" s="255"/>
      <c r="U425" s="255"/>
      <c r="V425" s="255"/>
      <c r="W425" s="255"/>
      <c r="X425" s="255"/>
      <c r="Y425" s="255"/>
      <c r="Z425" s="255"/>
      <c r="AA425" s="255"/>
      <c r="AB425" s="255"/>
      <c r="AC425" s="255"/>
      <c r="AD425" s="255"/>
      <c r="AE425" s="255"/>
      <c r="AF425" s="255"/>
      <c r="AG425" s="255"/>
      <c r="AH425" s="255"/>
      <c r="AI425" s="255"/>
      <c r="AJ425" s="255"/>
      <c r="AK425" s="255"/>
      <c r="AL425" s="255"/>
      <c r="AM425" s="255"/>
      <c r="AN425" s="255"/>
      <c r="AO425" s="255"/>
      <c r="AP425" s="255"/>
      <c r="AQ425" s="255"/>
      <c r="AR425" s="255"/>
      <c r="AS425" s="255"/>
      <c r="AT425" s="255"/>
      <c r="AU425" s="255"/>
      <c r="AV425" s="255"/>
      <c r="AW425" s="255"/>
      <c r="AX425" s="255"/>
      <c r="AY425" s="255"/>
      <c r="AZ425" s="255"/>
      <c r="BA425" s="255"/>
      <c r="BB425" s="255"/>
      <c r="BC425" s="255"/>
      <c r="BD425" s="255"/>
      <c r="BE425" s="256"/>
    </row>
    <row r="426" spans="2:58" x14ac:dyDescent="0.25">
      <c r="B426" s="254"/>
      <c r="C426" s="390" t="s">
        <v>67</v>
      </c>
      <c r="D426" s="255"/>
      <c r="E426" s="255"/>
      <c r="F426" s="255"/>
      <c r="G426" s="255"/>
      <c r="H426" s="255"/>
      <c r="I426" s="255"/>
      <c r="J426" s="255"/>
      <c r="K426" s="255"/>
      <c r="L426" s="255"/>
      <c r="M426" s="255"/>
      <c r="N426" s="255"/>
      <c r="O426" s="255"/>
      <c r="P426" s="255"/>
      <c r="Q426" s="255"/>
      <c r="R426" s="255"/>
      <c r="S426" s="255"/>
      <c r="T426" s="255"/>
      <c r="U426" s="255"/>
      <c r="V426" s="255"/>
      <c r="W426" s="255"/>
      <c r="X426" s="255"/>
      <c r="Y426" s="255"/>
      <c r="Z426" s="255"/>
      <c r="AA426" s="255"/>
      <c r="AB426" s="255"/>
      <c r="AC426" s="255"/>
      <c r="AD426" s="255"/>
      <c r="AE426" s="255"/>
      <c r="AF426" s="255"/>
      <c r="AG426" s="255"/>
      <c r="AH426" s="255"/>
      <c r="AI426" s="255"/>
      <c r="AJ426" s="255"/>
      <c r="AK426" s="255"/>
      <c r="AL426" s="255"/>
      <c r="AM426" s="255"/>
      <c r="AN426" s="255"/>
      <c r="AO426" s="255"/>
      <c r="AP426" s="255"/>
      <c r="AQ426" s="255"/>
      <c r="AR426" s="255"/>
      <c r="AS426" s="255"/>
      <c r="AT426" s="255"/>
      <c r="AU426" s="255"/>
      <c r="AV426" s="255"/>
      <c r="AW426" s="255"/>
      <c r="AX426" s="255"/>
      <c r="AY426" s="255"/>
      <c r="AZ426" s="255"/>
      <c r="BA426" s="255"/>
      <c r="BB426" s="255"/>
      <c r="BC426" s="255"/>
      <c r="BD426" s="255"/>
      <c r="BE426" s="256"/>
    </row>
    <row r="427" spans="2:58" x14ac:dyDescent="0.25">
      <c r="B427" s="254"/>
      <c r="C427" s="255" t="s">
        <v>73</v>
      </c>
      <c r="D427" s="255"/>
      <c r="E427" s="255"/>
      <c r="F427" s="255"/>
      <c r="G427" s="1247"/>
      <c r="H427" s="1247">
        <f>IF(H$299&gt;$G423,0,IPMT($G424,H$299,$G423,-$G422))</f>
        <v>0</v>
      </c>
      <c r="I427" s="1247">
        <f t="shared" ref="I427:BE427" si="148">IF(I$299&gt;$G423,0,IPMT($G424,I$299,$G423,-$G422))</f>
        <v>0</v>
      </c>
      <c r="J427" s="1247">
        <f t="shared" si="148"/>
        <v>0</v>
      </c>
      <c r="K427" s="1247">
        <f t="shared" si="148"/>
        <v>0</v>
      </c>
      <c r="L427" s="1247">
        <f t="shared" si="148"/>
        <v>0</v>
      </c>
      <c r="M427" s="1247">
        <f t="shared" si="148"/>
        <v>0</v>
      </c>
      <c r="N427" s="1247">
        <f t="shared" si="148"/>
        <v>0</v>
      </c>
      <c r="O427" s="1247">
        <f t="shared" si="148"/>
        <v>0</v>
      </c>
      <c r="P427" s="1247">
        <f t="shared" si="148"/>
        <v>0</v>
      </c>
      <c r="Q427" s="1247">
        <f t="shared" si="148"/>
        <v>0</v>
      </c>
      <c r="R427" s="1247">
        <f t="shared" si="148"/>
        <v>0</v>
      </c>
      <c r="S427" s="1247">
        <f t="shared" si="148"/>
        <v>0</v>
      </c>
      <c r="T427" s="1247">
        <f t="shared" si="148"/>
        <v>0</v>
      </c>
      <c r="U427" s="1247">
        <f t="shared" si="148"/>
        <v>0</v>
      </c>
      <c r="V427" s="1247">
        <f t="shared" si="148"/>
        <v>0</v>
      </c>
      <c r="W427" s="1247">
        <f t="shared" si="148"/>
        <v>0</v>
      </c>
      <c r="X427" s="1247">
        <f t="shared" si="148"/>
        <v>0</v>
      </c>
      <c r="Y427" s="1247">
        <f t="shared" si="148"/>
        <v>0</v>
      </c>
      <c r="Z427" s="1247">
        <f t="shared" si="148"/>
        <v>0</v>
      </c>
      <c r="AA427" s="1247">
        <f t="shared" si="148"/>
        <v>0</v>
      </c>
      <c r="AB427" s="1247">
        <f t="shared" si="148"/>
        <v>0</v>
      </c>
      <c r="AC427" s="1247">
        <f t="shared" si="148"/>
        <v>0</v>
      </c>
      <c r="AD427" s="1247">
        <f t="shared" si="148"/>
        <v>0</v>
      </c>
      <c r="AE427" s="1247">
        <f t="shared" si="148"/>
        <v>0</v>
      </c>
      <c r="AF427" s="1247">
        <f t="shared" si="148"/>
        <v>0</v>
      </c>
      <c r="AG427" s="1247">
        <f t="shared" si="148"/>
        <v>0</v>
      </c>
      <c r="AH427" s="1247">
        <f t="shared" si="148"/>
        <v>0</v>
      </c>
      <c r="AI427" s="1247">
        <f t="shared" si="148"/>
        <v>0</v>
      </c>
      <c r="AJ427" s="1247">
        <f t="shared" si="148"/>
        <v>0</v>
      </c>
      <c r="AK427" s="1247">
        <f t="shared" si="148"/>
        <v>0</v>
      </c>
      <c r="AL427" s="1247">
        <f t="shared" si="148"/>
        <v>0</v>
      </c>
      <c r="AM427" s="1247">
        <f t="shared" si="148"/>
        <v>0</v>
      </c>
      <c r="AN427" s="1247">
        <f t="shared" si="148"/>
        <v>0</v>
      </c>
      <c r="AO427" s="1247">
        <f t="shared" si="148"/>
        <v>0</v>
      </c>
      <c r="AP427" s="1247">
        <f t="shared" si="148"/>
        <v>0</v>
      </c>
      <c r="AQ427" s="1247">
        <f t="shared" si="148"/>
        <v>0</v>
      </c>
      <c r="AR427" s="1247">
        <f t="shared" si="148"/>
        <v>0</v>
      </c>
      <c r="AS427" s="1247">
        <f t="shared" si="148"/>
        <v>0</v>
      </c>
      <c r="AT427" s="1247">
        <f t="shared" si="148"/>
        <v>0</v>
      </c>
      <c r="AU427" s="1247">
        <f t="shared" si="148"/>
        <v>0</v>
      </c>
      <c r="AV427" s="1247">
        <f t="shared" si="148"/>
        <v>0</v>
      </c>
      <c r="AW427" s="1247">
        <f t="shared" si="148"/>
        <v>0</v>
      </c>
      <c r="AX427" s="1247">
        <f t="shared" si="148"/>
        <v>0</v>
      </c>
      <c r="AY427" s="1247">
        <f t="shared" si="148"/>
        <v>0</v>
      </c>
      <c r="AZ427" s="1247">
        <f t="shared" si="148"/>
        <v>0</v>
      </c>
      <c r="BA427" s="1247">
        <f t="shared" si="148"/>
        <v>0</v>
      </c>
      <c r="BB427" s="1247">
        <f t="shared" si="148"/>
        <v>0</v>
      </c>
      <c r="BC427" s="1247">
        <f t="shared" si="148"/>
        <v>0</v>
      </c>
      <c r="BD427" s="1247">
        <f t="shared" si="148"/>
        <v>0</v>
      </c>
      <c r="BE427" s="1248">
        <f t="shared" si="148"/>
        <v>0</v>
      </c>
    </row>
    <row r="428" spans="2:58" x14ac:dyDescent="0.25">
      <c r="B428" s="254"/>
      <c r="C428" s="262" t="s">
        <v>72</v>
      </c>
      <c r="D428" s="262"/>
      <c r="E428" s="262"/>
      <c r="F428" s="262"/>
      <c r="G428" s="1249"/>
      <c r="H428" s="1249">
        <f>IF(H$299&gt;$G423,0,PPMT($G424,H$299,$G423,-$G422))</f>
        <v>0</v>
      </c>
      <c r="I428" s="1249">
        <f t="shared" ref="I428:BE428" si="149">IF(I$299&gt;$G423,0,PPMT($G424,I$299,$G423,-$G422))</f>
        <v>0</v>
      </c>
      <c r="J428" s="1249">
        <f t="shared" si="149"/>
        <v>0</v>
      </c>
      <c r="K428" s="1249">
        <f t="shared" si="149"/>
        <v>0</v>
      </c>
      <c r="L428" s="1249">
        <f t="shared" si="149"/>
        <v>0</v>
      </c>
      <c r="M428" s="1249">
        <f t="shared" si="149"/>
        <v>0</v>
      </c>
      <c r="N428" s="1249">
        <f t="shared" si="149"/>
        <v>0</v>
      </c>
      <c r="O428" s="1249">
        <f t="shared" si="149"/>
        <v>0</v>
      </c>
      <c r="P428" s="1249">
        <f t="shared" si="149"/>
        <v>0</v>
      </c>
      <c r="Q428" s="1249">
        <f t="shared" si="149"/>
        <v>0</v>
      </c>
      <c r="R428" s="1249">
        <f t="shared" si="149"/>
        <v>0</v>
      </c>
      <c r="S428" s="1249">
        <f t="shared" si="149"/>
        <v>0</v>
      </c>
      <c r="T428" s="1249">
        <f t="shared" si="149"/>
        <v>0</v>
      </c>
      <c r="U428" s="1249">
        <f t="shared" si="149"/>
        <v>0</v>
      </c>
      <c r="V428" s="1249">
        <f t="shared" si="149"/>
        <v>0</v>
      </c>
      <c r="W428" s="1249">
        <f t="shared" si="149"/>
        <v>0</v>
      </c>
      <c r="X428" s="1249">
        <f t="shared" si="149"/>
        <v>0</v>
      </c>
      <c r="Y428" s="1249">
        <f t="shared" si="149"/>
        <v>0</v>
      </c>
      <c r="Z428" s="1249">
        <f t="shared" si="149"/>
        <v>0</v>
      </c>
      <c r="AA428" s="1249">
        <f t="shared" si="149"/>
        <v>0</v>
      </c>
      <c r="AB428" s="1249">
        <f t="shared" si="149"/>
        <v>0</v>
      </c>
      <c r="AC428" s="1249">
        <f t="shared" si="149"/>
        <v>0</v>
      </c>
      <c r="AD428" s="1249">
        <f t="shared" si="149"/>
        <v>0</v>
      </c>
      <c r="AE428" s="1249">
        <f t="shared" si="149"/>
        <v>0</v>
      </c>
      <c r="AF428" s="1249">
        <f t="shared" si="149"/>
        <v>0</v>
      </c>
      <c r="AG428" s="1249">
        <f t="shared" si="149"/>
        <v>0</v>
      </c>
      <c r="AH428" s="1249">
        <f t="shared" si="149"/>
        <v>0</v>
      </c>
      <c r="AI428" s="1249">
        <f t="shared" si="149"/>
        <v>0</v>
      </c>
      <c r="AJ428" s="1249">
        <f t="shared" si="149"/>
        <v>0</v>
      </c>
      <c r="AK428" s="1249">
        <f t="shared" si="149"/>
        <v>0</v>
      </c>
      <c r="AL428" s="1249">
        <f t="shared" si="149"/>
        <v>0</v>
      </c>
      <c r="AM428" s="1249">
        <f t="shared" si="149"/>
        <v>0</v>
      </c>
      <c r="AN428" s="1249">
        <f t="shared" si="149"/>
        <v>0</v>
      </c>
      <c r="AO428" s="1249">
        <f t="shared" si="149"/>
        <v>0</v>
      </c>
      <c r="AP428" s="1249">
        <f t="shared" si="149"/>
        <v>0</v>
      </c>
      <c r="AQ428" s="1249">
        <f t="shared" si="149"/>
        <v>0</v>
      </c>
      <c r="AR428" s="1249">
        <f t="shared" si="149"/>
        <v>0</v>
      </c>
      <c r="AS428" s="1249">
        <f t="shared" si="149"/>
        <v>0</v>
      </c>
      <c r="AT428" s="1249">
        <f t="shared" si="149"/>
        <v>0</v>
      </c>
      <c r="AU428" s="1249">
        <f t="shared" si="149"/>
        <v>0</v>
      </c>
      <c r="AV428" s="1249">
        <f t="shared" si="149"/>
        <v>0</v>
      </c>
      <c r="AW428" s="1249">
        <f t="shared" si="149"/>
        <v>0</v>
      </c>
      <c r="AX428" s="1249">
        <f t="shared" si="149"/>
        <v>0</v>
      </c>
      <c r="AY428" s="1249">
        <f t="shared" si="149"/>
        <v>0</v>
      </c>
      <c r="AZ428" s="1249">
        <f t="shared" si="149"/>
        <v>0</v>
      </c>
      <c r="BA428" s="1249">
        <f t="shared" si="149"/>
        <v>0</v>
      </c>
      <c r="BB428" s="1249">
        <f t="shared" si="149"/>
        <v>0</v>
      </c>
      <c r="BC428" s="1249">
        <f t="shared" si="149"/>
        <v>0</v>
      </c>
      <c r="BD428" s="1249">
        <f t="shared" si="149"/>
        <v>0</v>
      </c>
      <c r="BE428" s="1250">
        <f t="shared" si="149"/>
        <v>0</v>
      </c>
    </row>
    <row r="429" spans="2:58" x14ac:dyDescent="0.25">
      <c r="B429" s="254"/>
      <c r="C429" s="255" t="s">
        <v>74</v>
      </c>
      <c r="D429" s="255"/>
      <c r="E429" s="255"/>
      <c r="F429" s="255"/>
      <c r="G429" s="1247"/>
      <c r="H429" s="1247">
        <f>SUM(H427:H428)</f>
        <v>0</v>
      </c>
      <c r="I429" s="1247">
        <f t="shared" ref="I429:BE429" si="150">SUM(I427:I428)</f>
        <v>0</v>
      </c>
      <c r="J429" s="1247">
        <f t="shared" si="150"/>
        <v>0</v>
      </c>
      <c r="K429" s="1247">
        <f t="shared" si="150"/>
        <v>0</v>
      </c>
      <c r="L429" s="1247">
        <f t="shared" si="150"/>
        <v>0</v>
      </c>
      <c r="M429" s="1247">
        <f t="shared" si="150"/>
        <v>0</v>
      </c>
      <c r="N429" s="1247">
        <f t="shared" si="150"/>
        <v>0</v>
      </c>
      <c r="O429" s="1247">
        <f t="shared" si="150"/>
        <v>0</v>
      </c>
      <c r="P429" s="1247">
        <f t="shared" si="150"/>
        <v>0</v>
      </c>
      <c r="Q429" s="1247">
        <f t="shared" si="150"/>
        <v>0</v>
      </c>
      <c r="R429" s="1247">
        <f t="shared" si="150"/>
        <v>0</v>
      </c>
      <c r="S429" s="1247">
        <f t="shared" si="150"/>
        <v>0</v>
      </c>
      <c r="T429" s="1247">
        <f t="shared" si="150"/>
        <v>0</v>
      </c>
      <c r="U429" s="1247">
        <f t="shared" si="150"/>
        <v>0</v>
      </c>
      <c r="V429" s="1247">
        <f t="shared" si="150"/>
        <v>0</v>
      </c>
      <c r="W429" s="1247">
        <f t="shared" si="150"/>
        <v>0</v>
      </c>
      <c r="X429" s="1247">
        <f t="shared" si="150"/>
        <v>0</v>
      </c>
      <c r="Y429" s="1247">
        <f t="shared" si="150"/>
        <v>0</v>
      </c>
      <c r="Z429" s="1247">
        <f t="shared" si="150"/>
        <v>0</v>
      </c>
      <c r="AA429" s="1247">
        <f t="shared" si="150"/>
        <v>0</v>
      </c>
      <c r="AB429" s="1247">
        <f t="shared" si="150"/>
        <v>0</v>
      </c>
      <c r="AC429" s="1247">
        <f t="shared" si="150"/>
        <v>0</v>
      </c>
      <c r="AD429" s="1247">
        <f t="shared" si="150"/>
        <v>0</v>
      </c>
      <c r="AE429" s="1247">
        <f t="shared" si="150"/>
        <v>0</v>
      </c>
      <c r="AF429" s="1247">
        <f t="shared" si="150"/>
        <v>0</v>
      </c>
      <c r="AG429" s="1247">
        <f t="shared" si="150"/>
        <v>0</v>
      </c>
      <c r="AH429" s="1247">
        <f t="shared" si="150"/>
        <v>0</v>
      </c>
      <c r="AI429" s="1247">
        <f t="shared" si="150"/>
        <v>0</v>
      </c>
      <c r="AJ429" s="1247">
        <f t="shared" si="150"/>
        <v>0</v>
      </c>
      <c r="AK429" s="1247">
        <f t="shared" si="150"/>
        <v>0</v>
      </c>
      <c r="AL429" s="1247">
        <f t="shared" si="150"/>
        <v>0</v>
      </c>
      <c r="AM429" s="1247">
        <f t="shared" si="150"/>
        <v>0</v>
      </c>
      <c r="AN429" s="1247">
        <f t="shared" si="150"/>
        <v>0</v>
      </c>
      <c r="AO429" s="1247">
        <f t="shared" si="150"/>
        <v>0</v>
      </c>
      <c r="AP429" s="1247">
        <f t="shared" si="150"/>
        <v>0</v>
      </c>
      <c r="AQ429" s="1247">
        <f t="shared" si="150"/>
        <v>0</v>
      </c>
      <c r="AR429" s="1247">
        <f t="shared" si="150"/>
        <v>0</v>
      </c>
      <c r="AS429" s="1247">
        <f t="shared" si="150"/>
        <v>0</v>
      </c>
      <c r="AT429" s="1247">
        <f t="shared" si="150"/>
        <v>0</v>
      </c>
      <c r="AU429" s="1247">
        <f t="shared" si="150"/>
        <v>0</v>
      </c>
      <c r="AV429" s="1247">
        <f t="shared" si="150"/>
        <v>0</v>
      </c>
      <c r="AW429" s="1247">
        <f t="shared" si="150"/>
        <v>0</v>
      </c>
      <c r="AX429" s="1247">
        <f t="shared" si="150"/>
        <v>0</v>
      </c>
      <c r="AY429" s="1247">
        <f t="shared" si="150"/>
        <v>0</v>
      </c>
      <c r="AZ429" s="1247">
        <f t="shared" si="150"/>
        <v>0</v>
      </c>
      <c r="BA429" s="1247">
        <f t="shared" si="150"/>
        <v>0</v>
      </c>
      <c r="BB429" s="1247">
        <f t="shared" si="150"/>
        <v>0</v>
      </c>
      <c r="BC429" s="1247">
        <f t="shared" si="150"/>
        <v>0</v>
      </c>
      <c r="BD429" s="1247">
        <f t="shared" si="150"/>
        <v>0</v>
      </c>
      <c r="BE429" s="1248">
        <f t="shared" si="150"/>
        <v>0</v>
      </c>
    </row>
    <row r="430" spans="2:58" x14ac:dyDescent="0.25">
      <c r="B430" s="254"/>
      <c r="C430" s="255"/>
      <c r="D430" s="255"/>
      <c r="E430" s="255"/>
      <c r="F430" s="255"/>
      <c r="G430" s="1247"/>
      <c r="H430" s="1247"/>
      <c r="I430" s="1247"/>
      <c r="J430" s="1247"/>
      <c r="K430" s="1247"/>
      <c r="L430" s="1247"/>
      <c r="M430" s="1247"/>
      <c r="N430" s="1247"/>
      <c r="O430" s="1247"/>
      <c r="P430" s="1247"/>
      <c r="Q430" s="1247"/>
      <c r="R430" s="1247"/>
      <c r="S430" s="1247"/>
      <c r="T430" s="1247"/>
      <c r="U430" s="1247"/>
      <c r="V430" s="1247"/>
      <c r="W430" s="1247"/>
      <c r="X430" s="1247"/>
      <c r="Y430" s="1247"/>
      <c r="Z430" s="1247"/>
      <c r="AA430" s="1247"/>
      <c r="AB430" s="1247"/>
      <c r="AC430" s="1247"/>
      <c r="AD430" s="1247"/>
      <c r="AE430" s="1247"/>
      <c r="AF430" s="1247"/>
      <c r="AG430" s="1247"/>
      <c r="AH430" s="1247"/>
      <c r="AI430" s="1247"/>
      <c r="AJ430" s="1247"/>
      <c r="AK430" s="1247"/>
      <c r="AL430" s="1247"/>
      <c r="AM430" s="1247"/>
      <c r="AN430" s="1247"/>
      <c r="AO430" s="1247"/>
      <c r="AP430" s="1247"/>
      <c r="AQ430" s="1247"/>
      <c r="AR430" s="1247"/>
      <c r="AS430" s="1247"/>
      <c r="AT430" s="1247"/>
      <c r="AU430" s="1247"/>
      <c r="AV430" s="1247"/>
      <c r="AW430" s="1247"/>
      <c r="AX430" s="1247"/>
      <c r="AY430" s="1247"/>
      <c r="AZ430" s="1247"/>
      <c r="BA430" s="1247"/>
      <c r="BB430" s="1247"/>
      <c r="BC430" s="1247"/>
      <c r="BD430" s="1247"/>
      <c r="BE430" s="1248"/>
    </row>
    <row r="431" spans="2:58" x14ac:dyDescent="0.25">
      <c r="B431" s="254"/>
      <c r="C431" s="391" t="s">
        <v>65</v>
      </c>
      <c r="D431" s="255"/>
      <c r="E431" s="255"/>
      <c r="F431" s="255"/>
      <c r="G431" s="1247"/>
      <c r="H431" s="1247"/>
      <c r="I431" s="1247"/>
      <c r="J431" s="1247"/>
      <c r="K431" s="1247"/>
      <c r="L431" s="1247"/>
      <c r="M431" s="1247"/>
      <c r="N431" s="1247"/>
      <c r="O431" s="1247"/>
      <c r="P431" s="1247"/>
      <c r="Q431" s="1247"/>
      <c r="R431" s="1247"/>
      <c r="S431" s="1247"/>
      <c r="T431" s="1247"/>
      <c r="U431" s="1247"/>
      <c r="V431" s="1247"/>
      <c r="W431" s="1247"/>
      <c r="X431" s="1247"/>
      <c r="Y431" s="1247"/>
      <c r="Z431" s="1247"/>
      <c r="AA431" s="1247"/>
      <c r="AB431" s="1247"/>
      <c r="AC431" s="1247"/>
      <c r="AD431" s="1247"/>
      <c r="AE431" s="1247"/>
      <c r="AF431" s="1247"/>
      <c r="AG431" s="1247"/>
      <c r="AH431" s="1247"/>
      <c r="AI431" s="1247"/>
      <c r="AJ431" s="1247"/>
      <c r="AK431" s="1247"/>
      <c r="AL431" s="1247"/>
      <c r="AM431" s="1247"/>
      <c r="AN431" s="1247"/>
      <c r="AO431" s="1247"/>
      <c r="AP431" s="1247"/>
      <c r="AQ431" s="1247"/>
      <c r="AR431" s="1247"/>
      <c r="AS431" s="1247"/>
      <c r="AT431" s="1247"/>
      <c r="AU431" s="1247"/>
      <c r="AV431" s="1247"/>
      <c r="AW431" s="1247"/>
      <c r="AX431" s="1247"/>
      <c r="AY431" s="1247"/>
      <c r="AZ431" s="1247"/>
      <c r="BA431" s="1247"/>
      <c r="BB431" s="1247"/>
      <c r="BC431" s="1247"/>
      <c r="BD431" s="1247"/>
      <c r="BE431" s="1248"/>
    </row>
    <row r="432" spans="2:58" x14ac:dyDescent="0.25">
      <c r="B432" s="254"/>
      <c r="C432" s="255" t="s">
        <v>75</v>
      </c>
      <c r="D432" s="255"/>
      <c r="E432" s="255"/>
      <c r="F432" s="255"/>
      <c r="G432" s="1247">
        <v>0</v>
      </c>
      <c r="H432" s="1247">
        <f t="shared" ref="H432:AM432" si="151">G435</f>
        <v>0</v>
      </c>
      <c r="I432" s="1247">
        <f t="shared" si="151"/>
        <v>0</v>
      </c>
      <c r="J432" s="1247">
        <f t="shared" si="151"/>
        <v>0</v>
      </c>
      <c r="K432" s="1247">
        <f t="shared" si="151"/>
        <v>0</v>
      </c>
      <c r="L432" s="1247">
        <f t="shared" si="151"/>
        <v>0</v>
      </c>
      <c r="M432" s="1247">
        <f t="shared" si="151"/>
        <v>0</v>
      </c>
      <c r="N432" s="1247">
        <f t="shared" si="151"/>
        <v>0</v>
      </c>
      <c r="O432" s="1247">
        <f t="shared" si="151"/>
        <v>0</v>
      </c>
      <c r="P432" s="1247">
        <f t="shared" si="151"/>
        <v>0</v>
      </c>
      <c r="Q432" s="1247">
        <f t="shared" si="151"/>
        <v>0</v>
      </c>
      <c r="R432" s="1247">
        <f t="shared" si="151"/>
        <v>0</v>
      </c>
      <c r="S432" s="1247">
        <f t="shared" si="151"/>
        <v>0</v>
      </c>
      <c r="T432" s="1247">
        <f t="shared" si="151"/>
        <v>0</v>
      </c>
      <c r="U432" s="1247">
        <f t="shared" si="151"/>
        <v>0</v>
      </c>
      <c r="V432" s="1247">
        <f t="shared" si="151"/>
        <v>0</v>
      </c>
      <c r="W432" s="1247">
        <f t="shared" si="151"/>
        <v>0</v>
      </c>
      <c r="X432" s="1247">
        <f t="shared" si="151"/>
        <v>0</v>
      </c>
      <c r="Y432" s="1247">
        <f t="shared" si="151"/>
        <v>0</v>
      </c>
      <c r="Z432" s="1247">
        <f t="shared" si="151"/>
        <v>0</v>
      </c>
      <c r="AA432" s="1247">
        <f t="shared" si="151"/>
        <v>0</v>
      </c>
      <c r="AB432" s="1247">
        <f t="shared" si="151"/>
        <v>0</v>
      </c>
      <c r="AC432" s="1247">
        <f t="shared" si="151"/>
        <v>0</v>
      </c>
      <c r="AD432" s="1247">
        <f t="shared" si="151"/>
        <v>0</v>
      </c>
      <c r="AE432" s="1247">
        <f t="shared" si="151"/>
        <v>0</v>
      </c>
      <c r="AF432" s="1247">
        <f t="shared" si="151"/>
        <v>0</v>
      </c>
      <c r="AG432" s="1247">
        <f t="shared" si="151"/>
        <v>0</v>
      </c>
      <c r="AH432" s="1247">
        <f t="shared" si="151"/>
        <v>0</v>
      </c>
      <c r="AI432" s="1247">
        <f t="shared" si="151"/>
        <v>0</v>
      </c>
      <c r="AJ432" s="1247">
        <f t="shared" si="151"/>
        <v>0</v>
      </c>
      <c r="AK432" s="1247">
        <f t="shared" si="151"/>
        <v>0</v>
      </c>
      <c r="AL432" s="1247">
        <f t="shared" si="151"/>
        <v>0</v>
      </c>
      <c r="AM432" s="1247">
        <f t="shared" si="151"/>
        <v>0</v>
      </c>
      <c r="AN432" s="1247">
        <f t="shared" ref="AN432:BE432" si="152">AM435</f>
        <v>0</v>
      </c>
      <c r="AO432" s="1247">
        <f t="shared" si="152"/>
        <v>0</v>
      </c>
      <c r="AP432" s="1247">
        <f t="shared" si="152"/>
        <v>0</v>
      </c>
      <c r="AQ432" s="1247">
        <f t="shared" si="152"/>
        <v>0</v>
      </c>
      <c r="AR432" s="1247">
        <f t="shared" si="152"/>
        <v>0</v>
      </c>
      <c r="AS432" s="1247">
        <f t="shared" si="152"/>
        <v>0</v>
      </c>
      <c r="AT432" s="1247">
        <f t="shared" si="152"/>
        <v>0</v>
      </c>
      <c r="AU432" s="1247">
        <f t="shared" si="152"/>
        <v>0</v>
      </c>
      <c r="AV432" s="1247">
        <f t="shared" si="152"/>
        <v>0</v>
      </c>
      <c r="AW432" s="1247">
        <f t="shared" si="152"/>
        <v>0</v>
      </c>
      <c r="AX432" s="1247">
        <f t="shared" si="152"/>
        <v>0</v>
      </c>
      <c r="AY432" s="1247">
        <f t="shared" si="152"/>
        <v>0</v>
      </c>
      <c r="AZ432" s="1247">
        <f t="shared" si="152"/>
        <v>0</v>
      </c>
      <c r="BA432" s="1247">
        <f t="shared" si="152"/>
        <v>0</v>
      </c>
      <c r="BB432" s="1247">
        <f t="shared" si="152"/>
        <v>0</v>
      </c>
      <c r="BC432" s="1247">
        <f t="shared" si="152"/>
        <v>0</v>
      </c>
      <c r="BD432" s="1247">
        <f t="shared" si="152"/>
        <v>0</v>
      </c>
      <c r="BE432" s="1248">
        <f t="shared" si="152"/>
        <v>0</v>
      </c>
    </row>
    <row r="433" spans="2:57" x14ac:dyDescent="0.25">
      <c r="B433" s="254"/>
      <c r="C433" s="255" t="s">
        <v>76</v>
      </c>
      <c r="D433" s="255"/>
      <c r="E433" s="255"/>
      <c r="F433" s="255"/>
      <c r="G433" s="1247">
        <f>G422</f>
        <v>0</v>
      </c>
      <c r="H433" s="1247">
        <v>0</v>
      </c>
      <c r="I433" s="1247">
        <v>0</v>
      </c>
      <c r="J433" s="1247">
        <v>0</v>
      </c>
      <c r="K433" s="1247">
        <v>0</v>
      </c>
      <c r="L433" s="1247">
        <v>0</v>
      </c>
      <c r="M433" s="1247">
        <v>0</v>
      </c>
      <c r="N433" s="1247">
        <v>0</v>
      </c>
      <c r="O433" s="1247">
        <v>0</v>
      </c>
      <c r="P433" s="1247">
        <v>0</v>
      </c>
      <c r="Q433" s="1247">
        <v>0</v>
      </c>
      <c r="R433" s="1247">
        <v>0</v>
      </c>
      <c r="S433" s="1247">
        <v>0</v>
      </c>
      <c r="T433" s="1247">
        <v>0</v>
      </c>
      <c r="U433" s="1247">
        <v>0</v>
      </c>
      <c r="V433" s="1247">
        <v>0</v>
      </c>
      <c r="W433" s="1247">
        <v>0</v>
      </c>
      <c r="X433" s="1247">
        <v>0</v>
      </c>
      <c r="Y433" s="1247">
        <v>0</v>
      </c>
      <c r="Z433" s="1247">
        <v>0</v>
      </c>
      <c r="AA433" s="1247">
        <v>0</v>
      </c>
      <c r="AB433" s="1247">
        <v>0</v>
      </c>
      <c r="AC433" s="1247">
        <v>0</v>
      </c>
      <c r="AD433" s="1247">
        <v>0</v>
      </c>
      <c r="AE433" s="1247">
        <v>0</v>
      </c>
      <c r="AF433" s="1247">
        <v>0</v>
      </c>
      <c r="AG433" s="1247">
        <v>0</v>
      </c>
      <c r="AH433" s="1247">
        <v>0</v>
      </c>
      <c r="AI433" s="1247">
        <v>0</v>
      </c>
      <c r="AJ433" s="1247">
        <v>0</v>
      </c>
      <c r="AK433" s="1247">
        <v>0</v>
      </c>
      <c r="AL433" s="1247">
        <v>0</v>
      </c>
      <c r="AM433" s="1247">
        <v>0</v>
      </c>
      <c r="AN433" s="1247">
        <v>0</v>
      </c>
      <c r="AO433" s="1247">
        <v>0</v>
      </c>
      <c r="AP433" s="1247">
        <v>0</v>
      </c>
      <c r="AQ433" s="1247">
        <v>0</v>
      </c>
      <c r="AR433" s="1247">
        <v>0</v>
      </c>
      <c r="AS433" s="1247">
        <v>0</v>
      </c>
      <c r="AT433" s="1247">
        <v>0</v>
      </c>
      <c r="AU433" s="1247">
        <v>0</v>
      </c>
      <c r="AV433" s="1247">
        <v>0</v>
      </c>
      <c r="AW433" s="1247">
        <v>0</v>
      </c>
      <c r="AX433" s="1247">
        <v>0</v>
      </c>
      <c r="AY433" s="1247">
        <v>0</v>
      </c>
      <c r="AZ433" s="1247">
        <v>0</v>
      </c>
      <c r="BA433" s="1247">
        <v>0</v>
      </c>
      <c r="BB433" s="1247">
        <v>0</v>
      </c>
      <c r="BC433" s="1247">
        <v>0</v>
      </c>
      <c r="BD433" s="1247">
        <v>0</v>
      </c>
      <c r="BE433" s="1248">
        <v>0</v>
      </c>
    </row>
    <row r="434" spans="2:57" x14ac:dyDescent="0.25">
      <c r="B434" s="254"/>
      <c r="C434" s="262" t="s">
        <v>77</v>
      </c>
      <c r="D434" s="262"/>
      <c r="E434" s="262"/>
      <c r="F434" s="262"/>
      <c r="G434" s="1249">
        <v>0</v>
      </c>
      <c r="H434" s="1249">
        <f>-H428</f>
        <v>0</v>
      </c>
      <c r="I434" s="1249">
        <f t="shared" ref="I434:BE434" si="153">-I428</f>
        <v>0</v>
      </c>
      <c r="J434" s="1249">
        <f t="shared" si="153"/>
        <v>0</v>
      </c>
      <c r="K434" s="1249">
        <f t="shared" si="153"/>
        <v>0</v>
      </c>
      <c r="L434" s="1249">
        <f t="shared" si="153"/>
        <v>0</v>
      </c>
      <c r="M434" s="1249">
        <f t="shared" si="153"/>
        <v>0</v>
      </c>
      <c r="N434" s="1249">
        <f t="shared" si="153"/>
        <v>0</v>
      </c>
      <c r="O434" s="1249">
        <f t="shared" si="153"/>
        <v>0</v>
      </c>
      <c r="P434" s="1249">
        <f t="shared" si="153"/>
        <v>0</v>
      </c>
      <c r="Q434" s="1249">
        <f t="shared" si="153"/>
        <v>0</v>
      </c>
      <c r="R434" s="1249">
        <f t="shared" si="153"/>
        <v>0</v>
      </c>
      <c r="S434" s="1249">
        <f t="shared" si="153"/>
        <v>0</v>
      </c>
      <c r="T434" s="1249">
        <f t="shared" si="153"/>
        <v>0</v>
      </c>
      <c r="U434" s="1249">
        <f t="shared" si="153"/>
        <v>0</v>
      </c>
      <c r="V434" s="1249">
        <f t="shared" si="153"/>
        <v>0</v>
      </c>
      <c r="W434" s="1249">
        <f t="shared" si="153"/>
        <v>0</v>
      </c>
      <c r="X434" s="1249">
        <f t="shared" si="153"/>
        <v>0</v>
      </c>
      <c r="Y434" s="1249">
        <f t="shared" si="153"/>
        <v>0</v>
      </c>
      <c r="Z434" s="1249">
        <f t="shared" si="153"/>
        <v>0</v>
      </c>
      <c r="AA434" s="1249">
        <f t="shared" si="153"/>
        <v>0</v>
      </c>
      <c r="AB434" s="1249">
        <f t="shared" si="153"/>
        <v>0</v>
      </c>
      <c r="AC434" s="1249">
        <f t="shared" si="153"/>
        <v>0</v>
      </c>
      <c r="AD434" s="1249">
        <f t="shared" si="153"/>
        <v>0</v>
      </c>
      <c r="AE434" s="1249">
        <f t="shared" si="153"/>
        <v>0</v>
      </c>
      <c r="AF434" s="1249">
        <f t="shared" si="153"/>
        <v>0</v>
      </c>
      <c r="AG434" s="1249">
        <f t="shared" si="153"/>
        <v>0</v>
      </c>
      <c r="AH434" s="1249">
        <f t="shared" si="153"/>
        <v>0</v>
      </c>
      <c r="AI434" s="1249">
        <f t="shared" si="153"/>
        <v>0</v>
      </c>
      <c r="AJ434" s="1249">
        <f t="shared" si="153"/>
        <v>0</v>
      </c>
      <c r="AK434" s="1249">
        <f t="shared" si="153"/>
        <v>0</v>
      </c>
      <c r="AL434" s="1249">
        <f t="shared" si="153"/>
        <v>0</v>
      </c>
      <c r="AM434" s="1249">
        <f t="shared" si="153"/>
        <v>0</v>
      </c>
      <c r="AN434" s="1249">
        <f t="shared" si="153"/>
        <v>0</v>
      </c>
      <c r="AO434" s="1249">
        <f t="shared" si="153"/>
        <v>0</v>
      </c>
      <c r="AP434" s="1249">
        <f t="shared" si="153"/>
        <v>0</v>
      </c>
      <c r="AQ434" s="1249">
        <f t="shared" si="153"/>
        <v>0</v>
      </c>
      <c r="AR434" s="1249">
        <f t="shared" si="153"/>
        <v>0</v>
      </c>
      <c r="AS434" s="1249">
        <f t="shared" si="153"/>
        <v>0</v>
      </c>
      <c r="AT434" s="1249">
        <f t="shared" si="153"/>
        <v>0</v>
      </c>
      <c r="AU434" s="1249">
        <f t="shared" si="153"/>
        <v>0</v>
      </c>
      <c r="AV434" s="1249">
        <f t="shared" si="153"/>
        <v>0</v>
      </c>
      <c r="AW434" s="1249">
        <f t="shared" si="153"/>
        <v>0</v>
      </c>
      <c r="AX434" s="1249">
        <f t="shared" si="153"/>
        <v>0</v>
      </c>
      <c r="AY434" s="1249">
        <f t="shared" si="153"/>
        <v>0</v>
      </c>
      <c r="AZ434" s="1249">
        <f t="shared" si="153"/>
        <v>0</v>
      </c>
      <c r="BA434" s="1249">
        <f t="shared" si="153"/>
        <v>0</v>
      </c>
      <c r="BB434" s="1249">
        <f t="shared" si="153"/>
        <v>0</v>
      </c>
      <c r="BC434" s="1249">
        <f t="shared" si="153"/>
        <v>0</v>
      </c>
      <c r="BD434" s="1249">
        <f t="shared" si="153"/>
        <v>0</v>
      </c>
      <c r="BE434" s="1250">
        <f t="shared" si="153"/>
        <v>0</v>
      </c>
    </row>
    <row r="435" spans="2:57" x14ac:dyDescent="0.25">
      <c r="B435" s="254"/>
      <c r="C435" s="255" t="s">
        <v>66</v>
      </c>
      <c r="D435" s="255"/>
      <c r="E435" s="255"/>
      <c r="F435" s="255"/>
      <c r="G435" s="1247">
        <f>SUM(G432:G434)</f>
        <v>0</v>
      </c>
      <c r="H435" s="1247">
        <f>SUM(H432:H434)</f>
        <v>0</v>
      </c>
      <c r="I435" s="1247">
        <f t="shared" ref="I435:BE435" si="154">SUM(I432:I434)</f>
        <v>0</v>
      </c>
      <c r="J435" s="1247">
        <f t="shared" si="154"/>
        <v>0</v>
      </c>
      <c r="K435" s="1247">
        <f t="shared" si="154"/>
        <v>0</v>
      </c>
      <c r="L435" s="1247">
        <f t="shared" si="154"/>
        <v>0</v>
      </c>
      <c r="M435" s="1247">
        <f t="shared" si="154"/>
        <v>0</v>
      </c>
      <c r="N435" s="1247">
        <f t="shared" si="154"/>
        <v>0</v>
      </c>
      <c r="O435" s="1247">
        <f t="shared" si="154"/>
        <v>0</v>
      </c>
      <c r="P435" s="1247">
        <f t="shared" si="154"/>
        <v>0</v>
      </c>
      <c r="Q435" s="1247">
        <f t="shared" si="154"/>
        <v>0</v>
      </c>
      <c r="R435" s="1247">
        <f t="shared" si="154"/>
        <v>0</v>
      </c>
      <c r="S435" s="1247">
        <f t="shared" si="154"/>
        <v>0</v>
      </c>
      <c r="T435" s="1247">
        <f t="shared" si="154"/>
        <v>0</v>
      </c>
      <c r="U435" s="1247">
        <f t="shared" si="154"/>
        <v>0</v>
      </c>
      <c r="V435" s="1247">
        <f t="shared" si="154"/>
        <v>0</v>
      </c>
      <c r="W435" s="1247">
        <f t="shared" si="154"/>
        <v>0</v>
      </c>
      <c r="X435" s="1247">
        <f t="shared" si="154"/>
        <v>0</v>
      </c>
      <c r="Y435" s="1247">
        <f t="shared" si="154"/>
        <v>0</v>
      </c>
      <c r="Z435" s="1247">
        <f t="shared" si="154"/>
        <v>0</v>
      </c>
      <c r="AA435" s="1247">
        <f t="shared" si="154"/>
        <v>0</v>
      </c>
      <c r="AB435" s="1247">
        <f t="shared" si="154"/>
        <v>0</v>
      </c>
      <c r="AC435" s="1247">
        <f t="shared" si="154"/>
        <v>0</v>
      </c>
      <c r="AD435" s="1247">
        <f t="shared" si="154"/>
        <v>0</v>
      </c>
      <c r="AE435" s="1247">
        <f t="shared" si="154"/>
        <v>0</v>
      </c>
      <c r="AF435" s="1247">
        <f t="shared" si="154"/>
        <v>0</v>
      </c>
      <c r="AG435" s="1247">
        <f t="shared" si="154"/>
        <v>0</v>
      </c>
      <c r="AH435" s="1247">
        <f t="shared" si="154"/>
        <v>0</v>
      </c>
      <c r="AI435" s="1247">
        <f t="shared" si="154"/>
        <v>0</v>
      </c>
      <c r="AJ435" s="1247">
        <f t="shared" si="154"/>
        <v>0</v>
      </c>
      <c r="AK435" s="1247">
        <f t="shared" si="154"/>
        <v>0</v>
      </c>
      <c r="AL435" s="1247">
        <f t="shared" si="154"/>
        <v>0</v>
      </c>
      <c r="AM435" s="1247">
        <f t="shared" si="154"/>
        <v>0</v>
      </c>
      <c r="AN435" s="1247">
        <f t="shared" si="154"/>
        <v>0</v>
      </c>
      <c r="AO435" s="1247">
        <f t="shared" si="154"/>
        <v>0</v>
      </c>
      <c r="AP435" s="1247">
        <f t="shared" si="154"/>
        <v>0</v>
      </c>
      <c r="AQ435" s="1247">
        <f t="shared" si="154"/>
        <v>0</v>
      </c>
      <c r="AR435" s="1247">
        <f t="shared" si="154"/>
        <v>0</v>
      </c>
      <c r="AS435" s="1247">
        <f t="shared" si="154"/>
        <v>0</v>
      </c>
      <c r="AT435" s="1247">
        <f t="shared" si="154"/>
        <v>0</v>
      </c>
      <c r="AU435" s="1247">
        <f t="shared" si="154"/>
        <v>0</v>
      </c>
      <c r="AV435" s="1247">
        <f t="shared" si="154"/>
        <v>0</v>
      </c>
      <c r="AW435" s="1247">
        <f t="shared" si="154"/>
        <v>0</v>
      </c>
      <c r="AX435" s="1247">
        <f t="shared" si="154"/>
        <v>0</v>
      </c>
      <c r="AY435" s="1247">
        <f t="shared" si="154"/>
        <v>0</v>
      </c>
      <c r="AZ435" s="1247">
        <f t="shared" si="154"/>
        <v>0</v>
      </c>
      <c r="BA435" s="1247">
        <f t="shared" si="154"/>
        <v>0</v>
      </c>
      <c r="BB435" s="1247">
        <f t="shared" si="154"/>
        <v>0</v>
      </c>
      <c r="BC435" s="1247">
        <f t="shared" si="154"/>
        <v>0</v>
      </c>
      <c r="BD435" s="1247">
        <f t="shared" si="154"/>
        <v>0</v>
      </c>
      <c r="BE435" s="1248">
        <f t="shared" si="154"/>
        <v>0</v>
      </c>
    </row>
    <row r="436" spans="2:57" x14ac:dyDescent="0.25">
      <c r="B436" s="254"/>
      <c r="C436" s="255"/>
      <c r="D436" s="255"/>
      <c r="E436" s="255"/>
      <c r="F436" s="255"/>
      <c r="G436" s="1247"/>
      <c r="H436" s="1247"/>
      <c r="I436" s="1247"/>
      <c r="J436" s="1247"/>
      <c r="K436" s="1247"/>
      <c r="L436" s="1247"/>
      <c r="M436" s="1247"/>
      <c r="N436" s="1247"/>
      <c r="O436" s="1247"/>
      <c r="P436" s="1247"/>
      <c r="Q436" s="1247"/>
      <c r="R436" s="1247"/>
      <c r="S436" s="1247"/>
      <c r="T436" s="1247"/>
      <c r="U436" s="1247"/>
      <c r="V436" s="1247"/>
      <c r="W436" s="1247"/>
      <c r="X436" s="1247"/>
      <c r="Y436" s="1247"/>
      <c r="Z436" s="1247"/>
      <c r="AA436" s="1247"/>
      <c r="AB436" s="1247"/>
      <c r="AC436" s="1247"/>
      <c r="AD436" s="1247"/>
      <c r="AE436" s="1247"/>
      <c r="AF436" s="1247"/>
      <c r="AG436" s="1247"/>
      <c r="AH436" s="1247"/>
      <c r="AI436" s="1247"/>
      <c r="AJ436" s="1247"/>
      <c r="AK436" s="1247"/>
      <c r="AL436" s="1247"/>
      <c r="AM436" s="1247"/>
      <c r="AN436" s="1247"/>
      <c r="AO436" s="1247"/>
      <c r="AP436" s="1247"/>
      <c r="AQ436" s="1247"/>
      <c r="AR436" s="1247"/>
      <c r="AS436" s="1247"/>
      <c r="AT436" s="1247"/>
      <c r="AU436" s="1247"/>
      <c r="AV436" s="1247"/>
      <c r="AW436" s="1247"/>
      <c r="AX436" s="1247"/>
      <c r="AY436" s="1247"/>
      <c r="AZ436" s="1247"/>
      <c r="BA436" s="1247"/>
      <c r="BB436" s="1247"/>
      <c r="BC436" s="1247"/>
      <c r="BD436" s="1247"/>
      <c r="BE436" s="1248"/>
    </row>
    <row r="437" spans="2:57" x14ac:dyDescent="0.25">
      <c r="B437" s="254"/>
      <c r="C437" s="391" t="s">
        <v>71</v>
      </c>
      <c r="D437" s="255"/>
      <c r="E437" s="255"/>
      <c r="F437" s="255"/>
      <c r="G437" s="1247"/>
      <c r="H437" s="1247"/>
      <c r="I437" s="1247"/>
      <c r="J437" s="1247"/>
      <c r="K437" s="1247"/>
      <c r="L437" s="1247"/>
      <c r="M437" s="1247"/>
      <c r="N437" s="1247"/>
      <c r="O437" s="1247"/>
      <c r="P437" s="1247"/>
      <c r="Q437" s="1247"/>
      <c r="R437" s="1247"/>
      <c r="S437" s="1247"/>
      <c r="T437" s="1247"/>
      <c r="U437" s="1247"/>
      <c r="V437" s="1247"/>
      <c r="W437" s="1247"/>
      <c r="X437" s="1247"/>
      <c r="Y437" s="1247"/>
      <c r="Z437" s="1247"/>
      <c r="AA437" s="1247"/>
      <c r="AB437" s="1247"/>
      <c r="AC437" s="1247"/>
      <c r="AD437" s="1247"/>
      <c r="AE437" s="1247"/>
      <c r="AF437" s="1247"/>
      <c r="AG437" s="1247"/>
      <c r="AH437" s="1247"/>
      <c r="AI437" s="1247"/>
      <c r="AJ437" s="1247"/>
      <c r="AK437" s="1247"/>
      <c r="AL437" s="1247"/>
      <c r="AM437" s="1247"/>
      <c r="AN437" s="1247"/>
      <c r="AO437" s="1247"/>
      <c r="AP437" s="1247"/>
      <c r="AQ437" s="1247"/>
      <c r="AR437" s="1247"/>
      <c r="AS437" s="1247"/>
      <c r="AT437" s="1247"/>
      <c r="AU437" s="1247"/>
      <c r="AV437" s="1247"/>
      <c r="AW437" s="1247"/>
      <c r="AX437" s="1247"/>
      <c r="AY437" s="1247"/>
      <c r="AZ437" s="1247"/>
      <c r="BA437" s="1247"/>
      <c r="BB437" s="1247"/>
      <c r="BC437" s="1247"/>
      <c r="BD437" s="1247"/>
      <c r="BE437" s="1248"/>
    </row>
    <row r="438" spans="2:57" x14ac:dyDescent="0.25">
      <c r="B438" s="254"/>
      <c r="C438" s="255" t="s">
        <v>237</v>
      </c>
      <c r="D438" s="255"/>
      <c r="E438" s="255"/>
      <c r="F438" s="255"/>
      <c r="G438" s="1247"/>
      <c r="H438" s="1247">
        <f>IF($G422&gt;0, $G422*'II. Inputs, Baseline Energy Mix'!$O$51/10000,0)</f>
        <v>0</v>
      </c>
      <c r="I438" s="1247">
        <v>0</v>
      </c>
      <c r="J438" s="1247">
        <v>0</v>
      </c>
      <c r="K438" s="1247">
        <v>0</v>
      </c>
      <c r="L438" s="1247">
        <v>0</v>
      </c>
      <c r="M438" s="1247">
        <v>0</v>
      </c>
      <c r="N438" s="1247">
        <v>0</v>
      </c>
      <c r="O438" s="1247">
        <v>0</v>
      </c>
      <c r="P438" s="1247">
        <v>0</v>
      </c>
      <c r="Q438" s="1247">
        <v>0</v>
      </c>
      <c r="R438" s="1247">
        <v>0</v>
      </c>
      <c r="S438" s="1247">
        <v>0</v>
      </c>
      <c r="T438" s="1247">
        <v>0</v>
      </c>
      <c r="U438" s="1247">
        <v>0</v>
      </c>
      <c r="V438" s="1247">
        <v>0</v>
      </c>
      <c r="W438" s="1247">
        <v>0</v>
      </c>
      <c r="X438" s="1247">
        <v>0</v>
      </c>
      <c r="Y438" s="1247">
        <v>0</v>
      </c>
      <c r="Z438" s="1247">
        <v>0</v>
      </c>
      <c r="AA438" s="1247">
        <v>0</v>
      </c>
      <c r="AB438" s="1247">
        <v>0</v>
      </c>
      <c r="AC438" s="1247">
        <v>0</v>
      </c>
      <c r="AD438" s="1247">
        <v>0</v>
      </c>
      <c r="AE438" s="1247">
        <v>0</v>
      </c>
      <c r="AF438" s="1247">
        <v>0</v>
      </c>
      <c r="AG438" s="1247">
        <v>0</v>
      </c>
      <c r="AH438" s="1247">
        <v>0</v>
      </c>
      <c r="AI438" s="1247">
        <v>0</v>
      </c>
      <c r="AJ438" s="1247">
        <v>0</v>
      </c>
      <c r="AK438" s="1247">
        <v>0</v>
      </c>
      <c r="AL438" s="1247">
        <v>0</v>
      </c>
      <c r="AM438" s="1247">
        <v>0</v>
      </c>
      <c r="AN438" s="1247">
        <v>0</v>
      </c>
      <c r="AO438" s="1247">
        <v>0</v>
      </c>
      <c r="AP438" s="1247">
        <v>0</v>
      </c>
      <c r="AQ438" s="1247">
        <v>0</v>
      </c>
      <c r="AR438" s="1247">
        <v>0</v>
      </c>
      <c r="AS438" s="1247">
        <v>0</v>
      </c>
      <c r="AT438" s="1247">
        <v>0</v>
      </c>
      <c r="AU438" s="1247">
        <v>0</v>
      </c>
      <c r="AV438" s="1247">
        <v>0</v>
      </c>
      <c r="AW438" s="1247">
        <v>0</v>
      </c>
      <c r="AX438" s="1247">
        <v>0</v>
      </c>
      <c r="AY438" s="1247">
        <v>0</v>
      </c>
      <c r="AZ438" s="1247">
        <v>0</v>
      </c>
      <c r="BA438" s="1247">
        <v>0</v>
      </c>
      <c r="BB438" s="1247">
        <v>0</v>
      </c>
      <c r="BC438" s="1247">
        <v>0</v>
      </c>
      <c r="BD438" s="1247">
        <v>0</v>
      </c>
      <c r="BE438" s="1248">
        <v>0</v>
      </c>
    </row>
    <row r="439" spans="2:57" x14ac:dyDescent="0.25">
      <c r="B439" s="254"/>
      <c r="C439" s="255"/>
      <c r="D439" s="255"/>
      <c r="E439" s="255"/>
      <c r="F439" s="255"/>
      <c r="G439" s="255"/>
      <c r="H439" s="255"/>
      <c r="I439" s="255"/>
      <c r="J439" s="255"/>
      <c r="K439" s="255"/>
      <c r="L439" s="255"/>
      <c r="M439" s="255"/>
      <c r="N439" s="255"/>
      <c r="O439" s="255"/>
      <c r="P439" s="255"/>
      <c r="Q439" s="255"/>
      <c r="R439" s="255"/>
      <c r="S439" s="255"/>
      <c r="T439" s="255"/>
      <c r="U439" s="255"/>
      <c r="V439" s="255"/>
      <c r="W439" s="255"/>
      <c r="X439" s="255"/>
      <c r="Y439" s="255"/>
      <c r="Z439" s="255"/>
      <c r="AA439" s="255"/>
      <c r="AB439" s="255"/>
      <c r="AC439" s="255"/>
      <c r="AD439" s="255"/>
      <c r="AE439" s="255"/>
      <c r="AF439" s="255"/>
      <c r="AG439" s="255"/>
      <c r="AH439" s="255"/>
      <c r="AI439" s="255"/>
      <c r="AJ439" s="255"/>
      <c r="AK439" s="255"/>
      <c r="AL439" s="255"/>
      <c r="AM439" s="255"/>
      <c r="AN439" s="255"/>
      <c r="AO439" s="255"/>
      <c r="AP439" s="255"/>
      <c r="AQ439" s="255"/>
      <c r="AR439" s="255"/>
      <c r="AS439" s="255"/>
      <c r="AT439" s="255"/>
      <c r="AU439" s="255"/>
      <c r="AV439" s="255"/>
      <c r="AW439" s="255"/>
      <c r="AX439" s="255"/>
      <c r="AY439" s="255"/>
      <c r="AZ439" s="255"/>
      <c r="BA439" s="255"/>
      <c r="BB439" s="255"/>
      <c r="BC439" s="255"/>
      <c r="BD439" s="255"/>
      <c r="BE439" s="256"/>
    </row>
    <row r="440" spans="2:57" x14ac:dyDescent="0.25">
      <c r="B440" s="254"/>
      <c r="C440" s="255"/>
      <c r="D440" s="255"/>
      <c r="E440" s="255"/>
      <c r="F440" s="255"/>
      <c r="G440" s="255"/>
      <c r="H440" s="255"/>
      <c r="I440" s="255"/>
      <c r="J440" s="255"/>
      <c r="K440" s="255"/>
      <c r="L440" s="255"/>
      <c r="M440" s="255"/>
      <c r="N440" s="255"/>
      <c r="O440" s="255"/>
      <c r="P440" s="255"/>
      <c r="Q440" s="255"/>
      <c r="R440" s="255"/>
      <c r="S440" s="255"/>
      <c r="T440" s="255"/>
      <c r="U440" s="255"/>
      <c r="V440" s="255"/>
      <c r="W440" s="255"/>
      <c r="X440" s="255"/>
      <c r="Y440" s="255"/>
      <c r="Z440" s="255"/>
      <c r="AA440" s="255"/>
      <c r="AB440" s="255"/>
      <c r="AC440" s="255"/>
      <c r="AD440" s="255"/>
      <c r="AE440" s="255"/>
      <c r="AF440" s="255"/>
      <c r="AG440" s="255"/>
      <c r="AH440" s="255"/>
      <c r="AI440" s="255"/>
      <c r="AJ440" s="255"/>
      <c r="AK440" s="255"/>
      <c r="AL440" s="255"/>
      <c r="AM440" s="255"/>
      <c r="AN440" s="255"/>
      <c r="AO440" s="255"/>
      <c r="AP440" s="255"/>
      <c r="AQ440" s="255"/>
      <c r="AR440" s="255"/>
      <c r="AS440" s="255"/>
      <c r="AT440" s="255"/>
      <c r="AU440" s="255"/>
      <c r="AV440" s="255"/>
      <c r="AW440" s="255"/>
      <c r="AX440" s="255"/>
      <c r="AY440" s="255"/>
      <c r="AZ440" s="255"/>
      <c r="BA440" s="255"/>
      <c r="BB440" s="255"/>
      <c r="BC440" s="255"/>
      <c r="BD440" s="255"/>
      <c r="BE440" s="256"/>
    </row>
    <row r="441" spans="2:57" x14ac:dyDescent="0.25">
      <c r="B441" s="266" t="s">
        <v>86</v>
      </c>
      <c r="C441" s="255"/>
      <c r="D441" s="255"/>
      <c r="E441" s="255"/>
      <c r="F441" s="255"/>
      <c r="G441" s="255"/>
      <c r="H441" s="255"/>
      <c r="I441" s="255"/>
      <c r="J441" s="255"/>
      <c r="K441" s="255"/>
      <c r="L441" s="255"/>
      <c r="M441" s="255"/>
      <c r="N441" s="255"/>
      <c r="O441" s="255"/>
      <c r="P441" s="255"/>
      <c r="Q441" s="255"/>
      <c r="R441" s="255"/>
      <c r="S441" s="255"/>
      <c r="T441" s="255"/>
      <c r="U441" s="255"/>
      <c r="V441" s="255"/>
      <c r="W441" s="255"/>
      <c r="X441" s="255"/>
      <c r="Y441" s="255"/>
      <c r="Z441" s="255"/>
      <c r="AA441" s="255"/>
      <c r="AB441" s="255"/>
      <c r="AC441" s="255"/>
      <c r="AD441" s="255"/>
      <c r="AE441" s="255"/>
      <c r="AF441" s="255"/>
      <c r="AG441" s="255"/>
      <c r="AH441" s="255"/>
      <c r="AI441" s="255"/>
      <c r="AJ441" s="255"/>
      <c r="AK441" s="255"/>
      <c r="AL441" s="255"/>
      <c r="AM441" s="255"/>
      <c r="AN441" s="255"/>
      <c r="AO441" s="255"/>
      <c r="AP441" s="255"/>
      <c r="AQ441" s="255"/>
      <c r="AR441" s="255"/>
      <c r="AS441" s="255"/>
      <c r="AT441" s="255"/>
      <c r="AU441" s="255"/>
      <c r="AV441" s="255"/>
      <c r="AW441" s="255"/>
      <c r="AX441" s="255"/>
      <c r="AY441" s="255"/>
      <c r="AZ441" s="255"/>
      <c r="BA441" s="255"/>
      <c r="BB441" s="255"/>
      <c r="BC441" s="255"/>
      <c r="BD441" s="255"/>
      <c r="BE441" s="256"/>
    </row>
    <row r="442" spans="2:57" x14ac:dyDescent="0.25">
      <c r="B442" s="254"/>
      <c r="C442" s="388" t="s">
        <v>84</v>
      </c>
      <c r="D442" s="255"/>
      <c r="E442" s="255"/>
      <c r="F442" s="255"/>
      <c r="G442" s="1247">
        <f>IF('II. Inputs, Baseline Energy Mix'!$O$15&gt;0, ('II. Inputs, Baseline Energy Mix'!$O$16*'II. Inputs, Baseline Energy Mix'!$O$17*'II. Inputs, Baseline Energy Mix'!$O$29*'II. Inputs, Baseline Energy Mix'!$O$80),0)</f>
        <v>0</v>
      </c>
      <c r="H442" s="255"/>
      <c r="I442" s="255"/>
      <c r="J442" s="255"/>
      <c r="K442" s="255"/>
      <c r="L442" s="255"/>
      <c r="M442" s="255"/>
      <c r="N442" s="255"/>
      <c r="O442" s="255"/>
      <c r="P442" s="255"/>
      <c r="Q442" s="255"/>
      <c r="R442" s="255"/>
      <c r="S442" s="255"/>
      <c r="T442" s="255"/>
      <c r="U442" s="255"/>
      <c r="V442" s="255"/>
      <c r="W442" s="255"/>
      <c r="X442" s="255"/>
      <c r="Y442" s="255"/>
      <c r="Z442" s="255"/>
      <c r="AA442" s="255"/>
      <c r="AB442" s="255"/>
      <c r="AC442" s="255"/>
      <c r="AD442" s="255"/>
      <c r="AE442" s="255"/>
      <c r="AF442" s="255"/>
      <c r="AG442" s="255"/>
      <c r="AH442" s="255"/>
      <c r="AI442" s="255"/>
      <c r="AJ442" s="255"/>
      <c r="AK442" s="255"/>
      <c r="AL442" s="255"/>
      <c r="AM442" s="255"/>
      <c r="AN442" s="255"/>
      <c r="AO442" s="255"/>
      <c r="AP442" s="255"/>
      <c r="AQ442" s="255"/>
      <c r="AR442" s="255"/>
      <c r="AS442" s="255"/>
      <c r="AT442" s="255"/>
      <c r="AU442" s="255"/>
      <c r="AV442" s="255"/>
      <c r="AW442" s="255"/>
      <c r="AX442" s="255"/>
      <c r="AY442" s="255"/>
      <c r="AZ442" s="255"/>
      <c r="BA442" s="255"/>
      <c r="BB442" s="255"/>
      <c r="BC442" s="255"/>
      <c r="BD442" s="255"/>
      <c r="BE442" s="256"/>
    </row>
    <row r="443" spans="2:57" x14ac:dyDescent="0.25">
      <c r="B443" s="254"/>
      <c r="C443" s="388" t="str">
        <f>'II. Inputs, Baseline Energy Mix'!$E$81</f>
        <v xml:space="preserve">Term of Political Risk Insurance </v>
      </c>
      <c r="D443" s="255"/>
      <c r="E443" s="255"/>
      <c r="F443" s="255"/>
      <c r="G443" s="257">
        <f>'II. Inputs, Baseline Energy Mix'!$O$81</f>
        <v>0</v>
      </c>
      <c r="H443" s="255"/>
      <c r="I443" s="255"/>
      <c r="J443" s="255"/>
      <c r="K443" s="255"/>
      <c r="L443" s="255"/>
      <c r="M443" s="255"/>
      <c r="N443" s="255"/>
      <c r="O443" s="255"/>
      <c r="P443" s="255"/>
      <c r="Q443" s="255"/>
      <c r="R443" s="255"/>
      <c r="S443" s="255"/>
      <c r="T443" s="255"/>
      <c r="U443" s="255"/>
      <c r="V443" s="255"/>
      <c r="W443" s="255"/>
      <c r="X443" s="255"/>
      <c r="Y443" s="255"/>
      <c r="Z443" s="255"/>
      <c r="AA443" s="255"/>
      <c r="AB443" s="255"/>
      <c r="AC443" s="255"/>
      <c r="AD443" s="255"/>
      <c r="AE443" s="255"/>
      <c r="AF443" s="255"/>
      <c r="AG443" s="255"/>
      <c r="AH443" s="255"/>
      <c r="AI443" s="255"/>
      <c r="AJ443" s="255"/>
      <c r="AK443" s="255"/>
      <c r="AL443" s="255"/>
      <c r="AM443" s="255"/>
      <c r="AN443" s="255"/>
      <c r="AO443" s="255"/>
      <c r="AP443" s="255"/>
      <c r="AQ443" s="255"/>
      <c r="AR443" s="255"/>
      <c r="AS443" s="255"/>
      <c r="AT443" s="255"/>
      <c r="AU443" s="255"/>
      <c r="AV443" s="255"/>
      <c r="AW443" s="255"/>
      <c r="AX443" s="255"/>
      <c r="AY443" s="255"/>
      <c r="AZ443" s="255"/>
      <c r="BA443" s="255"/>
      <c r="BB443" s="255"/>
      <c r="BC443" s="255"/>
      <c r="BD443" s="255"/>
      <c r="BE443" s="256"/>
    </row>
    <row r="444" spans="2:57" x14ac:dyDescent="0.25">
      <c r="B444" s="254"/>
      <c r="C444" s="388" t="str">
        <f>'II. Inputs, Baseline Energy Mix'!$E$82</f>
        <v xml:space="preserve">Front-end Fee </v>
      </c>
      <c r="D444" s="255"/>
      <c r="E444" s="255"/>
      <c r="F444" s="255"/>
      <c r="G444" s="1247">
        <f>'II. Inputs, Baseline Energy Mix'!$O$82</f>
        <v>0</v>
      </c>
      <c r="H444" s="255"/>
      <c r="I444" s="255"/>
      <c r="J444" s="255"/>
      <c r="K444" s="255"/>
      <c r="L444" s="255"/>
      <c r="M444" s="255"/>
      <c r="N444" s="255"/>
      <c r="O444" s="255"/>
      <c r="P444" s="255"/>
      <c r="Q444" s="255"/>
      <c r="R444" s="255"/>
      <c r="S444" s="255"/>
      <c r="T444" s="255"/>
      <c r="U444" s="255"/>
      <c r="V444" s="255"/>
      <c r="W444" s="255"/>
      <c r="X444" s="255"/>
      <c r="Y444" s="255"/>
      <c r="Z444" s="255"/>
      <c r="AA444" s="255"/>
      <c r="AB444" s="255"/>
      <c r="AC444" s="255"/>
      <c r="AD444" s="255"/>
      <c r="AE444" s="255"/>
      <c r="AF444" s="255"/>
      <c r="AG444" s="255"/>
      <c r="AH444" s="255"/>
      <c r="AI444" s="255"/>
      <c r="AJ444" s="255"/>
      <c r="AK444" s="255"/>
      <c r="AL444" s="255"/>
      <c r="AM444" s="255"/>
      <c r="AN444" s="255"/>
      <c r="AO444" s="255"/>
      <c r="AP444" s="255"/>
      <c r="AQ444" s="255"/>
      <c r="AR444" s="255"/>
      <c r="AS444" s="255"/>
      <c r="AT444" s="255"/>
      <c r="AU444" s="255"/>
      <c r="AV444" s="255"/>
      <c r="AW444" s="255"/>
      <c r="AX444" s="255"/>
      <c r="AY444" s="255"/>
      <c r="AZ444" s="255"/>
      <c r="BA444" s="255"/>
      <c r="BB444" s="255"/>
      <c r="BC444" s="255"/>
      <c r="BD444" s="255"/>
      <c r="BE444" s="256"/>
    </row>
    <row r="445" spans="2:57" x14ac:dyDescent="0.25">
      <c r="B445" s="254"/>
      <c r="C445" s="388" t="str">
        <f>'II. Inputs, Baseline Energy Mix'!$E$83</f>
        <v xml:space="preserve">Annual Political Risk Insurance Premium </v>
      </c>
      <c r="D445" s="255"/>
      <c r="E445" s="255"/>
      <c r="F445" s="255"/>
      <c r="G445" s="1247">
        <f>'II. Inputs, Baseline Energy Mix'!$O$83</f>
        <v>0</v>
      </c>
      <c r="H445" s="255"/>
      <c r="I445" s="255"/>
      <c r="J445" s="255"/>
      <c r="K445" s="255"/>
      <c r="L445" s="255"/>
      <c r="M445" s="255"/>
      <c r="N445" s="255"/>
      <c r="O445" s="255"/>
      <c r="P445" s="255"/>
      <c r="Q445" s="255"/>
      <c r="R445" s="255"/>
      <c r="S445" s="255"/>
      <c r="T445" s="255"/>
      <c r="U445" s="255"/>
      <c r="V445" s="255"/>
      <c r="W445" s="255"/>
      <c r="X445" s="255"/>
      <c r="Y445" s="255"/>
      <c r="Z445" s="255"/>
      <c r="AA445" s="255"/>
      <c r="AB445" s="255"/>
      <c r="AC445" s="255"/>
      <c r="AD445" s="255"/>
      <c r="AE445" s="255"/>
      <c r="AF445" s="255"/>
      <c r="AG445" s="255"/>
      <c r="AH445" s="255"/>
      <c r="AI445" s="255"/>
      <c r="AJ445" s="255"/>
      <c r="AK445" s="255"/>
      <c r="AL445" s="255"/>
      <c r="AM445" s="255"/>
      <c r="AN445" s="255"/>
      <c r="AO445" s="255"/>
      <c r="AP445" s="255"/>
      <c r="AQ445" s="255"/>
      <c r="AR445" s="255"/>
      <c r="AS445" s="255"/>
      <c r="AT445" s="255"/>
      <c r="AU445" s="255"/>
      <c r="AV445" s="255"/>
      <c r="AW445" s="255"/>
      <c r="AX445" s="255"/>
      <c r="AY445" s="255"/>
      <c r="AZ445" s="255"/>
      <c r="BA445" s="255"/>
      <c r="BB445" s="255"/>
      <c r="BC445" s="255"/>
      <c r="BD445" s="255"/>
      <c r="BE445" s="256"/>
    </row>
    <row r="446" spans="2:57" x14ac:dyDescent="0.25">
      <c r="B446" s="254"/>
      <c r="C446" s="255"/>
      <c r="D446" s="255"/>
      <c r="E446" s="255"/>
      <c r="F446" s="255"/>
      <c r="G446" s="255"/>
      <c r="H446" s="255"/>
      <c r="I446" s="255"/>
      <c r="J446" s="255"/>
      <c r="K446" s="255"/>
      <c r="L446" s="255"/>
      <c r="M446" s="255"/>
      <c r="N446" s="255"/>
      <c r="O446" s="255"/>
      <c r="P446" s="255"/>
      <c r="Q446" s="255"/>
      <c r="R446" s="255"/>
      <c r="S446" s="255"/>
      <c r="T446" s="255"/>
      <c r="U446" s="255"/>
      <c r="V446" s="255"/>
      <c r="W446" s="255"/>
      <c r="X446" s="255"/>
      <c r="Y446" s="255"/>
      <c r="Z446" s="255"/>
      <c r="AA446" s="255"/>
      <c r="AB446" s="255"/>
      <c r="AC446" s="255"/>
      <c r="AD446" s="255"/>
      <c r="AE446" s="255"/>
      <c r="AF446" s="255"/>
      <c r="AG446" s="255"/>
      <c r="AH446" s="255"/>
      <c r="AI446" s="255"/>
      <c r="AJ446" s="255"/>
      <c r="AK446" s="255"/>
      <c r="AL446" s="255"/>
      <c r="AM446" s="255"/>
      <c r="AN446" s="255"/>
      <c r="AO446" s="255"/>
      <c r="AP446" s="255"/>
      <c r="AQ446" s="255"/>
      <c r="AR446" s="255"/>
      <c r="AS446" s="255"/>
      <c r="AT446" s="255"/>
      <c r="AU446" s="255"/>
      <c r="AV446" s="255"/>
      <c r="AW446" s="255"/>
      <c r="AX446" s="255"/>
      <c r="AY446" s="255"/>
      <c r="AZ446" s="255"/>
      <c r="BA446" s="255"/>
      <c r="BB446" s="255"/>
      <c r="BC446" s="255"/>
      <c r="BD446" s="255"/>
      <c r="BE446" s="256"/>
    </row>
    <row r="447" spans="2:57" x14ac:dyDescent="0.25">
      <c r="B447" s="254"/>
      <c r="C447" s="391" t="s">
        <v>71</v>
      </c>
      <c r="D447" s="255"/>
      <c r="E447" s="255"/>
      <c r="F447" s="255"/>
      <c r="G447" s="255"/>
      <c r="H447" s="255"/>
      <c r="I447" s="255"/>
      <c r="J447" s="255"/>
      <c r="K447" s="255"/>
      <c r="L447" s="255"/>
      <c r="M447" s="255"/>
      <c r="N447" s="255"/>
      <c r="O447" s="255"/>
      <c r="P447" s="255"/>
      <c r="Q447" s="255"/>
      <c r="R447" s="255"/>
      <c r="S447" s="255"/>
      <c r="T447" s="255"/>
      <c r="U447" s="255"/>
      <c r="V447" s="255"/>
      <c r="W447" s="255"/>
      <c r="X447" s="255"/>
      <c r="Y447" s="255"/>
      <c r="Z447" s="255"/>
      <c r="AA447" s="255"/>
      <c r="AB447" s="255"/>
      <c r="AC447" s="255"/>
      <c r="AD447" s="255"/>
      <c r="AE447" s="255"/>
      <c r="AF447" s="255"/>
      <c r="AG447" s="255"/>
      <c r="AH447" s="255"/>
      <c r="AI447" s="255"/>
      <c r="AJ447" s="255"/>
      <c r="AK447" s="255"/>
      <c r="AL447" s="255"/>
      <c r="AM447" s="255"/>
      <c r="AN447" s="255"/>
      <c r="AO447" s="255"/>
      <c r="AP447" s="255"/>
      <c r="AQ447" s="255"/>
      <c r="AR447" s="255"/>
      <c r="AS447" s="255"/>
      <c r="AT447" s="255"/>
      <c r="AU447" s="255"/>
      <c r="AV447" s="255"/>
      <c r="AW447" s="255"/>
      <c r="AX447" s="255"/>
      <c r="AY447" s="255"/>
      <c r="AZ447" s="255"/>
      <c r="BA447" s="255"/>
      <c r="BB447" s="255"/>
      <c r="BC447" s="255"/>
      <c r="BD447" s="255"/>
      <c r="BE447" s="256"/>
    </row>
    <row r="448" spans="2:57" x14ac:dyDescent="0.25">
      <c r="B448" s="254"/>
      <c r="C448" s="255" t="str">
        <f>'II. Inputs, Baseline Energy Mix'!$E$82</f>
        <v xml:space="preserve">Front-end Fee </v>
      </c>
      <c r="D448" s="255"/>
      <c r="E448" s="255"/>
      <c r="F448" s="255"/>
      <c r="G448" s="255"/>
      <c r="H448" s="1247">
        <f>IF(G442&gt;0, G442*G444/10000, 0)</f>
        <v>0</v>
      </c>
      <c r="I448" s="1247">
        <v>0</v>
      </c>
      <c r="J448" s="1247">
        <v>0</v>
      </c>
      <c r="K448" s="1247">
        <v>0</v>
      </c>
      <c r="L448" s="1247">
        <v>0</v>
      </c>
      <c r="M448" s="1247">
        <v>0</v>
      </c>
      <c r="N448" s="1247">
        <v>0</v>
      </c>
      <c r="O448" s="1247">
        <v>0</v>
      </c>
      <c r="P448" s="1247">
        <v>0</v>
      </c>
      <c r="Q448" s="1247">
        <v>0</v>
      </c>
      <c r="R448" s="1247">
        <v>0</v>
      </c>
      <c r="S448" s="1247">
        <v>0</v>
      </c>
      <c r="T448" s="1247">
        <v>0</v>
      </c>
      <c r="U448" s="1247">
        <v>0</v>
      </c>
      <c r="V448" s="1247">
        <v>0</v>
      </c>
      <c r="W448" s="1247">
        <v>0</v>
      </c>
      <c r="X448" s="1247">
        <v>0</v>
      </c>
      <c r="Y448" s="1247">
        <v>0</v>
      </c>
      <c r="Z448" s="1247">
        <v>0</v>
      </c>
      <c r="AA448" s="1247">
        <v>0</v>
      </c>
      <c r="AB448" s="1247">
        <v>0</v>
      </c>
      <c r="AC448" s="1247">
        <v>0</v>
      </c>
      <c r="AD448" s="1247">
        <v>0</v>
      </c>
      <c r="AE448" s="1247">
        <v>0</v>
      </c>
      <c r="AF448" s="1247">
        <v>0</v>
      </c>
      <c r="AG448" s="1247">
        <v>0</v>
      </c>
      <c r="AH448" s="1247">
        <v>0</v>
      </c>
      <c r="AI448" s="1247">
        <v>0</v>
      </c>
      <c r="AJ448" s="1247">
        <v>0</v>
      </c>
      <c r="AK448" s="1247">
        <v>0</v>
      </c>
      <c r="AL448" s="1247">
        <v>0</v>
      </c>
      <c r="AM448" s="1247">
        <v>0</v>
      </c>
      <c r="AN448" s="1247">
        <v>0</v>
      </c>
      <c r="AO448" s="1247">
        <v>0</v>
      </c>
      <c r="AP448" s="1247">
        <v>0</v>
      </c>
      <c r="AQ448" s="1247">
        <v>0</v>
      </c>
      <c r="AR448" s="1247">
        <v>0</v>
      </c>
      <c r="AS448" s="1247">
        <v>0</v>
      </c>
      <c r="AT448" s="1247">
        <v>0</v>
      </c>
      <c r="AU448" s="1247">
        <v>0</v>
      </c>
      <c r="AV448" s="1247">
        <v>0</v>
      </c>
      <c r="AW448" s="1247">
        <v>0</v>
      </c>
      <c r="AX448" s="1247">
        <v>0</v>
      </c>
      <c r="AY448" s="1247">
        <v>0</v>
      </c>
      <c r="AZ448" s="1247">
        <v>0</v>
      </c>
      <c r="BA448" s="1247">
        <v>0</v>
      </c>
      <c r="BB448" s="1247">
        <v>0</v>
      </c>
      <c r="BC448" s="1247">
        <v>0</v>
      </c>
      <c r="BD448" s="1247">
        <v>0</v>
      </c>
      <c r="BE448" s="1248">
        <v>0</v>
      </c>
    </row>
    <row r="449" spans="2:57" x14ac:dyDescent="0.25">
      <c r="B449" s="254"/>
      <c r="C449" s="262" t="str">
        <f>'II. Inputs, Baseline Energy Mix'!$E$83</f>
        <v xml:space="preserve">Annual Political Risk Insurance Premium </v>
      </c>
      <c r="D449" s="262"/>
      <c r="E449" s="262"/>
      <c r="F449" s="262"/>
      <c r="G449" s="262"/>
      <c r="H449" s="1249">
        <f>IF(H$299&gt;$G443,0,($G442*$G445/10000))</f>
        <v>0</v>
      </c>
      <c r="I449" s="1249">
        <f>IF(I$299&gt;$G$443,0,($G$442*$G$445/10000))</f>
        <v>0</v>
      </c>
      <c r="J449" s="1249">
        <f t="shared" ref="J449:BE449" si="155">IF(J$299&gt;$G$443,0,($G$442*$G$445/10000))</f>
        <v>0</v>
      </c>
      <c r="K449" s="1249">
        <f t="shared" si="155"/>
        <v>0</v>
      </c>
      <c r="L449" s="1249">
        <f t="shared" si="155"/>
        <v>0</v>
      </c>
      <c r="M449" s="1249">
        <f t="shared" si="155"/>
        <v>0</v>
      </c>
      <c r="N449" s="1249">
        <f t="shared" si="155"/>
        <v>0</v>
      </c>
      <c r="O449" s="1249">
        <f t="shared" si="155"/>
        <v>0</v>
      </c>
      <c r="P449" s="1249">
        <f t="shared" si="155"/>
        <v>0</v>
      </c>
      <c r="Q449" s="1249">
        <f t="shared" si="155"/>
        <v>0</v>
      </c>
      <c r="R449" s="1249">
        <f t="shared" si="155"/>
        <v>0</v>
      </c>
      <c r="S449" s="1249">
        <f t="shared" si="155"/>
        <v>0</v>
      </c>
      <c r="T449" s="1249">
        <f t="shared" si="155"/>
        <v>0</v>
      </c>
      <c r="U449" s="1249">
        <f t="shared" si="155"/>
        <v>0</v>
      </c>
      <c r="V449" s="1249">
        <f t="shared" si="155"/>
        <v>0</v>
      </c>
      <c r="W449" s="1249">
        <f t="shared" si="155"/>
        <v>0</v>
      </c>
      <c r="X449" s="1249">
        <f t="shared" si="155"/>
        <v>0</v>
      </c>
      <c r="Y449" s="1249">
        <f t="shared" si="155"/>
        <v>0</v>
      </c>
      <c r="Z449" s="1249">
        <f t="shared" si="155"/>
        <v>0</v>
      </c>
      <c r="AA449" s="1249">
        <f t="shared" si="155"/>
        <v>0</v>
      </c>
      <c r="AB449" s="1249">
        <f t="shared" si="155"/>
        <v>0</v>
      </c>
      <c r="AC449" s="1249">
        <f t="shared" si="155"/>
        <v>0</v>
      </c>
      <c r="AD449" s="1249">
        <f t="shared" si="155"/>
        <v>0</v>
      </c>
      <c r="AE449" s="1249">
        <f t="shared" si="155"/>
        <v>0</v>
      </c>
      <c r="AF449" s="1249">
        <f t="shared" si="155"/>
        <v>0</v>
      </c>
      <c r="AG449" s="1249">
        <f t="shared" si="155"/>
        <v>0</v>
      </c>
      <c r="AH449" s="1249">
        <f t="shared" si="155"/>
        <v>0</v>
      </c>
      <c r="AI449" s="1249">
        <f t="shared" si="155"/>
        <v>0</v>
      </c>
      <c r="AJ449" s="1249">
        <f t="shared" si="155"/>
        <v>0</v>
      </c>
      <c r="AK449" s="1249">
        <f t="shared" si="155"/>
        <v>0</v>
      </c>
      <c r="AL449" s="1249">
        <f t="shared" si="155"/>
        <v>0</v>
      </c>
      <c r="AM449" s="1249">
        <f t="shared" si="155"/>
        <v>0</v>
      </c>
      <c r="AN449" s="1249">
        <f t="shared" si="155"/>
        <v>0</v>
      </c>
      <c r="AO449" s="1249">
        <f t="shared" si="155"/>
        <v>0</v>
      </c>
      <c r="AP449" s="1249">
        <f t="shared" si="155"/>
        <v>0</v>
      </c>
      <c r="AQ449" s="1249">
        <f t="shared" si="155"/>
        <v>0</v>
      </c>
      <c r="AR449" s="1249">
        <f t="shared" si="155"/>
        <v>0</v>
      </c>
      <c r="AS449" s="1249">
        <f t="shared" si="155"/>
        <v>0</v>
      </c>
      <c r="AT449" s="1249">
        <f t="shared" si="155"/>
        <v>0</v>
      </c>
      <c r="AU449" s="1249">
        <f t="shared" si="155"/>
        <v>0</v>
      </c>
      <c r="AV449" s="1249">
        <f t="shared" si="155"/>
        <v>0</v>
      </c>
      <c r="AW449" s="1249">
        <f t="shared" si="155"/>
        <v>0</v>
      </c>
      <c r="AX449" s="1249">
        <f t="shared" si="155"/>
        <v>0</v>
      </c>
      <c r="AY449" s="1249">
        <f t="shared" si="155"/>
        <v>0</v>
      </c>
      <c r="AZ449" s="1249">
        <f t="shared" si="155"/>
        <v>0</v>
      </c>
      <c r="BA449" s="1249">
        <f t="shared" si="155"/>
        <v>0</v>
      </c>
      <c r="BB449" s="1249">
        <f t="shared" si="155"/>
        <v>0</v>
      </c>
      <c r="BC449" s="1249">
        <f t="shared" si="155"/>
        <v>0</v>
      </c>
      <c r="BD449" s="1249">
        <f t="shared" si="155"/>
        <v>0</v>
      </c>
      <c r="BE449" s="1250">
        <f t="shared" si="155"/>
        <v>0</v>
      </c>
    </row>
    <row r="450" spans="2:57" x14ac:dyDescent="0.25">
      <c r="B450" s="254"/>
      <c r="C450" s="255" t="s">
        <v>85</v>
      </c>
      <c r="D450" s="255"/>
      <c r="E450" s="255"/>
      <c r="F450" s="255"/>
      <c r="G450" s="255"/>
      <c r="H450" s="1247">
        <f>H448+H449</f>
        <v>0</v>
      </c>
      <c r="I450" s="1247">
        <f t="shared" ref="I450:BE450" si="156">I448+I449</f>
        <v>0</v>
      </c>
      <c r="J450" s="1247">
        <f t="shared" si="156"/>
        <v>0</v>
      </c>
      <c r="K450" s="1247">
        <f t="shared" si="156"/>
        <v>0</v>
      </c>
      <c r="L450" s="1247">
        <f t="shared" si="156"/>
        <v>0</v>
      </c>
      <c r="M450" s="1247">
        <f t="shared" si="156"/>
        <v>0</v>
      </c>
      <c r="N450" s="1247">
        <f t="shared" si="156"/>
        <v>0</v>
      </c>
      <c r="O450" s="1247">
        <f t="shared" si="156"/>
        <v>0</v>
      </c>
      <c r="P450" s="1247">
        <f t="shared" si="156"/>
        <v>0</v>
      </c>
      <c r="Q450" s="1247">
        <f t="shared" si="156"/>
        <v>0</v>
      </c>
      <c r="R450" s="1247">
        <f t="shared" si="156"/>
        <v>0</v>
      </c>
      <c r="S450" s="1247">
        <f t="shared" si="156"/>
        <v>0</v>
      </c>
      <c r="T450" s="1247">
        <f t="shared" si="156"/>
        <v>0</v>
      </c>
      <c r="U450" s="1247">
        <f t="shared" si="156"/>
        <v>0</v>
      </c>
      <c r="V450" s="1247">
        <f t="shared" si="156"/>
        <v>0</v>
      </c>
      <c r="W450" s="1247">
        <f t="shared" si="156"/>
        <v>0</v>
      </c>
      <c r="X450" s="1247">
        <f t="shared" si="156"/>
        <v>0</v>
      </c>
      <c r="Y450" s="1247">
        <f t="shared" si="156"/>
        <v>0</v>
      </c>
      <c r="Z450" s="1247">
        <f t="shared" si="156"/>
        <v>0</v>
      </c>
      <c r="AA450" s="1247">
        <f t="shared" si="156"/>
        <v>0</v>
      </c>
      <c r="AB450" s="1247">
        <f t="shared" si="156"/>
        <v>0</v>
      </c>
      <c r="AC450" s="1247">
        <f t="shared" si="156"/>
        <v>0</v>
      </c>
      <c r="AD450" s="1247">
        <f t="shared" si="156"/>
        <v>0</v>
      </c>
      <c r="AE450" s="1247">
        <f t="shared" si="156"/>
        <v>0</v>
      </c>
      <c r="AF450" s="1247">
        <f t="shared" si="156"/>
        <v>0</v>
      </c>
      <c r="AG450" s="1247">
        <f t="shared" si="156"/>
        <v>0</v>
      </c>
      <c r="AH450" s="1247">
        <f t="shared" si="156"/>
        <v>0</v>
      </c>
      <c r="AI450" s="1247">
        <f t="shared" si="156"/>
        <v>0</v>
      </c>
      <c r="AJ450" s="1247">
        <f t="shared" si="156"/>
        <v>0</v>
      </c>
      <c r="AK450" s="1247">
        <f t="shared" si="156"/>
        <v>0</v>
      </c>
      <c r="AL450" s="1247">
        <f t="shared" si="156"/>
        <v>0</v>
      </c>
      <c r="AM450" s="1247">
        <f t="shared" si="156"/>
        <v>0</v>
      </c>
      <c r="AN450" s="1247">
        <f t="shared" si="156"/>
        <v>0</v>
      </c>
      <c r="AO450" s="1247">
        <f t="shared" si="156"/>
        <v>0</v>
      </c>
      <c r="AP450" s="1247">
        <f t="shared" si="156"/>
        <v>0</v>
      </c>
      <c r="AQ450" s="1247">
        <f t="shared" si="156"/>
        <v>0</v>
      </c>
      <c r="AR450" s="1247">
        <f t="shared" si="156"/>
        <v>0</v>
      </c>
      <c r="AS450" s="1247">
        <f t="shared" si="156"/>
        <v>0</v>
      </c>
      <c r="AT450" s="1247">
        <f t="shared" si="156"/>
        <v>0</v>
      </c>
      <c r="AU450" s="1247">
        <f t="shared" si="156"/>
        <v>0</v>
      </c>
      <c r="AV450" s="1247">
        <f t="shared" si="156"/>
        <v>0</v>
      </c>
      <c r="AW450" s="1247">
        <f t="shared" si="156"/>
        <v>0</v>
      </c>
      <c r="AX450" s="1247">
        <f t="shared" si="156"/>
        <v>0</v>
      </c>
      <c r="AY450" s="1247">
        <f t="shared" si="156"/>
        <v>0</v>
      </c>
      <c r="AZ450" s="1247">
        <f t="shared" si="156"/>
        <v>0</v>
      </c>
      <c r="BA450" s="1247">
        <f t="shared" si="156"/>
        <v>0</v>
      </c>
      <c r="BB450" s="1247">
        <f t="shared" si="156"/>
        <v>0</v>
      </c>
      <c r="BC450" s="1247">
        <f t="shared" si="156"/>
        <v>0</v>
      </c>
      <c r="BD450" s="1247">
        <f t="shared" si="156"/>
        <v>0</v>
      </c>
      <c r="BE450" s="1248">
        <f t="shared" si="156"/>
        <v>0</v>
      </c>
    </row>
    <row r="451" spans="2:57" ht="13.8" thickBot="1" x14ac:dyDescent="0.3">
      <c r="B451" s="271"/>
      <c r="C451" s="272"/>
      <c r="D451" s="272"/>
      <c r="E451" s="272"/>
      <c r="F451" s="272"/>
      <c r="G451" s="272"/>
      <c r="H451" s="273"/>
      <c r="I451" s="273"/>
      <c r="J451" s="273"/>
      <c r="K451" s="273"/>
      <c r="L451" s="273"/>
      <c r="M451" s="273"/>
      <c r="N451" s="273"/>
      <c r="O451" s="273"/>
      <c r="P451" s="273"/>
      <c r="Q451" s="273"/>
      <c r="R451" s="273"/>
      <c r="S451" s="273"/>
      <c r="T451" s="273"/>
      <c r="U451" s="273"/>
      <c r="V451" s="273"/>
      <c r="W451" s="273"/>
      <c r="X451" s="273"/>
      <c r="Y451" s="273"/>
      <c r="Z451" s="273"/>
      <c r="AA451" s="273"/>
      <c r="AB451" s="273"/>
      <c r="AC451" s="273"/>
      <c r="AD451" s="273"/>
      <c r="AE451" s="273"/>
      <c r="AF451" s="273"/>
      <c r="AG451" s="273"/>
      <c r="AH451" s="273"/>
      <c r="AI451" s="273"/>
      <c r="AJ451" s="273"/>
      <c r="AK451" s="273"/>
      <c r="AL451" s="273"/>
      <c r="AM451" s="273"/>
      <c r="AN451" s="273"/>
      <c r="AO451" s="273"/>
      <c r="AP451" s="273"/>
      <c r="AQ451" s="273"/>
      <c r="AR451" s="273"/>
      <c r="AS451" s="273"/>
      <c r="AT451" s="273"/>
      <c r="AU451" s="273"/>
      <c r="AV451" s="273"/>
      <c r="AW451" s="273"/>
      <c r="AX451" s="273"/>
      <c r="AY451" s="273"/>
      <c r="AZ451" s="273"/>
      <c r="BA451" s="273"/>
      <c r="BB451" s="273"/>
      <c r="BC451" s="273"/>
      <c r="BD451" s="273"/>
      <c r="BE451" s="393"/>
    </row>
    <row r="452" spans="2:57" x14ac:dyDescent="0.25">
      <c r="H452" s="250"/>
      <c r="I452" s="250"/>
      <c r="J452" s="250"/>
      <c r="K452" s="250"/>
      <c r="L452" s="250"/>
      <c r="M452" s="250"/>
      <c r="N452" s="250"/>
      <c r="O452" s="250"/>
      <c r="P452" s="250"/>
      <c r="Q452" s="250"/>
      <c r="R452" s="250"/>
      <c r="S452" s="250"/>
      <c r="T452" s="250"/>
      <c r="U452" s="250"/>
      <c r="V452" s="250"/>
      <c r="W452" s="250"/>
      <c r="X452" s="250"/>
      <c r="Y452" s="250"/>
      <c r="Z452" s="250"/>
      <c r="AA452" s="250"/>
      <c r="AB452" s="250"/>
      <c r="AC452" s="250"/>
      <c r="AD452" s="250"/>
      <c r="AE452" s="250"/>
      <c r="AF452" s="250"/>
      <c r="AG452" s="250"/>
      <c r="AH452" s="250"/>
      <c r="AI452" s="250"/>
      <c r="AJ452" s="250"/>
      <c r="AK452" s="250"/>
      <c r="AL452" s="250"/>
      <c r="AM452" s="250"/>
      <c r="AN452" s="250"/>
      <c r="AO452" s="250"/>
      <c r="AP452" s="250"/>
      <c r="AQ452" s="250"/>
      <c r="AR452" s="250"/>
      <c r="AS452" s="250"/>
      <c r="AT452" s="250"/>
      <c r="AU452" s="250"/>
      <c r="AV452" s="250"/>
      <c r="AW452" s="250"/>
      <c r="AX452" s="250"/>
      <c r="AY452" s="250"/>
      <c r="AZ452" s="250"/>
      <c r="BA452" s="250"/>
      <c r="BB452" s="250"/>
      <c r="BC452" s="250"/>
      <c r="BD452" s="250"/>
      <c r="BE452" s="250"/>
    </row>
    <row r="453" spans="2:57" s="36" customFormat="1" x14ac:dyDescent="0.25">
      <c r="B453" s="214" t="s">
        <v>58</v>
      </c>
      <c r="C453" s="215"/>
      <c r="D453" s="215"/>
      <c r="E453" s="216"/>
      <c r="F453" s="215"/>
      <c r="G453" s="216">
        <v>0</v>
      </c>
      <c r="H453" s="216">
        <v>1</v>
      </c>
      <c r="I453" s="216">
        <v>2</v>
      </c>
      <c r="J453" s="216">
        <v>3</v>
      </c>
      <c r="K453" s="216">
        <v>4</v>
      </c>
      <c r="L453" s="216">
        <v>5</v>
      </c>
      <c r="M453" s="216">
        <v>6</v>
      </c>
      <c r="N453" s="216">
        <v>7</v>
      </c>
      <c r="O453" s="216">
        <v>8</v>
      </c>
      <c r="P453" s="216">
        <v>9</v>
      </c>
      <c r="Q453" s="216">
        <v>10</v>
      </c>
      <c r="R453" s="216">
        <v>11</v>
      </c>
      <c r="S453" s="216">
        <v>12</v>
      </c>
      <c r="T453" s="216">
        <v>13</v>
      </c>
      <c r="U453" s="216">
        <v>14</v>
      </c>
      <c r="V453" s="216">
        <v>15</v>
      </c>
      <c r="W453" s="216">
        <v>16</v>
      </c>
      <c r="X453" s="216">
        <v>17</v>
      </c>
      <c r="Y453" s="216">
        <v>18</v>
      </c>
      <c r="Z453" s="216">
        <v>19</v>
      </c>
      <c r="AA453" s="216">
        <v>20</v>
      </c>
      <c r="AB453" s="216">
        <v>21</v>
      </c>
      <c r="AC453" s="216">
        <v>22</v>
      </c>
      <c r="AD453" s="216">
        <v>23</v>
      </c>
      <c r="AE453" s="216">
        <v>24</v>
      </c>
      <c r="AF453" s="216">
        <v>25</v>
      </c>
      <c r="AG453" s="216">
        <v>26</v>
      </c>
      <c r="AH453" s="216">
        <v>27</v>
      </c>
      <c r="AI453" s="216">
        <v>28</v>
      </c>
      <c r="AJ453" s="216">
        <v>29</v>
      </c>
      <c r="AK453" s="216">
        <v>30</v>
      </c>
      <c r="AL453" s="216">
        <v>31</v>
      </c>
      <c r="AM453" s="216">
        <v>32</v>
      </c>
      <c r="AN453" s="216">
        <v>33</v>
      </c>
      <c r="AO453" s="216">
        <v>34</v>
      </c>
      <c r="AP453" s="216">
        <v>35</v>
      </c>
      <c r="AQ453" s="216">
        <v>36</v>
      </c>
      <c r="AR453" s="216">
        <v>37</v>
      </c>
      <c r="AS453" s="216">
        <v>38</v>
      </c>
      <c r="AT453" s="216">
        <v>39</v>
      </c>
      <c r="AU453" s="216">
        <v>40</v>
      </c>
      <c r="AV453" s="216">
        <v>41</v>
      </c>
      <c r="AW453" s="216">
        <v>42</v>
      </c>
      <c r="AX453" s="216">
        <v>43</v>
      </c>
      <c r="AY453" s="216">
        <v>44</v>
      </c>
      <c r="AZ453" s="216">
        <v>45</v>
      </c>
      <c r="BA453" s="216">
        <v>46</v>
      </c>
      <c r="BB453" s="216">
        <v>47</v>
      </c>
      <c r="BC453" s="216">
        <v>48</v>
      </c>
      <c r="BD453" s="216">
        <v>49</v>
      </c>
      <c r="BE453" s="216">
        <v>50</v>
      </c>
    </row>
    <row r="454" spans="2:57" ht="13.8" thickBot="1" x14ac:dyDescent="0.3">
      <c r="B454" s="33"/>
      <c r="C454" s="34"/>
      <c r="D454" s="34"/>
      <c r="E454" s="209"/>
      <c r="G454" s="209"/>
      <c r="H454" s="209"/>
      <c r="I454" s="209"/>
      <c r="J454" s="209"/>
      <c r="K454" s="209"/>
      <c r="L454" s="209"/>
      <c r="M454" s="209"/>
      <c r="N454" s="209"/>
      <c r="O454" s="209"/>
      <c r="P454" s="209"/>
      <c r="Q454" s="209"/>
      <c r="R454" s="209"/>
      <c r="S454" s="209"/>
      <c r="T454" s="209"/>
      <c r="U454" s="209"/>
      <c r="V454" s="209"/>
      <c r="W454" s="209"/>
      <c r="X454" s="209"/>
      <c r="Y454" s="209"/>
      <c r="Z454" s="209"/>
      <c r="AA454" s="209"/>
      <c r="AB454" s="209"/>
      <c r="AC454" s="209"/>
      <c r="AD454" s="209"/>
      <c r="AE454" s="209"/>
      <c r="AF454" s="209"/>
      <c r="AG454" s="209"/>
      <c r="AH454" s="209"/>
      <c r="AI454" s="209"/>
      <c r="AJ454" s="209"/>
      <c r="AK454" s="209"/>
      <c r="AL454" s="209"/>
      <c r="AM454" s="209"/>
      <c r="AN454" s="209"/>
      <c r="AO454" s="209"/>
      <c r="AP454" s="209"/>
      <c r="AQ454" s="209"/>
      <c r="AR454" s="209"/>
      <c r="AS454" s="209"/>
      <c r="AT454" s="209"/>
      <c r="AU454" s="209"/>
      <c r="AV454" s="209"/>
      <c r="AW454" s="209"/>
      <c r="AX454" s="209"/>
      <c r="AY454" s="209"/>
      <c r="AZ454" s="209"/>
      <c r="BA454" s="209"/>
      <c r="BB454" s="209"/>
      <c r="BC454" s="209"/>
      <c r="BD454" s="209"/>
      <c r="BE454" s="209"/>
    </row>
    <row r="455" spans="2:57" s="36" customFormat="1" x14ac:dyDescent="0.25">
      <c r="B455" s="275" t="str">
        <f>B110</f>
        <v>HYDRO</v>
      </c>
      <c r="C455" s="276"/>
      <c r="D455" s="276"/>
      <c r="E455" s="276"/>
      <c r="F455" s="276"/>
      <c r="G455" s="276"/>
      <c r="H455" s="276"/>
      <c r="I455" s="276"/>
      <c r="J455" s="276"/>
      <c r="K455" s="276"/>
      <c r="L455" s="276"/>
      <c r="M455" s="276"/>
      <c r="N455" s="276"/>
      <c r="O455" s="276"/>
      <c r="P455" s="276"/>
      <c r="Q455" s="276"/>
      <c r="R455" s="276"/>
      <c r="S455" s="276"/>
      <c r="T455" s="276"/>
      <c r="U455" s="276"/>
      <c r="V455" s="276"/>
      <c r="W455" s="276"/>
      <c r="X455" s="276"/>
      <c r="Y455" s="276"/>
      <c r="Z455" s="276"/>
      <c r="AA455" s="276"/>
      <c r="AB455" s="276"/>
      <c r="AC455" s="276"/>
      <c r="AD455" s="276"/>
      <c r="AE455" s="276"/>
      <c r="AF455" s="276"/>
      <c r="AG455" s="276"/>
      <c r="AH455" s="276"/>
      <c r="AI455" s="276"/>
      <c r="AJ455" s="276"/>
      <c r="AK455" s="276"/>
      <c r="AL455" s="276"/>
      <c r="AM455" s="276"/>
      <c r="AN455" s="276"/>
      <c r="AO455" s="276"/>
      <c r="AP455" s="276"/>
      <c r="AQ455" s="276"/>
      <c r="AR455" s="276"/>
      <c r="AS455" s="276"/>
      <c r="AT455" s="276"/>
      <c r="AU455" s="276"/>
      <c r="AV455" s="276"/>
      <c r="AW455" s="276"/>
      <c r="AX455" s="276"/>
      <c r="AY455" s="276"/>
      <c r="AZ455" s="276"/>
      <c r="BA455" s="276"/>
      <c r="BB455" s="276"/>
      <c r="BC455" s="276"/>
      <c r="BD455" s="276"/>
      <c r="BE455" s="277"/>
    </row>
    <row r="456" spans="2:57" x14ac:dyDescent="0.25">
      <c r="B456" s="278"/>
      <c r="C456" s="279"/>
      <c r="D456" s="279"/>
      <c r="E456" s="279"/>
      <c r="F456" s="279"/>
      <c r="G456" s="279"/>
      <c r="H456" s="279"/>
      <c r="I456" s="279"/>
      <c r="J456" s="279"/>
      <c r="K456" s="279"/>
      <c r="L456" s="279"/>
      <c r="M456" s="279"/>
      <c r="N456" s="279"/>
      <c r="O456" s="279"/>
      <c r="P456" s="279"/>
      <c r="Q456" s="279"/>
      <c r="R456" s="279"/>
      <c r="S456" s="279"/>
      <c r="T456" s="279"/>
      <c r="U456" s="279"/>
      <c r="V456" s="279"/>
      <c r="W456" s="279"/>
      <c r="X456" s="279"/>
      <c r="Y456" s="279"/>
      <c r="Z456" s="279"/>
      <c r="AA456" s="279"/>
      <c r="AB456" s="279"/>
      <c r="AC456" s="279"/>
      <c r="AD456" s="279"/>
      <c r="AE456" s="279"/>
      <c r="AF456" s="279"/>
      <c r="AG456" s="279"/>
      <c r="AH456" s="279"/>
      <c r="AI456" s="279"/>
      <c r="AJ456" s="279"/>
      <c r="AK456" s="279"/>
      <c r="AL456" s="279"/>
      <c r="AM456" s="279"/>
      <c r="AN456" s="279"/>
      <c r="AO456" s="279"/>
      <c r="AP456" s="279"/>
      <c r="AQ456" s="279"/>
      <c r="AR456" s="279"/>
      <c r="AS456" s="279"/>
      <c r="AT456" s="279"/>
      <c r="AU456" s="279"/>
      <c r="AV456" s="279"/>
      <c r="AW456" s="279"/>
      <c r="AX456" s="279"/>
      <c r="AY456" s="279"/>
      <c r="AZ456" s="279"/>
      <c r="BA456" s="279"/>
      <c r="BB456" s="279"/>
      <c r="BC456" s="279"/>
      <c r="BD456" s="279"/>
      <c r="BE456" s="280"/>
    </row>
    <row r="457" spans="2:57" x14ac:dyDescent="0.25">
      <c r="B457" s="290" t="s">
        <v>258</v>
      </c>
      <c r="C457" s="279"/>
      <c r="D457" s="279"/>
      <c r="E457" s="279"/>
      <c r="F457" s="279"/>
      <c r="G457" s="279"/>
      <c r="H457" s="279"/>
      <c r="I457" s="279"/>
      <c r="J457" s="279"/>
      <c r="K457" s="279"/>
      <c r="L457" s="279"/>
      <c r="M457" s="279"/>
      <c r="N457" s="279"/>
      <c r="O457" s="279"/>
      <c r="P457" s="279"/>
      <c r="Q457" s="279"/>
      <c r="R457" s="279"/>
      <c r="S457" s="279"/>
      <c r="T457" s="279"/>
      <c r="U457" s="279"/>
      <c r="V457" s="279"/>
      <c r="W457" s="279"/>
      <c r="X457" s="279"/>
      <c r="Y457" s="279"/>
      <c r="Z457" s="279"/>
      <c r="AA457" s="279"/>
      <c r="AB457" s="279"/>
      <c r="AC457" s="279"/>
      <c r="AD457" s="279"/>
      <c r="AE457" s="279"/>
      <c r="AF457" s="279"/>
      <c r="AG457" s="279"/>
      <c r="AH457" s="279"/>
      <c r="AI457" s="279"/>
      <c r="AJ457" s="279"/>
      <c r="AK457" s="279"/>
      <c r="AL457" s="279"/>
      <c r="AM457" s="279"/>
      <c r="AN457" s="279"/>
      <c r="AO457" s="279"/>
      <c r="AP457" s="279"/>
      <c r="AQ457" s="279"/>
      <c r="AR457" s="279"/>
      <c r="AS457" s="279"/>
      <c r="AT457" s="279"/>
      <c r="AU457" s="279"/>
      <c r="AV457" s="279"/>
      <c r="AW457" s="279"/>
      <c r="AX457" s="279"/>
      <c r="AY457" s="279"/>
      <c r="AZ457" s="279"/>
      <c r="BA457" s="279"/>
      <c r="BB457" s="279"/>
      <c r="BC457" s="279"/>
      <c r="BD457" s="279"/>
      <c r="BE457" s="280"/>
    </row>
    <row r="458" spans="2:57" x14ac:dyDescent="0.25">
      <c r="B458" s="278"/>
      <c r="C458" s="394" t="s">
        <v>68</v>
      </c>
      <c r="D458" s="282" t="s">
        <v>631</v>
      </c>
      <c r="E458" s="279"/>
      <c r="F458" s="279"/>
      <c r="G458" s="1257">
        <f>IF('II. Inputs, Baseline Energy Mix'!$P$15&gt;0,('II. Inputs, Baseline Energy Mix'!$P$16*'II. Inputs, Baseline Energy Mix'!$P$17*'II. Inputs, Baseline Energy Mix'!$P$30*'II. Inputs, Baseline Energy Mix'!$P$32),0)</f>
        <v>0</v>
      </c>
      <c r="H458" s="279"/>
      <c r="I458" s="279"/>
      <c r="J458" s="279"/>
      <c r="K458" s="279"/>
      <c r="L458" s="279"/>
      <c r="M458" s="279"/>
      <c r="N458" s="279"/>
      <c r="O458" s="279"/>
      <c r="P458" s="279"/>
      <c r="Q458" s="279"/>
      <c r="R458" s="279"/>
      <c r="S458" s="279"/>
      <c r="T458" s="279"/>
      <c r="U458" s="279"/>
      <c r="V458" s="279"/>
      <c r="W458" s="279"/>
      <c r="X458" s="279"/>
      <c r="Y458" s="279"/>
      <c r="Z458" s="279"/>
      <c r="AA458" s="279"/>
      <c r="AB458" s="279"/>
      <c r="AC458" s="279"/>
      <c r="AD458" s="279"/>
      <c r="AE458" s="279"/>
      <c r="AF458" s="279"/>
      <c r="AG458" s="279"/>
      <c r="AH458" s="279"/>
      <c r="AI458" s="279"/>
      <c r="AJ458" s="279"/>
      <c r="AK458" s="279"/>
      <c r="AL458" s="279"/>
      <c r="AM458" s="279"/>
      <c r="AN458" s="279"/>
      <c r="AO458" s="279"/>
      <c r="AP458" s="279"/>
      <c r="AQ458" s="279"/>
      <c r="AR458" s="279"/>
      <c r="AS458" s="279"/>
      <c r="AT458" s="279"/>
      <c r="AU458" s="279"/>
      <c r="AV458" s="279"/>
      <c r="AW458" s="279"/>
      <c r="AX458" s="279"/>
      <c r="AY458" s="279"/>
      <c r="AZ458" s="279"/>
      <c r="BA458" s="279"/>
      <c r="BB458" s="279"/>
      <c r="BC458" s="279"/>
      <c r="BD458" s="279"/>
      <c r="BE458" s="280"/>
    </row>
    <row r="459" spans="2:57" x14ac:dyDescent="0.25">
      <c r="B459" s="278"/>
      <c r="C459" s="394" t="s">
        <v>69</v>
      </c>
      <c r="D459" s="282" t="s">
        <v>20</v>
      </c>
      <c r="E459" s="279"/>
      <c r="F459" s="279"/>
      <c r="G459" s="281">
        <f>SUM('II. Inputs, Baseline Energy Mix'!$P$69)</f>
        <v>0</v>
      </c>
      <c r="H459" s="279"/>
      <c r="I459" s="279"/>
      <c r="J459" s="279"/>
      <c r="K459" s="279"/>
      <c r="L459" s="279"/>
      <c r="M459" s="279"/>
      <c r="N459" s="279"/>
      <c r="O459" s="279"/>
      <c r="P459" s="279"/>
      <c r="Q459" s="279"/>
      <c r="R459" s="279"/>
      <c r="S459" s="279"/>
      <c r="T459" s="279"/>
      <c r="U459" s="279"/>
      <c r="V459" s="279"/>
      <c r="W459" s="279"/>
      <c r="X459" s="279"/>
      <c r="Y459" s="279"/>
      <c r="Z459" s="279"/>
      <c r="AA459" s="279"/>
      <c r="AB459" s="279"/>
      <c r="AC459" s="279"/>
      <c r="AD459" s="279"/>
      <c r="AE459" s="279"/>
      <c r="AF459" s="279"/>
      <c r="AG459" s="279"/>
      <c r="AH459" s="279"/>
      <c r="AI459" s="279"/>
      <c r="AJ459" s="279"/>
      <c r="AK459" s="279"/>
      <c r="AL459" s="279"/>
      <c r="AM459" s="279"/>
      <c r="AN459" s="279"/>
      <c r="AO459" s="279"/>
      <c r="AP459" s="279"/>
      <c r="AQ459" s="279"/>
      <c r="AR459" s="279"/>
      <c r="AS459" s="279"/>
      <c r="AT459" s="279"/>
      <c r="AU459" s="279"/>
      <c r="AV459" s="279"/>
      <c r="AW459" s="279"/>
      <c r="AX459" s="279"/>
      <c r="AY459" s="279"/>
      <c r="AZ459" s="279"/>
      <c r="BA459" s="279"/>
      <c r="BB459" s="279"/>
      <c r="BC459" s="279"/>
      <c r="BD459" s="279"/>
      <c r="BE459" s="280"/>
    </row>
    <row r="460" spans="2:57" x14ac:dyDescent="0.25">
      <c r="B460" s="278"/>
      <c r="C460" s="394" t="s">
        <v>70</v>
      </c>
      <c r="D460" s="282" t="s">
        <v>16</v>
      </c>
      <c r="E460" s="279"/>
      <c r="F460" s="279"/>
      <c r="G460" s="395">
        <f>SUM('II. Inputs, Baseline Energy Mix'!$P$68)</f>
        <v>0</v>
      </c>
      <c r="H460" s="279"/>
      <c r="I460" s="279"/>
      <c r="J460" s="279"/>
      <c r="K460" s="279"/>
      <c r="L460" s="279"/>
      <c r="M460" s="279"/>
      <c r="N460" s="279"/>
      <c r="O460" s="279"/>
      <c r="P460" s="279"/>
      <c r="Q460" s="279"/>
      <c r="R460" s="279"/>
      <c r="S460" s="279"/>
      <c r="T460" s="279"/>
      <c r="U460" s="279"/>
      <c r="V460" s="279"/>
      <c r="W460" s="279"/>
      <c r="X460" s="279"/>
      <c r="Y460" s="279"/>
      <c r="Z460" s="279"/>
      <c r="AA460" s="279"/>
      <c r="AB460" s="279"/>
      <c r="AC460" s="279"/>
      <c r="AD460" s="279"/>
      <c r="AE460" s="279"/>
      <c r="AF460" s="279"/>
      <c r="AG460" s="279"/>
      <c r="AH460" s="279"/>
      <c r="AI460" s="279"/>
      <c r="AJ460" s="279"/>
      <c r="AK460" s="279"/>
      <c r="AL460" s="279"/>
      <c r="AM460" s="279"/>
      <c r="AN460" s="279"/>
      <c r="AO460" s="279"/>
      <c r="AP460" s="279"/>
      <c r="AQ460" s="279"/>
      <c r="AR460" s="279"/>
      <c r="AS460" s="279"/>
      <c r="AT460" s="279"/>
      <c r="AU460" s="279"/>
      <c r="AV460" s="279"/>
      <c r="AW460" s="279"/>
      <c r="AX460" s="279"/>
      <c r="AY460" s="279"/>
      <c r="AZ460" s="279"/>
      <c r="BA460" s="279"/>
      <c r="BB460" s="279"/>
      <c r="BC460" s="279"/>
      <c r="BD460" s="279"/>
      <c r="BE460" s="280"/>
    </row>
    <row r="461" spans="2:57" x14ac:dyDescent="0.25">
      <c r="B461" s="278"/>
      <c r="C461" s="279"/>
      <c r="D461" s="279"/>
      <c r="E461" s="279"/>
      <c r="F461" s="279"/>
      <c r="G461" s="279"/>
      <c r="H461" s="279"/>
      <c r="I461" s="279"/>
      <c r="J461" s="279"/>
      <c r="K461" s="279"/>
      <c r="L461" s="279"/>
      <c r="M461" s="279"/>
      <c r="N461" s="279"/>
      <c r="O461" s="279"/>
      <c r="P461" s="279"/>
      <c r="Q461" s="279"/>
      <c r="R461" s="279"/>
      <c r="S461" s="279"/>
      <c r="T461" s="279"/>
      <c r="U461" s="279"/>
      <c r="V461" s="279"/>
      <c r="W461" s="279"/>
      <c r="X461" s="279"/>
      <c r="Y461" s="279"/>
      <c r="Z461" s="279"/>
      <c r="AA461" s="279"/>
      <c r="AB461" s="279"/>
      <c r="AC461" s="279"/>
      <c r="AD461" s="279"/>
      <c r="AE461" s="279"/>
      <c r="AF461" s="279"/>
      <c r="AG461" s="279"/>
      <c r="AH461" s="279"/>
      <c r="AI461" s="279"/>
      <c r="AJ461" s="279"/>
      <c r="AK461" s="279"/>
      <c r="AL461" s="279"/>
      <c r="AM461" s="279"/>
      <c r="AN461" s="279"/>
      <c r="AO461" s="279"/>
      <c r="AP461" s="279"/>
      <c r="AQ461" s="279"/>
      <c r="AR461" s="279"/>
      <c r="AS461" s="279"/>
      <c r="AT461" s="279"/>
      <c r="AU461" s="279"/>
      <c r="AV461" s="279"/>
      <c r="AW461" s="279"/>
      <c r="AX461" s="279"/>
      <c r="AY461" s="279"/>
      <c r="AZ461" s="279"/>
      <c r="BA461" s="279"/>
      <c r="BB461" s="279"/>
      <c r="BC461" s="279"/>
      <c r="BD461" s="279"/>
      <c r="BE461" s="280"/>
    </row>
    <row r="462" spans="2:57" x14ac:dyDescent="0.25">
      <c r="B462" s="278"/>
      <c r="C462" s="396" t="s">
        <v>67</v>
      </c>
      <c r="D462" s="279"/>
      <c r="E462" s="279"/>
      <c r="F462" s="279"/>
      <c r="G462" s="279"/>
      <c r="H462" s="279"/>
      <c r="I462" s="279"/>
      <c r="J462" s="279"/>
      <c r="K462" s="279"/>
      <c r="L462" s="279"/>
      <c r="M462" s="279"/>
      <c r="N462" s="279"/>
      <c r="O462" s="279"/>
      <c r="P462" s="279"/>
      <c r="Q462" s="279"/>
      <c r="R462" s="279"/>
      <c r="S462" s="279"/>
      <c r="T462" s="279"/>
      <c r="U462" s="279"/>
      <c r="V462" s="279"/>
      <c r="W462" s="279"/>
      <c r="X462" s="279"/>
      <c r="Y462" s="279"/>
      <c r="Z462" s="279"/>
      <c r="AA462" s="279"/>
      <c r="AB462" s="279"/>
      <c r="AC462" s="279"/>
      <c r="AD462" s="279"/>
      <c r="AE462" s="279"/>
      <c r="AF462" s="279"/>
      <c r="AG462" s="279"/>
      <c r="AH462" s="279"/>
      <c r="AI462" s="279"/>
      <c r="AJ462" s="279"/>
      <c r="AK462" s="279"/>
      <c r="AL462" s="279"/>
      <c r="AM462" s="279"/>
      <c r="AN462" s="279"/>
      <c r="AO462" s="279"/>
      <c r="AP462" s="279"/>
      <c r="AQ462" s="279"/>
      <c r="AR462" s="279"/>
      <c r="AS462" s="279"/>
      <c r="AT462" s="279"/>
      <c r="AU462" s="279"/>
      <c r="AV462" s="279"/>
      <c r="AW462" s="279"/>
      <c r="AX462" s="279"/>
      <c r="AY462" s="279"/>
      <c r="AZ462" s="279"/>
      <c r="BA462" s="279"/>
      <c r="BB462" s="279"/>
      <c r="BC462" s="279"/>
      <c r="BD462" s="279"/>
      <c r="BE462" s="280"/>
    </row>
    <row r="463" spans="2:57" x14ac:dyDescent="0.25">
      <c r="B463" s="278"/>
      <c r="C463" s="279" t="s">
        <v>73</v>
      </c>
      <c r="D463" s="279"/>
      <c r="E463" s="279"/>
      <c r="F463" s="279"/>
      <c r="G463" s="1257"/>
      <c r="H463" s="1257">
        <f>IF(H$299&gt;$G459,0,IPMT($G460,H$299,$G459,-$G458))</f>
        <v>0</v>
      </c>
      <c r="I463" s="1257">
        <f>IF(I$299&gt;$G459,0,IPMT($G460,I$299,$G459,-$G458))</f>
        <v>0</v>
      </c>
      <c r="J463" s="1257">
        <f>IF(J$299&gt;$G459,0,IPMT($G460,J$299,$G459,-$G458))</f>
        <v>0</v>
      </c>
      <c r="K463" s="1257">
        <f>IF(K$299&gt;$G459,0,IPMT($G460,K$299,$G459,-$G458))</f>
        <v>0</v>
      </c>
      <c r="L463" s="1257">
        <f t="shared" ref="L463:BE463" si="157">IF(L$299&gt;$G459,0,IPMT($G460,L$299,$G459,-$G458))</f>
        <v>0</v>
      </c>
      <c r="M463" s="1257">
        <f t="shared" si="157"/>
        <v>0</v>
      </c>
      <c r="N463" s="1257">
        <f t="shared" si="157"/>
        <v>0</v>
      </c>
      <c r="O463" s="1257">
        <f t="shared" si="157"/>
        <v>0</v>
      </c>
      <c r="P463" s="1257">
        <f t="shared" si="157"/>
        <v>0</v>
      </c>
      <c r="Q463" s="1257">
        <f t="shared" si="157"/>
        <v>0</v>
      </c>
      <c r="R463" s="1257">
        <f t="shared" si="157"/>
        <v>0</v>
      </c>
      <c r="S463" s="1257">
        <f t="shared" si="157"/>
        <v>0</v>
      </c>
      <c r="T463" s="1257">
        <f t="shared" si="157"/>
        <v>0</v>
      </c>
      <c r="U463" s="1257">
        <f t="shared" si="157"/>
        <v>0</v>
      </c>
      <c r="V463" s="1257">
        <f t="shared" si="157"/>
        <v>0</v>
      </c>
      <c r="W463" s="1257">
        <f t="shared" si="157"/>
        <v>0</v>
      </c>
      <c r="X463" s="1257">
        <f t="shared" si="157"/>
        <v>0</v>
      </c>
      <c r="Y463" s="1257">
        <f t="shared" si="157"/>
        <v>0</v>
      </c>
      <c r="Z463" s="1257">
        <f t="shared" si="157"/>
        <v>0</v>
      </c>
      <c r="AA463" s="1257">
        <f t="shared" si="157"/>
        <v>0</v>
      </c>
      <c r="AB463" s="1257">
        <f t="shared" si="157"/>
        <v>0</v>
      </c>
      <c r="AC463" s="1257">
        <f t="shared" si="157"/>
        <v>0</v>
      </c>
      <c r="AD463" s="1257">
        <f t="shared" si="157"/>
        <v>0</v>
      </c>
      <c r="AE463" s="1257">
        <f t="shared" si="157"/>
        <v>0</v>
      </c>
      <c r="AF463" s="1257">
        <f t="shared" si="157"/>
        <v>0</v>
      </c>
      <c r="AG463" s="1257">
        <f t="shared" si="157"/>
        <v>0</v>
      </c>
      <c r="AH463" s="1257">
        <f t="shared" si="157"/>
        <v>0</v>
      </c>
      <c r="AI463" s="1257">
        <f t="shared" si="157"/>
        <v>0</v>
      </c>
      <c r="AJ463" s="1257">
        <f t="shared" si="157"/>
        <v>0</v>
      </c>
      <c r="AK463" s="1257">
        <f t="shared" si="157"/>
        <v>0</v>
      </c>
      <c r="AL463" s="1257">
        <f t="shared" si="157"/>
        <v>0</v>
      </c>
      <c r="AM463" s="1257">
        <f t="shared" si="157"/>
        <v>0</v>
      </c>
      <c r="AN463" s="1257">
        <f t="shared" si="157"/>
        <v>0</v>
      </c>
      <c r="AO463" s="1257">
        <f t="shared" si="157"/>
        <v>0</v>
      </c>
      <c r="AP463" s="1257">
        <f t="shared" si="157"/>
        <v>0</v>
      </c>
      <c r="AQ463" s="1257">
        <f t="shared" si="157"/>
        <v>0</v>
      </c>
      <c r="AR463" s="1257">
        <f t="shared" si="157"/>
        <v>0</v>
      </c>
      <c r="AS463" s="1257">
        <f t="shared" si="157"/>
        <v>0</v>
      </c>
      <c r="AT463" s="1257">
        <f t="shared" si="157"/>
        <v>0</v>
      </c>
      <c r="AU463" s="1257">
        <f t="shared" si="157"/>
        <v>0</v>
      </c>
      <c r="AV463" s="1257">
        <f t="shared" si="157"/>
        <v>0</v>
      </c>
      <c r="AW463" s="1257">
        <f t="shared" si="157"/>
        <v>0</v>
      </c>
      <c r="AX463" s="1257">
        <f t="shared" si="157"/>
        <v>0</v>
      </c>
      <c r="AY463" s="1257">
        <f t="shared" si="157"/>
        <v>0</v>
      </c>
      <c r="AZ463" s="1257">
        <f t="shared" si="157"/>
        <v>0</v>
      </c>
      <c r="BA463" s="1257">
        <f t="shared" si="157"/>
        <v>0</v>
      </c>
      <c r="BB463" s="1257">
        <f t="shared" si="157"/>
        <v>0</v>
      </c>
      <c r="BC463" s="1257">
        <f t="shared" si="157"/>
        <v>0</v>
      </c>
      <c r="BD463" s="1257">
        <f t="shared" si="157"/>
        <v>0</v>
      </c>
      <c r="BE463" s="1258">
        <f t="shared" si="157"/>
        <v>0</v>
      </c>
    </row>
    <row r="464" spans="2:57" x14ac:dyDescent="0.25">
      <c r="B464" s="278"/>
      <c r="C464" s="286" t="s">
        <v>72</v>
      </c>
      <c r="D464" s="286"/>
      <c r="E464" s="286"/>
      <c r="F464" s="286"/>
      <c r="G464" s="1259"/>
      <c r="H464" s="1259">
        <f>IF(H$299&gt;$G459,0,PPMT($G460,H$299,$G459,-$G458))</f>
        <v>0</v>
      </c>
      <c r="I464" s="1259">
        <f>IF(I$299&gt;$G459,0,PPMT($G460,I$299,$G459,-$G458))</f>
        <v>0</v>
      </c>
      <c r="J464" s="1259">
        <f>IF(J$299&gt;$G459,0,PPMT($G460,J$299,$G459,-$G458))</f>
        <v>0</v>
      </c>
      <c r="K464" s="1259">
        <f>IF(K$299&gt;$G459,0,PPMT($G460,K$299,$G459,-$G458))</f>
        <v>0</v>
      </c>
      <c r="L464" s="1259">
        <f t="shared" ref="L464:BE464" si="158">IF(L$299&gt;$G459,0,PPMT($G460,L$299,$G459,-$G458))</f>
        <v>0</v>
      </c>
      <c r="M464" s="1259">
        <f t="shared" si="158"/>
        <v>0</v>
      </c>
      <c r="N464" s="1259">
        <f t="shared" si="158"/>
        <v>0</v>
      </c>
      <c r="O464" s="1259">
        <f t="shared" si="158"/>
        <v>0</v>
      </c>
      <c r="P464" s="1259">
        <f t="shared" si="158"/>
        <v>0</v>
      </c>
      <c r="Q464" s="1259">
        <f t="shared" si="158"/>
        <v>0</v>
      </c>
      <c r="R464" s="1259">
        <f t="shared" si="158"/>
        <v>0</v>
      </c>
      <c r="S464" s="1259">
        <f t="shared" si="158"/>
        <v>0</v>
      </c>
      <c r="T464" s="1259">
        <f t="shared" si="158"/>
        <v>0</v>
      </c>
      <c r="U464" s="1259">
        <f t="shared" si="158"/>
        <v>0</v>
      </c>
      <c r="V464" s="1259">
        <f t="shared" si="158"/>
        <v>0</v>
      </c>
      <c r="W464" s="1259">
        <f t="shared" si="158"/>
        <v>0</v>
      </c>
      <c r="X464" s="1259">
        <f t="shared" si="158"/>
        <v>0</v>
      </c>
      <c r="Y464" s="1259">
        <f t="shared" si="158"/>
        <v>0</v>
      </c>
      <c r="Z464" s="1259">
        <f t="shared" si="158"/>
        <v>0</v>
      </c>
      <c r="AA464" s="1259">
        <f t="shared" si="158"/>
        <v>0</v>
      </c>
      <c r="AB464" s="1259">
        <f t="shared" si="158"/>
        <v>0</v>
      </c>
      <c r="AC464" s="1259">
        <f t="shared" si="158"/>
        <v>0</v>
      </c>
      <c r="AD464" s="1259">
        <f t="shared" si="158"/>
        <v>0</v>
      </c>
      <c r="AE464" s="1259">
        <f t="shared" si="158"/>
        <v>0</v>
      </c>
      <c r="AF464" s="1259">
        <f t="shared" si="158"/>
        <v>0</v>
      </c>
      <c r="AG464" s="1259">
        <f t="shared" si="158"/>
        <v>0</v>
      </c>
      <c r="AH464" s="1259">
        <f t="shared" si="158"/>
        <v>0</v>
      </c>
      <c r="AI464" s="1259">
        <f t="shared" si="158"/>
        <v>0</v>
      </c>
      <c r="AJ464" s="1259">
        <f t="shared" si="158"/>
        <v>0</v>
      </c>
      <c r="AK464" s="1259">
        <f t="shared" si="158"/>
        <v>0</v>
      </c>
      <c r="AL464" s="1259">
        <f t="shared" si="158"/>
        <v>0</v>
      </c>
      <c r="AM464" s="1259">
        <f t="shared" si="158"/>
        <v>0</v>
      </c>
      <c r="AN464" s="1259">
        <f t="shared" si="158"/>
        <v>0</v>
      </c>
      <c r="AO464" s="1259">
        <f t="shared" si="158"/>
        <v>0</v>
      </c>
      <c r="AP464" s="1259">
        <f t="shared" si="158"/>
        <v>0</v>
      </c>
      <c r="AQ464" s="1259">
        <f t="shared" si="158"/>
        <v>0</v>
      </c>
      <c r="AR464" s="1259">
        <f t="shared" si="158"/>
        <v>0</v>
      </c>
      <c r="AS464" s="1259">
        <f t="shared" si="158"/>
        <v>0</v>
      </c>
      <c r="AT464" s="1259">
        <f t="shared" si="158"/>
        <v>0</v>
      </c>
      <c r="AU464" s="1259">
        <f t="shared" si="158"/>
        <v>0</v>
      </c>
      <c r="AV464" s="1259">
        <f t="shared" si="158"/>
        <v>0</v>
      </c>
      <c r="AW464" s="1259">
        <f t="shared" si="158"/>
        <v>0</v>
      </c>
      <c r="AX464" s="1259">
        <f t="shared" si="158"/>
        <v>0</v>
      </c>
      <c r="AY464" s="1259">
        <f t="shared" si="158"/>
        <v>0</v>
      </c>
      <c r="AZ464" s="1259">
        <f t="shared" si="158"/>
        <v>0</v>
      </c>
      <c r="BA464" s="1259">
        <f t="shared" si="158"/>
        <v>0</v>
      </c>
      <c r="BB464" s="1259">
        <f t="shared" si="158"/>
        <v>0</v>
      </c>
      <c r="BC464" s="1259">
        <f t="shared" si="158"/>
        <v>0</v>
      </c>
      <c r="BD464" s="1259">
        <f t="shared" si="158"/>
        <v>0</v>
      </c>
      <c r="BE464" s="1260">
        <f t="shared" si="158"/>
        <v>0</v>
      </c>
    </row>
    <row r="465" spans="2:57" x14ac:dyDescent="0.25">
      <c r="B465" s="278"/>
      <c r="C465" s="279" t="s">
        <v>74</v>
      </c>
      <c r="D465" s="279"/>
      <c r="E465" s="279"/>
      <c r="F465" s="279"/>
      <c r="G465" s="1257"/>
      <c r="H465" s="1257">
        <f>SUM(H463:H464)</f>
        <v>0</v>
      </c>
      <c r="I465" s="1257">
        <f t="shared" ref="I465:BE465" si="159">SUM(I463:I464)</f>
        <v>0</v>
      </c>
      <c r="J465" s="1257">
        <f t="shared" si="159"/>
        <v>0</v>
      </c>
      <c r="K465" s="1257">
        <f t="shared" si="159"/>
        <v>0</v>
      </c>
      <c r="L465" s="1257">
        <f t="shared" si="159"/>
        <v>0</v>
      </c>
      <c r="M465" s="1257">
        <f t="shared" si="159"/>
        <v>0</v>
      </c>
      <c r="N465" s="1257">
        <f t="shared" si="159"/>
        <v>0</v>
      </c>
      <c r="O465" s="1257">
        <f t="shared" si="159"/>
        <v>0</v>
      </c>
      <c r="P465" s="1257">
        <f t="shared" si="159"/>
        <v>0</v>
      </c>
      <c r="Q465" s="1257">
        <f t="shared" si="159"/>
        <v>0</v>
      </c>
      <c r="R465" s="1257">
        <f t="shared" si="159"/>
        <v>0</v>
      </c>
      <c r="S465" s="1257">
        <f t="shared" si="159"/>
        <v>0</v>
      </c>
      <c r="T465" s="1257">
        <f t="shared" si="159"/>
        <v>0</v>
      </c>
      <c r="U465" s="1257">
        <f t="shared" si="159"/>
        <v>0</v>
      </c>
      <c r="V465" s="1257">
        <f t="shared" si="159"/>
        <v>0</v>
      </c>
      <c r="W465" s="1257">
        <f t="shared" si="159"/>
        <v>0</v>
      </c>
      <c r="X465" s="1257">
        <f t="shared" si="159"/>
        <v>0</v>
      </c>
      <c r="Y465" s="1257">
        <f t="shared" si="159"/>
        <v>0</v>
      </c>
      <c r="Z465" s="1257">
        <f t="shared" si="159"/>
        <v>0</v>
      </c>
      <c r="AA465" s="1257">
        <f t="shared" si="159"/>
        <v>0</v>
      </c>
      <c r="AB465" s="1257">
        <f t="shared" si="159"/>
        <v>0</v>
      </c>
      <c r="AC465" s="1257">
        <f t="shared" si="159"/>
        <v>0</v>
      </c>
      <c r="AD465" s="1257">
        <f t="shared" si="159"/>
        <v>0</v>
      </c>
      <c r="AE465" s="1257">
        <f t="shared" si="159"/>
        <v>0</v>
      </c>
      <c r="AF465" s="1257">
        <f t="shared" si="159"/>
        <v>0</v>
      </c>
      <c r="AG465" s="1257">
        <f t="shared" si="159"/>
        <v>0</v>
      </c>
      <c r="AH465" s="1257">
        <f t="shared" si="159"/>
        <v>0</v>
      </c>
      <c r="AI465" s="1257">
        <f t="shared" si="159"/>
        <v>0</v>
      </c>
      <c r="AJ465" s="1257">
        <f t="shared" si="159"/>
        <v>0</v>
      </c>
      <c r="AK465" s="1257">
        <f t="shared" si="159"/>
        <v>0</v>
      </c>
      <c r="AL465" s="1257">
        <f t="shared" si="159"/>
        <v>0</v>
      </c>
      <c r="AM465" s="1257">
        <f t="shared" si="159"/>
        <v>0</v>
      </c>
      <c r="AN465" s="1257">
        <f t="shared" si="159"/>
        <v>0</v>
      </c>
      <c r="AO465" s="1257">
        <f t="shared" si="159"/>
        <v>0</v>
      </c>
      <c r="AP465" s="1257">
        <f t="shared" si="159"/>
        <v>0</v>
      </c>
      <c r="AQ465" s="1257">
        <f t="shared" si="159"/>
        <v>0</v>
      </c>
      <c r="AR465" s="1257">
        <f t="shared" si="159"/>
        <v>0</v>
      </c>
      <c r="AS465" s="1257">
        <f t="shared" si="159"/>
        <v>0</v>
      </c>
      <c r="AT465" s="1257">
        <f t="shared" si="159"/>
        <v>0</v>
      </c>
      <c r="AU465" s="1257">
        <f t="shared" si="159"/>
        <v>0</v>
      </c>
      <c r="AV465" s="1257">
        <f t="shared" si="159"/>
        <v>0</v>
      </c>
      <c r="AW465" s="1257">
        <f t="shared" si="159"/>
        <v>0</v>
      </c>
      <c r="AX465" s="1257">
        <f t="shared" si="159"/>
        <v>0</v>
      </c>
      <c r="AY465" s="1257">
        <f t="shared" si="159"/>
        <v>0</v>
      </c>
      <c r="AZ465" s="1257">
        <f t="shared" si="159"/>
        <v>0</v>
      </c>
      <c r="BA465" s="1257">
        <f t="shared" si="159"/>
        <v>0</v>
      </c>
      <c r="BB465" s="1257">
        <f t="shared" si="159"/>
        <v>0</v>
      </c>
      <c r="BC465" s="1257">
        <f t="shared" si="159"/>
        <v>0</v>
      </c>
      <c r="BD465" s="1257">
        <f t="shared" si="159"/>
        <v>0</v>
      </c>
      <c r="BE465" s="1258">
        <f t="shared" si="159"/>
        <v>0</v>
      </c>
    </row>
    <row r="466" spans="2:57" x14ac:dyDescent="0.25">
      <c r="B466" s="278"/>
      <c r="C466" s="279"/>
      <c r="D466" s="279"/>
      <c r="E466" s="279"/>
      <c r="F466" s="279"/>
      <c r="G466" s="1257"/>
      <c r="H466" s="1257"/>
      <c r="I466" s="1257"/>
      <c r="J466" s="1257"/>
      <c r="K466" s="1257"/>
      <c r="L466" s="1257"/>
      <c r="M466" s="1257"/>
      <c r="N466" s="1257"/>
      <c r="O466" s="1257"/>
      <c r="P466" s="1257"/>
      <c r="Q466" s="1257"/>
      <c r="R466" s="1257"/>
      <c r="S466" s="1257"/>
      <c r="T466" s="1257"/>
      <c r="U466" s="1257"/>
      <c r="V466" s="1257"/>
      <c r="W466" s="1257"/>
      <c r="X466" s="1257"/>
      <c r="Y466" s="1257"/>
      <c r="Z466" s="1257"/>
      <c r="AA466" s="1257"/>
      <c r="AB466" s="1257"/>
      <c r="AC466" s="1257"/>
      <c r="AD466" s="1257"/>
      <c r="AE466" s="1257"/>
      <c r="AF466" s="1257"/>
      <c r="AG466" s="1257"/>
      <c r="AH466" s="1257"/>
      <c r="AI466" s="1257"/>
      <c r="AJ466" s="1257"/>
      <c r="AK466" s="1257"/>
      <c r="AL466" s="1257"/>
      <c r="AM466" s="1257"/>
      <c r="AN466" s="1257"/>
      <c r="AO466" s="1257"/>
      <c r="AP466" s="1257"/>
      <c r="AQ466" s="1257"/>
      <c r="AR466" s="1257"/>
      <c r="AS466" s="1257"/>
      <c r="AT466" s="1257"/>
      <c r="AU466" s="1257"/>
      <c r="AV466" s="1257"/>
      <c r="AW466" s="1257"/>
      <c r="AX466" s="1257"/>
      <c r="AY466" s="1257"/>
      <c r="AZ466" s="1257"/>
      <c r="BA466" s="1257"/>
      <c r="BB466" s="1257"/>
      <c r="BC466" s="1257"/>
      <c r="BD466" s="1257"/>
      <c r="BE466" s="1258"/>
    </row>
    <row r="467" spans="2:57" x14ac:dyDescent="0.25">
      <c r="B467" s="278"/>
      <c r="C467" s="397" t="s">
        <v>65</v>
      </c>
      <c r="D467" s="279"/>
      <c r="E467" s="279"/>
      <c r="F467" s="279"/>
      <c r="G467" s="1257"/>
      <c r="H467" s="1257"/>
      <c r="I467" s="1257"/>
      <c r="J467" s="1257"/>
      <c r="K467" s="1257"/>
      <c r="L467" s="1257"/>
      <c r="M467" s="1257"/>
      <c r="N467" s="1257"/>
      <c r="O467" s="1257"/>
      <c r="P467" s="1257"/>
      <c r="Q467" s="1257"/>
      <c r="R467" s="1257"/>
      <c r="S467" s="1257"/>
      <c r="T467" s="1257"/>
      <c r="U467" s="1257"/>
      <c r="V467" s="1257"/>
      <c r="W467" s="1257"/>
      <c r="X467" s="1257"/>
      <c r="Y467" s="1257"/>
      <c r="Z467" s="1257"/>
      <c r="AA467" s="1257"/>
      <c r="AB467" s="1257"/>
      <c r="AC467" s="1257"/>
      <c r="AD467" s="1257"/>
      <c r="AE467" s="1257"/>
      <c r="AF467" s="1257"/>
      <c r="AG467" s="1257"/>
      <c r="AH467" s="1257"/>
      <c r="AI467" s="1257"/>
      <c r="AJ467" s="1257"/>
      <c r="AK467" s="1257"/>
      <c r="AL467" s="1257"/>
      <c r="AM467" s="1257"/>
      <c r="AN467" s="1257"/>
      <c r="AO467" s="1257"/>
      <c r="AP467" s="1257"/>
      <c r="AQ467" s="1257"/>
      <c r="AR467" s="1257"/>
      <c r="AS467" s="1257"/>
      <c r="AT467" s="1257"/>
      <c r="AU467" s="1257"/>
      <c r="AV467" s="1257"/>
      <c r="AW467" s="1257"/>
      <c r="AX467" s="1257"/>
      <c r="AY467" s="1257"/>
      <c r="AZ467" s="1257"/>
      <c r="BA467" s="1257"/>
      <c r="BB467" s="1257"/>
      <c r="BC467" s="1257"/>
      <c r="BD467" s="1257"/>
      <c r="BE467" s="1258"/>
    </row>
    <row r="468" spans="2:57" x14ac:dyDescent="0.25">
      <c r="B468" s="278"/>
      <c r="C468" s="279" t="s">
        <v>75</v>
      </c>
      <c r="D468" s="279"/>
      <c r="E468" s="279"/>
      <c r="F468" s="279"/>
      <c r="G468" s="1257">
        <v>0</v>
      </c>
      <c r="H468" s="1257">
        <f t="shared" ref="H468:AM468" si="160">G471</f>
        <v>0</v>
      </c>
      <c r="I468" s="1257">
        <f t="shared" si="160"/>
        <v>0</v>
      </c>
      <c r="J468" s="1257">
        <f t="shared" si="160"/>
        <v>0</v>
      </c>
      <c r="K468" s="1257">
        <f t="shared" si="160"/>
        <v>0</v>
      </c>
      <c r="L468" s="1257">
        <f t="shared" si="160"/>
        <v>0</v>
      </c>
      <c r="M468" s="1257">
        <f t="shared" si="160"/>
        <v>0</v>
      </c>
      <c r="N468" s="1257">
        <f t="shared" si="160"/>
        <v>0</v>
      </c>
      <c r="O468" s="1257">
        <f t="shared" si="160"/>
        <v>0</v>
      </c>
      <c r="P468" s="1257">
        <f t="shared" si="160"/>
        <v>0</v>
      </c>
      <c r="Q468" s="1257">
        <f t="shared" si="160"/>
        <v>0</v>
      </c>
      <c r="R468" s="1257">
        <f t="shared" si="160"/>
        <v>0</v>
      </c>
      <c r="S468" s="1257">
        <f t="shared" si="160"/>
        <v>0</v>
      </c>
      <c r="T468" s="1257">
        <f t="shared" si="160"/>
        <v>0</v>
      </c>
      <c r="U468" s="1257">
        <f t="shared" si="160"/>
        <v>0</v>
      </c>
      <c r="V468" s="1257">
        <f t="shared" si="160"/>
        <v>0</v>
      </c>
      <c r="W468" s="1257">
        <f t="shared" si="160"/>
        <v>0</v>
      </c>
      <c r="X468" s="1257">
        <f t="shared" si="160"/>
        <v>0</v>
      </c>
      <c r="Y468" s="1257">
        <f t="shared" si="160"/>
        <v>0</v>
      </c>
      <c r="Z468" s="1257">
        <f t="shared" si="160"/>
        <v>0</v>
      </c>
      <c r="AA468" s="1257">
        <f t="shared" si="160"/>
        <v>0</v>
      </c>
      <c r="AB468" s="1257">
        <f t="shared" si="160"/>
        <v>0</v>
      </c>
      <c r="AC468" s="1257">
        <f t="shared" si="160"/>
        <v>0</v>
      </c>
      <c r="AD468" s="1257">
        <f t="shared" si="160"/>
        <v>0</v>
      </c>
      <c r="AE468" s="1257">
        <f t="shared" si="160"/>
        <v>0</v>
      </c>
      <c r="AF468" s="1257">
        <f t="shared" si="160"/>
        <v>0</v>
      </c>
      <c r="AG468" s="1257">
        <f t="shared" si="160"/>
        <v>0</v>
      </c>
      <c r="AH468" s="1257">
        <f t="shared" si="160"/>
        <v>0</v>
      </c>
      <c r="AI468" s="1257">
        <f t="shared" si="160"/>
        <v>0</v>
      </c>
      <c r="AJ468" s="1257">
        <f t="shared" si="160"/>
        <v>0</v>
      </c>
      <c r="AK468" s="1257">
        <f t="shared" si="160"/>
        <v>0</v>
      </c>
      <c r="AL468" s="1257">
        <f t="shared" si="160"/>
        <v>0</v>
      </c>
      <c r="AM468" s="1257">
        <f t="shared" si="160"/>
        <v>0</v>
      </c>
      <c r="AN468" s="1257">
        <f t="shared" ref="AN468:BE468" si="161">AM471</f>
        <v>0</v>
      </c>
      <c r="AO468" s="1257">
        <f t="shared" si="161"/>
        <v>0</v>
      </c>
      <c r="AP468" s="1257">
        <f t="shared" si="161"/>
        <v>0</v>
      </c>
      <c r="AQ468" s="1257">
        <f t="shared" si="161"/>
        <v>0</v>
      </c>
      <c r="AR468" s="1257">
        <f t="shared" si="161"/>
        <v>0</v>
      </c>
      <c r="AS468" s="1257">
        <f t="shared" si="161"/>
        <v>0</v>
      </c>
      <c r="AT468" s="1257">
        <f t="shared" si="161"/>
        <v>0</v>
      </c>
      <c r="AU468" s="1257">
        <f t="shared" si="161"/>
        <v>0</v>
      </c>
      <c r="AV468" s="1257">
        <f t="shared" si="161"/>
        <v>0</v>
      </c>
      <c r="AW468" s="1257">
        <f t="shared" si="161"/>
        <v>0</v>
      </c>
      <c r="AX468" s="1257">
        <f t="shared" si="161"/>
        <v>0</v>
      </c>
      <c r="AY468" s="1257">
        <f t="shared" si="161"/>
        <v>0</v>
      </c>
      <c r="AZ468" s="1257">
        <f t="shared" si="161"/>
        <v>0</v>
      </c>
      <c r="BA468" s="1257">
        <f t="shared" si="161"/>
        <v>0</v>
      </c>
      <c r="BB468" s="1257">
        <f t="shared" si="161"/>
        <v>0</v>
      </c>
      <c r="BC468" s="1257">
        <f t="shared" si="161"/>
        <v>0</v>
      </c>
      <c r="BD468" s="1257">
        <f t="shared" si="161"/>
        <v>0</v>
      </c>
      <c r="BE468" s="1258">
        <f t="shared" si="161"/>
        <v>0</v>
      </c>
    </row>
    <row r="469" spans="2:57" x14ac:dyDescent="0.25">
      <c r="B469" s="278"/>
      <c r="C469" s="279" t="s">
        <v>76</v>
      </c>
      <c r="D469" s="279"/>
      <c r="E469" s="279"/>
      <c r="F469" s="279"/>
      <c r="G469" s="1257">
        <f>G458</f>
        <v>0</v>
      </c>
      <c r="H469" s="1257">
        <v>0</v>
      </c>
      <c r="I469" s="1257">
        <v>0</v>
      </c>
      <c r="J469" s="1257">
        <v>0</v>
      </c>
      <c r="K469" s="1257">
        <v>0</v>
      </c>
      <c r="L469" s="1257">
        <v>0</v>
      </c>
      <c r="M469" s="1257">
        <v>0</v>
      </c>
      <c r="N469" s="1257">
        <v>0</v>
      </c>
      <c r="O469" s="1257">
        <v>0</v>
      </c>
      <c r="P469" s="1257">
        <v>0</v>
      </c>
      <c r="Q469" s="1257">
        <v>0</v>
      </c>
      <c r="R469" s="1257">
        <v>0</v>
      </c>
      <c r="S469" s="1257">
        <v>0</v>
      </c>
      <c r="T469" s="1257">
        <v>0</v>
      </c>
      <c r="U469" s="1257">
        <v>0</v>
      </c>
      <c r="V469" s="1257">
        <v>0</v>
      </c>
      <c r="W469" s="1257">
        <v>0</v>
      </c>
      <c r="X469" s="1257">
        <v>0</v>
      </c>
      <c r="Y469" s="1257">
        <v>0</v>
      </c>
      <c r="Z469" s="1257">
        <v>0</v>
      </c>
      <c r="AA469" s="1257">
        <v>0</v>
      </c>
      <c r="AB469" s="1257">
        <v>0</v>
      </c>
      <c r="AC469" s="1257">
        <v>0</v>
      </c>
      <c r="AD469" s="1257">
        <v>0</v>
      </c>
      <c r="AE469" s="1257">
        <v>0</v>
      </c>
      <c r="AF469" s="1257">
        <v>0</v>
      </c>
      <c r="AG469" s="1257">
        <v>0</v>
      </c>
      <c r="AH469" s="1257">
        <v>0</v>
      </c>
      <c r="AI469" s="1257">
        <v>0</v>
      </c>
      <c r="AJ469" s="1257">
        <v>0</v>
      </c>
      <c r="AK469" s="1257">
        <v>0</v>
      </c>
      <c r="AL469" s="1257">
        <v>0</v>
      </c>
      <c r="AM469" s="1257">
        <v>0</v>
      </c>
      <c r="AN469" s="1257">
        <v>0</v>
      </c>
      <c r="AO469" s="1257">
        <v>0</v>
      </c>
      <c r="AP469" s="1257">
        <v>0</v>
      </c>
      <c r="AQ469" s="1257">
        <v>0</v>
      </c>
      <c r="AR469" s="1257">
        <v>0</v>
      </c>
      <c r="AS469" s="1257">
        <v>0</v>
      </c>
      <c r="AT469" s="1257">
        <v>0</v>
      </c>
      <c r="AU469" s="1257">
        <v>0</v>
      </c>
      <c r="AV469" s="1257">
        <v>0</v>
      </c>
      <c r="AW469" s="1257">
        <v>0</v>
      </c>
      <c r="AX469" s="1257">
        <v>0</v>
      </c>
      <c r="AY469" s="1257">
        <v>0</v>
      </c>
      <c r="AZ469" s="1257">
        <v>0</v>
      </c>
      <c r="BA469" s="1257">
        <v>0</v>
      </c>
      <c r="BB469" s="1257">
        <v>0</v>
      </c>
      <c r="BC469" s="1257">
        <v>0</v>
      </c>
      <c r="BD469" s="1257">
        <v>0</v>
      </c>
      <c r="BE469" s="1258">
        <v>0</v>
      </c>
    </row>
    <row r="470" spans="2:57" x14ac:dyDescent="0.25">
      <c r="B470" s="278"/>
      <c r="C470" s="286" t="s">
        <v>77</v>
      </c>
      <c r="D470" s="286"/>
      <c r="E470" s="286"/>
      <c r="F470" s="286"/>
      <c r="G470" s="1259">
        <v>0</v>
      </c>
      <c r="H470" s="1259">
        <f t="shared" ref="H470:BE470" si="162">-H464</f>
        <v>0</v>
      </c>
      <c r="I470" s="1259">
        <f t="shared" si="162"/>
        <v>0</v>
      </c>
      <c r="J470" s="1259">
        <f t="shared" si="162"/>
        <v>0</v>
      </c>
      <c r="K470" s="1259">
        <f t="shared" si="162"/>
        <v>0</v>
      </c>
      <c r="L470" s="1259">
        <f t="shared" si="162"/>
        <v>0</v>
      </c>
      <c r="M470" s="1259">
        <f t="shared" si="162"/>
        <v>0</v>
      </c>
      <c r="N470" s="1259">
        <f t="shared" si="162"/>
        <v>0</v>
      </c>
      <c r="O470" s="1259">
        <f t="shared" si="162"/>
        <v>0</v>
      </c>
      <c r="P470" s="1259">
        <f t="shared" si="162"/>
        <v>0</v>
      </c>
      <c r="Q470" s="1259">
        <f t="shared" si="162"/>
        <v>0</v>
      </c>
      <c r="R470" s="1259">
        <f t="shared" si="162"/>
        <v>0</v>
      </c>
      <c r="S470" s="1259">
        <f t="shared" si="162"/>
        <v>0</v>
      </c>
      <c r="T470" s="1259">
        <f t="shared" si="162"/>
        <v>0</v>
      </c>
      <c r="U470" s="1259">
        <f t="shared" si="162"/>
        <v>0</v>
      </c>
      <c r="V470" s="1259">
        <f t="shared" si="162"/>
        <v>0</v>
      </c>
      <c r="W470" s="1259">
        <f t="shared" si="162"/>
        <v>0</v>
      </c>
      <c r="X470" s="1259">
        <f t="shared" si="162"/>
        <v>0</v>
      </c>
      <c r="Y470" s="1259">
        <f t="shared" si="162"/>
        <v>0</v>
      </c>
      <c r="Z470" s="1259">
        <f t="shared" si="162"/>
        <v>0</v>
      </c>
      <c r="AA470" s="1259">
        <f t="shared" si="162"/>
        <v>0</v>
      </c>
      <c r="AB470" s="1259">
        <f t="shared" si="162"/>
        <v>0</v>
      </c>
      <c r="AC470" s="1259">
        <f t="shared" si="162"/>
        <v>0</v>
      </c>
      <c r="AD470" s="1259">
        <f t="shared" si="162"/>
        <v>0</v>
      </c>
      <c r="AE470" s="1259">
        <f t="shared" si="162"/>
        <v>0</v>
      </c>
      <c r="AF470" s="1259">
        <f t="shared" si="162"/>
        <v>0</v>
      </c>
      <c r="AG470" s="1259">
        <f t="shared" si="162"/>
        <v>0</v>
      </c>
      <c r="AH470" s="1259">
        <f t="shared" si="162"/>
        <v>0</v>
      </c>
      <c r="AI470" s="1259">
        <f t="shared" si="162"/>
        <v>0</v>
      </c>
      <c r="AJ470" s="1259">
        <f t="shared" si="162"/>
        <v>0</v>
      </c>
      <c r="AK470" s="1259">
        <f t="shared" si="162"/>
        <v>0</v>
      </c>
      <c r="AL470" s="1259">
        <f t="shared" si="162"/>
        <v>0</v>
      </c>
      <c r="AM470" s="1259">
        <f t="shared" si="162"/>
        <v>0</v>
      </c>
      <c r="AN470" s="1259">
        <f t="shared" si="162"/>
        <v>0</v>
      </c>
      <c r="AO470" s="1259">
        <f t="shared" si="162"/>
        <v>0</v>
      </c>
      <c r="AP470" s="1259">
        <f t="shared" si="162"/>
        <v>0</v>
      </c>
      <c r="AQ470" s="1259">
        <f t="shared" si="162"/>
        <v>0</v>
      </c>
      <c r="AR470" s="1259">
        <f t="shared" si="162"/>
        <v>0</v>
      </c>
      <c r="AS470" s="1259">
        <f t="shared" si="162"/>
        <v>0</v>
      </c>
      <c r="AT470" s="1259">
        <f t="shared" si="162"/>
        <v>0</v>
      </c>
      <c r="AU470" s="1259">
        <f t="shared" si="162"/>
        <v>0</v>
      </c>
      <c r="AV470" s="1259">
        <f t="shared" si="162"/>
        <v>0</v>
      </c>
      <c r="AW470" s="1259">
        <f t="shared" si="162"/>
        <v>0</v>
      </c>
      <c r="AX470" s="1259">
        <f t="shared" si="162"/>
        <v>0</v>
      </c>
      <c r="AY470" s="1259">
        <f t="shared" si="162"/>
        <v>0</v>
      </c>
      <c r="AZ470" s="1259">
        <f t="shared" si="162"/>
        <v>0</v>
      </c>
      <c r="BA470" s="1259">
        <f t="shared" si="162"/>
        <v>0</v>
      </c>
      <c r="BB470" s="1259">
        <f t="shared" si="162"/>
        <v>0</v>
      </c>
      <c r="BC470" s="1259">
        <f t="shared" si="162"/>
        <v>0</v>
      </c>
      <c r="BD470" s="1259">
        <f t="shared" si="162"/>
        <v>0</v>
      </c>
      <c r="BE470" s="1260">
        <f t="shared" si="162"/>
        <v>0</v>
      </c>
    </row>
    <row r="471" spans="2:57" x14ac:dyDescent="0.25">
      <c r="B471" s="278"/>
      <c r="C471" s="279" t="s">
        <v>66</v>
      </c>
      <c r="D471" s="279"/>
      <c r="E471" s="279"/>
      <c r="F471" s="279"/>
      <c r="G471" s="1257">
        <f t="shared" ref="G471:BE471" si="163">SUM(G468:G470)</f>
        <v>0</v>
      </c>
      <c r="H471" s="1257">
        <f t="shared" si="163"/>
        <v>0</v>
      </c>
      <c r="I471" s="1257">
        <f t="shared" si="163"/>
        <v>0</v>
      </c>
      <c r="J471" s="1257">
        <f t="shared" si="163"/>
        <v>0</v>
      </c>
      <c r="K471" s="1257">
        <f t="shared" si="163"/>
        <v>0</v>
      </c>
      <c r="L471" s="1257">
        <f t="shared" si="163"/>
        <v>0</v>
      </c>
      <c r="M471" s="1257">
        <f t="shared" si="163"/>
        <v>0</v>
      </c>
      <c r="N471" s="1257">
        <f t="shared" si="163"/>
        <v>0</v>
      </c>
      <c r="O471" s="1257">
        <f t="shared" si="163"/>
        <v>0</v>
      </c>
      <c r="P471" s="1257">
        <f t="shared" si="163"/>
        <v>0</v>
      </c>
      <c r="Q471" s="1257">
        <f t="shared" si="163"/>
        <v>0</v>
      </c>
      <c r="R471" s="1257">
        <f t="shared" si="163"/>
        <v>0</v>
      </c>
      <c r="S471" s="1257">
        <f t="shared" si="163"/>
        <v>0</v>
      </c>
      <c r="T471" s="1257">
        <f t="shared" si="163"/>
        <v>0</v>
      </c>
      <c r="U471" s="1257">
        <f t="shared" si="163"/>
        <v>0</v>
      </c>
      <c r="V471" s="1257">
        <f t="shared" si="163"/>
        <v>0</v>
      </c>
      <c r="W471" s="1257">
        <f t="shared" si="163"/>
        <v>0</v>
      </c>
      <c r="X471" s="1257">
        <f t="shared" si="163"/>
        <v>0</v>
      </c>
      <c r="Y471" s="1257">
        <f t="shared" si="163"/>
        <v>0</v>
      </c>
      <c r="Z471" s="1257">
        <f t="shared" si="163"/>
        <v>0</v>
      </c>
      <c r="AA471" s="1257">
        <f t="shared" si="163"/>
        <v>0</v>
      </c>
      <c r="AB471" s="1257">
        <f t="shared" si="163"/>
        <v>0</v>
      </c>
      <c r="AC471" s="1257">
        <f t="shared" si="163"/>
        <v>0</v>
      </c>
      <c r="AD471" s="1257">
        <f t="shared" si="163"/>
        <v>0</v>
      </c>
      <c r="AE471" s="1257">
        <f t="shared" si="163"/>
        <v>0</v>
      </c>
      <c r="AF471" s="1257">
        <f t="shared" si="163"/>
        <v>0</v>
      </c>
      <c r="AG471" s="1257">
        <f t="shared" si="163"/>
        <v>0</v>
      </c>
      <c r="AH471" s="1257">
        <f t="shared" si="163"/>
        <v>0</v>
      </c>
      <c r="AI471" s="1257">
        <f t="shared" si="163"/>
        <v>0</v>
      </c>
      <c r="AJ471" s="1257">
        <f t="shared" si="163"/>
        <v>0</v>
      </c>
      <c r="AK471" s="1257">
        <f t="shared" si="163"/>
        <v>0</v>
      </c>
      <c r="AL471" s="1257">
        <f t="shared" si="163"/>
        <v>0</v>
      </c>
      <c r="AM471" s="1257">
        <f t="shared" si="163"/>
        <v>0</v>
      </c>
      <c r="AN471" s="1257">
        <f t="shared" si="163"/>
        <v>0</v>
      </c>
      <c r="AO471" s="1257">
        <f t="shared" si="163"/>
        <v>0</v>
      </c>
      <c r="AP471" s="1257">
        <f t="shared" si="163"/>
        <v>0</v>
      </c>
      <c r="AQ471" s="1257">
        <f t="shared" si="163"/>
        <v>0</v>
      </c>
      <c r="AR471" s="1257">
        <f t="shared" si="163"/>
        <v>0</v>
      </c>
      <c r="AS471" s="1257">
        <f t="shared" si="163"/>
        <v>0</v>
      </c>
      <c r="AT471" s="1257">
        <f t="shared" si="163"/>
        <v>0</v>
      </c>
      <c r="AU471" s="1257">
        <f t="shared" si="163"/>
        <v>0</v>
      </c>
      <c r="AV471" s="1257">
        <f t="shared" si="163"/>
        <v>0</v>
      </c>
      <c r="AW471" s="1257">
        <f t="shared" si="163"/>
        <v>0</v>
      </c>
      <c r="AX471" s="1257">
        <f t="shared" si="163"/>
        <v>0</v>
      </c>
      <c r="AY471" s="1257">
        <f t="shared" si="163"/>
        <v>0</v>
      </c>
      <c r="AZ471" s="1257">
        <f t="shared" si="163"/>
        <v>0</v>
      </c>
      <c r="BA471" s="1257">
        <f t="shared" si="163"/>
        <v>0</v>
      </c>
      <c r="BB471" s="1257">
        <f t="shared" si="163"/>
        <v>0</v>
      </c>
      <c r="BC471" s="1257">
        <f t="shared" si="163"/>
        <v>0</v>
      </c>
      <c r="BD471" s="1257">
        <f t="shared" si="163"/>
        <v>0</v>
      </c>
      <c r="BE471" s="1258">
        <f t="shared" si="163"/>
        <v>0</v>
      </c>
    </row>
    <row r="472" spans="2:57" x14ac:dyDescent="0.25">
      <c r="B472" s="278"/>
      <c r="C472" s="279"/>
      <c r="D472" s="279"/>
      <c r="E472" s="279"/>
      <c r="F472" s="279"/>
      <c r="G472" s="1257"/>
      <c r="H472" s="1257"/>
      <c r="I472" s="1257"/>
      <c r="J472" s="1257"/>
      <c r="K472" s="1257"/>
      <c r="L472" s="1257"/>
      <c r="M472" s="1257"/>
      <c r="N472" s="1257"/>
      <c r="O472" s="1257"/>
      <c r="P472" s="1257"/>
      <c r="Q472" s="1257"/>
      <c r="R472" s="1257"/>
      <c r="S472" s="1257"/>
      <c r="T472" s="1257"/>
      <c r="U472" s="1257"/>
      <c r="V472" s="1257"/>
      <c r="W472" s="1257"/>
      <c r="X472" s="1257"/>
      <c r="Y472" s="1257"/>
      <c r="Z472" s="1257"/>
      <c r="AA472" s="1257"/>
      <c r="AB472" s="1257"/>
      <c r="AC472" s="1257"/>
      <c r="AD472" s="1257"/>
      <c r="AE472" s="1257"/>
      <c r="AF472" s="1257"/>
      <c r="AG472" s="1257"/>
      <c r="AH472" s="1257"/>
      <c r="AI472" s="1257"/>
      <c r="AJ472" s="1257"/>
      <c r="AK472" s="1257"/>
      <c r="AL472" s="1257"/>
      <c r="AM472" s="1257"/>
      <c r="AN472" s="1257"/>
      <c r="AO472" s="1257"/>
      <c r="AP472" s="1257"/>
      <c r="AQ472" s="1257"/>
      <c r="AR472" s="1257"/>
      <c r="AS472" s="1257"/>
      <c r="AT472" s="1257"/>
      <c r="AU472" s="1257"/>
      <c r="AV472" s="1257"/>
      <c r="AW472" s="1257"/>
      <c r="AX472" s="1257"/>
      <c r="AY472" s="1257"/>
      <c r="AZ472" s="1257"/>
      <c r="BA472" s="1257"/>
      <c r="BB472" s="1257"/>
      <c r="BC472" s="1257"/>
      <c r="BD472" s="1257"/>
      <c r="BE472" s="1258"/>
    </row>
    <row r="473" spans="2:57" x14ac:dyDescent="0.25">
      <c r="B473" s="278"/>
      <c r="C473" s="397" t="s">
        <v>71</v>
      </c>
      <c r="D473" s="279"/>
      <c r="E473" s="279"/>
      <c r="F473" s="279"/>
      <c r="G473" s="1257"/>
      <c r="H473" s="1257"/>
      <c r="I473" s="1257"/>
      <c r="J473" s="1257"/>
      <c r="K473" s="1257"/>
      <c r="L473" s="1257"/>
      <c r="M473" s="1257"/>
      <c r="N473" s="1257"/>
      <c r="O473" s="1257"/>
      <c r="P473" s="1257"/>
      <c r="Q473" s="1257"/>
      <c r="R473" s="1257"/>
      <c r="S473" s="1257"/>
      <c r="T473" s="1257"/>
      <c r="U473" s="1257"/>
      <c r="V473" s="1257"/>
      <c r="W473" s="1257"/>
      <c r="X473" s="1257"/>
      <c r="Y473" s="1257"/>
      <c r="Z473" s="1257"/>
      <c r="AA473" s="1257"/>
      <c r="AB473" s="1257"/>
      <c r="AC473" s="1257"/>
      <c r="AD473" s="1257"/>
      <c r="AE473" s="1257"/>
      <c r="AF473" s="1257"/>
      <c r="AG473" s="1257"/>
      <c r="AH473" s="1257"/>
      <c r="AI473" s="1257"/>
      <c r="AJ473" s="1257"/>
      <c r="AK473" s="1257"/>
      <c r="AL473" s="1257"/>
      <c r="AM473" s="1257"/>
      <c r="AN473" s="1257"/>
      <c r="AO473" s="1257"/>
      <c r="AP473" s="1257"/>
      <c r="AQ473" s="1257"/>
      <c r="AR473" s="1257"/>
      <c r="AS473" s="1257"/>
      <c r="AT473" s="1257"/>
      <c r="AU473" s="1257"/>
      <c r="AV473" s="1257"/>
      <c r="AW473" s="1257"/>
      <c r="AX473" s="1257"/>
      <c r="AY473" s="1257"/>
      <c r="AZ473" s="1257"/>
      <c r="BA473" s="1257"/>
      <c r="BB473" s="1257"/>
      <c r="BC473" s="1257"/>
      <c r="BD473" s="1257"/>
      <c r="BE473" s="1258"/>
    </row>
    <row r="474" spans="2:57" x14ac:dyDescent="0.25">
      <c r="B474" s="278"/>
      <c r="C474" s="279" t="str">
        <f>'II. Inputs, Baseline Energy Mix'!$E$70</f>
        <v>Front-end Fee</v>
      </c>
      <c r="D474" s="279"/>
      <c r="E474" s="279"/>
      <c r="F474" s="279"/>
      <c r="G474" s="1257"/>
      <c r="H474" s="1257">
        <f>IF($G458&gt;0, G458*'II. Inputs, Baseline Energy Mix'!$P$70/10000,0)</f>
        <v>0</v>
      </c>
      <c r="I474" s="1257">
        <v>0</v>
      </c>
      <c r="J474" s="1257">
        <v>0</v>
      </c>
      <c r="K474" s="1257">
        <v>0</v>
      </c>
      <c r="L474" s="1257">
        <v>0</v>
      </c>
      <c r="M474" s="1257">
        <v>0</v>
      </c>
      <c r="N474" s="1257">
        <v>0</v>
      </c>
      <c r="O474" s="1257">
        <v>0</v>
      </c>
      <c r="P474" s="1257">
        <v>0</v>
      </c>
      <c r="Q474" s="1257">
        <v>0</v>
      </c>
      <c r="R474" s="1257">
        <v>0</v>
      </c>
      <c r="S474" s="1257">
        <v>0</v>
      </c>
      <c r="T474" s="1257">
        <v>0</v>
      </c>
      <c r="U474" s="1257">
        <v>0</v>
      </c>
      <c r="V474" s="1257">
        <v>0</v>
      </c>
      <c r="W474" s="1257">
        <v>0</v>
      </c>
      <c r="X474" s="1257">
        <v>0</v>
      </c>
      <c r="Y474" s="1257">
        <v>0</v>
      </c>
      <c r="Z474" s="1257">
        <v>0</v>
      </c>
      <c r="AA474" s="1257">
        <v>0</v>
      </c>
      <c r="AB474" s="1257">
        <v>0</v>
      </c>
      <c r="AC474" s="1257">
        <v>0</v>
      </c>
      <c r="AD474" s="1257">
        <v>0</v>
      </c>
      <c r="AE474" s="1257">
        <v>0</v>
      </c>
      <c r="AF474" s="1257">
        <v>0</v>
      </c>
      <c r="AG474" s="1257">
        <v>0</v>
      </c>
      <c r="AH474" s="1257">
        <v>0</v>
      </c>
      <c r="AI474" s="1257">
        <v>0</v>
      </c>
      <c r="AJ474" s="1257">
        <v>0</v>
      </c>
      <c r="AK474" s="1257">
        <v>0</v>
      </c>
      <c r="AL474" s="1257">
        <v>0</v>
      </c>
      <c r="AM474" s="1257">
        <v>0</v>
      </c>
      <c r="AN474" s="1257">
        <v>0</v>
      </c>
      <c r="AO474" s="1257">
        <v>0</v>
      </c>
      <c r="AP474" s="1257">
        <v>0</v>
      </c>
      <c r="AQ474" s="1257">
        <v>0</v>
      </c>
      <c r="AR474" s="1257">
        <v>0</v>
      </c>
      <c r="AS474" s="1257">
        <v>0</v>
      </c>
      <c r="AT474" s="1257">
        <v>0</v>
      </c>
      <c r="AU474" s="1257">
        <v>0</v>
      </c>
      <c r="AV474" s="1257">
        <v>0</v>
      </c>
      <c r="AW474" s="1257">
        <v>0</v>
      </c>
      <c r="AX474" s="1257">
        <v>0</v>
      </c>
      <c r="AY474" s="1257">
        <v>0</v>
      </c>
      <c r="AZ474" s="1257">
        <v>0</v>
      </c>
      <c r="BA474" s="1257">
        <v>0</v>
      </c>
      <c r="BB474" s="1257">
        <v>0</v>
      </c>
      <c r="BC474" s="1257">
        <v>0</v>
      </c>
      <c r="BD474" s="1257">
        <v>0</v>
      </c>
      <c r="BE474" s="1258">
        <v>0</v>
      </c>
    </row>
    <row r="475" spans="2:57" x14ac:dyDescent="0.25">
      <c r="B475" s="278"/>
      <c r="C475" s="279"/>
      <c r="D475" s="279"/>
      <c r="E475" s="279"/>
      <c r="F475" s="279"/>
      <c r="G475" s="279"/>
      <c r="H475" s="279"/>
      <c r="I475" s="279"/>
      <c r="J475" s="279"/>
      <c r="K475" s="279"/>
      <c r="L475" s="279"/>
      <c r="M475" s="279"/>
      <c r="N475" s="279"/>
      <c r="O475" s="279"/>
      <c r="P475" s="279"/>
      <c r="Q475" s="279"/>
      <c r="R475" s="279"/>
      <c r="S475" s="279"/>
      <c r="T475" s="279"/>
      <c r="U475" s="279"/>
      <c r="V475" s="279"/>
      <c r="W475" s="279"/>
      <c r="X475" s="279"/>
      <c r="Y475" s="279"/>
      <c r="Z475" s="279"/>
      <c r="AA475" s="279"/>
      <c r="AB475" s="279"/>
      <c r="AC475" s="279"/>
      <c r="AD475" s="279"/>
      <c r="AE475" s="279"/>
      <c r="AF475" s="279"/>
      <c r="AG475" s="279"/>
      <c r="AH475" s="279"/>
      <c r="AI475" s="279"/>
      <c r="AJ475" s="279"/>
      <c r="AK475" s="279"/>
      <c r="AL475" s="279"/>
      <c r="AM475" s="279"/>
      <c r="AN475" s="279"/>
      <c r="AO475" s="279"/>
      <c r="AP475" s="279"/>
      <c r="AQ475" s="279"/>
      <c r="AR475" s="279"/>
      <c r="AS475" s="279"/>
      <c r="AT475" s="279"/>
      <c r="AU475" s="279"/>
      <c r="AV475" s="279"/>
      <c r="AW475" s="279"/>
      <c r="AX475" s="279"/>
      <c r="AY475" s="279"/>
      <c r="AZ475" s="279"/>
      <c r="BA475" s="279"/>
      <c r="BB475" s="279"/>
      <c r="BC475" s="279"/>
      <c r="BD475" s="279"/>
      <c r="BE475" s="280"/>
    </row>
    <row r="476" spans="2:57" x14ac:dyDescent="0.25">
      <c r="B476" s="290" t="s">
        <v>180</v>
      </c>
      <c r="C476" s="279"/>
      <c r="D476" s="279"/>
      <c r="E476" s="279"/>
      <c r="F476" s="279"/>
      <c r="G476" s="279"/>
      <c r="H476" s="279"/>
      <c r="I476" s="279"/>
      <c r="J476" s="279"/>
      <c r="K476" s="279"/>
      <c r="L476" s="279"/>
      <c r="M476" s="279"/>
      <c r="N476" s="279"/>
      <c r="O476" s="279"/>
      <c r="P476" s="279"/>
      <c r="Q476" s="279"/>
      <c r="R476" s="279"/>
      <c r="S476" s="279"/>
      <c r="T476" s="279"/>
      <c r="U476" s="279"/>
      <c r="V476" s="279"/>
      <c r="W476" s="279"/>
      <c r="X476" s="279"/>
      <c r="Y476" s="279"/>
      <c r="Z476" s="279"/>
      <c r="AA476" s="279"/>
      <c r="AB476" s="279"/>
      <c r="AC476" s="279"/>
      <c r="AD476" s="279"/>
      <c r="AE476" s="279"/>
      <c r="AF476" s="279"/>
      <c r="AG476" s="279"/>
      <c r="AH476" s="279"/>
      <c r="AI476" s="279"/>
      <c r="AJ476" s="279"/>
      <c r="AK476" s="279"/>
      <c r="AL476" s="279"/>
      <c r="AM476" s="279"/>
      <c r="AN476" s="279"/>
      <c r="AO476" s="279"/>
      <c r="AP476" s="279"/>
      <c r="AQ476" s="279"/>
      <c r="AR476" s="279"/>
      <c r="AS476" s="279"/>
      <c r="AT476" s="279"/>
      <c r="AU476" s="279"/>
      <c r="AV476" s="279"/>
      <c r="AW476" s="279"/>
      <c r="AX476" s="279"/>
      <c r="AY476" s="279"/>
      <c r="AZ476" s="279"/>
      <c r="BA476" s="279"/>
      <c r="BB476" s="279"/>
      <c r="BC476" s="279"/>
      <c r="BD476" s="279"/>
      <c r="BE476" s="280"/>
    </row>
    <row r="477" spans="2:57" x14ac:dyDescent="0.25">
      <c r="B477" s="278"/>
      <c r="C477" s="394" t="s">
        <v>68</v>
      </c>
      <c r="D477" s="282" t="s">
        <v>631</v>
      </c>
      <c r="E477" s="279"/>
      <c r="F477" s="279"/>
      <c r="G477" s="1257">
        <f>IF('II. Inputs, Baseline Energy Mix'!$P$15&gt;0,('II. Inputs, Baseline Energy Mix'!$P$16*'II. Inputs, Baseline Energy Mix'!$P$17*'II. Inputs, Baseline Energy Mix'!$P$30*'II. Inputs, Baseline Energy Mix'!$P$33),0)</f>
        <v>0</v>
      </c>
      <c r="H477" s="279"/>
      <c r="I477" s="279"/>
      <c r="J477" s="279"/>
      <c r="K477" s="279"/>
      <c r="L477" s="279"/>
      <c r="M477" s="279"/>
      <c r="N477" s="279"/>
      <c r="O477" s="279"/>
      <c r="P477" s="279"/>
      <c r="Q477" s="279"/>
      <c r="R477" s="279"/>
      <c r="S477" s="279"/>
      <c r="T477" s="279"/>
      <c r="U477" s="279"/>
      <c r="V477" s="279"/>
      <c r="W477" s="279"/>
      <c r="X477" s="279"/>
      <c r="Y477" s="279"/>
      <c r="Z477" s="279"/>
      <c r="AA477" s="279"/>
      <c r="AB477" s="279"/>
      <c r="AC477" s="279"/>
      <c r="AD477" s="279"/>
      <c r="AE477" s="279"/>
      <c r="AF477" s="279"/>
      <c r="AG477" s="279"/>
      <c r="AH477" s="279"/>
      <c r="AI477" s="279"/>
      <c r="AJ477" s="279"/>
      <c r="AK477" s="279"/>
      <c r="AL477" s="279"/>
      <c r="AM477" s="279"/>
      <c r="AN477" s="279"/>
      <c r="AO477" s="279"/>
      <c r="AP477" s="279"/>
      <c r="AQ477" s="279"/>
      <c r="AR477" s="279"/>
      <c r="AS477" s="279"/>
      <c r="AT477" s="279"/>
      <c r="AU477" s="279"/>
      <c r="AV477" s="279"/>
      <c r="AW477" s="279"/>
      <c r="AX477" s="279"/>
      <c r="AY477" s="279"/>
      <c r="AZ477" s="279"/>
      <c r="BA477" s="279"/>
      <c r="BB477" s="279"/>
      <c r="BC477" s="279"/>
      <c r="BD477" s="279"/>
      <c r="BE477" s="280"/>
    </row>
    <row r="478" spans="2:57" x14ac:dyDescent="0.25">
      <c r="B478" s="278"/>
      <c r="C478" s="394" t="s">
        <v>69</v>
      </c>
      <c r="D478" s="282" t="s">
        <v>20</v>
      </c>
      <c r="E478" s="279"/>
      <c r="F478" s="279"/>
      <c r="G478" s="281">
        <f>SUM('II. Inputs, Baseline Energy Mix'!$P$73)</f>
        <v>0</v>
      </c>
      <c r="H478" s="279"/>
      <c r="I478" s="279"/>
      <c r="J478" s="279"/>
      <c r="K478" s="279"/>
      <c r="L478" s="279"/>
      <c r="M478" s="279"/>
      <c r="N478" s="279"/>
      <c r="O478" s="279"/>
      <c r="P478" s="279"/>
      <c r="Q478" s="279"/>
      <c r="R478" s="279"/>
      <c r="S478" s="279"/>
      <c r="T478" s="279"/>
      <c r="U478" s="279"/>
      <c r="V478" s="279"/>
      <c r="W478" s="279"/>
      <c r="X478" s="279"/>
      <c r="Y478" s="279"/>
      <c r="Z478" s="279"/>
      <c r="AA478" s="279"/>
      <c r="AB478" s="279"/>
      <c r="AC478" s="279"/>
      <c r="AD478" s="279"/>
      <c r="AE478" s="279"/>
      <c r="AF478" s="279"/>
      <c r="AG478" s="279"/>
      <c r="AH478" s="279"/>
      <c r="AI478" s="279"/>
      <c r="AJ478" s="279"/>
      <c r="AK478" s="279"/>
      <c r="AL478" s="279"/>
      <c r="AM478" s="279"/>
      <c r="AN478" s="279"/>
      <c r="AO478" s="279"/>
      <c r="AP478" s="279"/>
      <c r="AQ478" s="279"/>
      <c r="AR478" s="279"/>
      <c r="AS478" s="279"/>
      <c r="AT478" s="279"/>
      <c r="AU478" s="279"/>
      <c r="AV478" s="279"/>
      <c r="AW478" s="279"/>
      <c r="AX478" s="279"/>
      <c r="AY478" s="279"/>
      <c r="AZ478" s="279"/>
      <c r="BA478" s="279"/>
      <c r="BB478" s="279"/>
      <c r="BC478" s="279"/>
      <c r="BD478" s="279"/>
      <c r="BE478" s="280"/>
    </row>
    <row r="479" spans="2:57" x14ac:dyDescent="0.25">
      <c r="B479" s="278"/>
      <c r="C479" s="394" t="s">
        <v>70</v>
      </c>
      <c r="D479" s="282" t="s">
        <v>16</v>
      </c>
      <c r="E479" s="279"/>
      <c r="F479" s="279"/>
      <c r="G479" s="398">
        <f>SUM('II. Inputs, Baseline Energy Mix'!$P$72)</f>
        <v>0</v>
      </c>
      <c r="H479" s="279"/>
      <c r="I479" s="279"/>
      <c r="J479" s="279"/>
      <c r="K479" s="279"/>
      <c r="L479" s="279"/>
      <c r="M479" s="279"/>
      <c r="N479" s="279"/>
      <c r="O479" s="279"/>
      <c r="P479" s="279"/>
      <c r="Q479" s="279"/>
      <c r="R479" s="279"/>
      <c r="S479" s="279"/>
      <c r="T479" s="279"/>
      <c r="U479" s="279"/>
      <c r="V479" s="279"/>
      <c r="W479" s="279"/>
      <c r="X479" s="279"/>
      <c r="Y479" s="279"/>
      <c r="Z479" s="279"/>
      <c r="AA479" s="279"/>
      <c r="AB479" s="279"/>
      <c r="AC479" s="279"/>
      <c r="AD479" s="279"/>
      <c r="AE479" s="279"/>
      <c r="AF479" s="279"/>
      <c r="AG479" s="279"/>
      <c r="AH479" s="279"/>
      <c r="AI479" s="279"/>
      <c r="AJ479" s="279"/>
      <c r="AK479" s="279"/>
      <c r="AL479" s="279"/>
      <c r="AM479" s="279"/>
      <c r="AN479" s="279"/>
      <c r="AO479" s="279"/>
      <c r="AP479" s="279"/>
      <c r="AQ479" s="279"/>
      <c r="AR479" s="279"/>
      <c r="AS479" s="279"/>
      <c r="AT479" s="279"/>
      <c r="AU479" s="279"/>
      <c r="AV479" s="279"/>
      <c r="AW479" s="279"/>
      <c r="AX479" s="279"/>
      <c r="AY479" s="279"/>
      <c r="AZ479" s="279"/>
      <c r="BA479" s="279"/>
      <c r="BB479" s="279"/>
      <c r="BC479" s="279"/>
      <c r="BD479" s="279"/>
      <c r="BE479" s="280"/>
    </row>
    <row r="480" spans="2:57" x14ac:dyDescent="0.25">
      <c r="B480" s="278"/>
      <c r="C480" s="394" t="str">
        <f>'II. Inputs, Baseline Energy Mix'!$E$75</f>
        <v>Guarantee Coverage, as a % of Commercial Loan Value</v>
      </c>
      <c r="D480" s="282" t="s">
        <v>16</v>
      </c>
      <c r="E480" s="279"/>
      <c r="F480" s="279"/>
      <c r="G480" s="399">
        <f>SUM('II. Inputs, Baseline Energy Mix'!$P$75)</f>
        <v>0</v>
      </c>
      <c r="H480" s="279"/>
      <c r="I480" s="279"/>
      <c r="J480" s="279"/>
      <c r="K480" s="279"/>
      <c r="L480" s="279"/>
      <c r="M480" s="279"/>
      <c r="N480" s="279"/>
      <c r="O480" s="279"/>
      <c r="P480" s="279"/>
      <c r="Q480" s="279"/>
      <c r="R480" s="279"/>
      <c r="S480" s="279"/>
      <c r="T480" s="279"/>
      <c r="U480" s="279"/>
      <c r="V480" s="279"/>
      <c r="W480" s="279"/>
      <c r="X480" s="279"/>
      <c r="Y480" s="279"/>
      <c r="Z480" s="279"/>
      <c r="AA480" s="279"/>
      <c r="AB480" s="279"/>
      <c r="AC480" s="279"/>
      <c r="AD480" s="279"/>
      <c r="AE480" s="279"/>
      <c r="AF480" s="279"/>
      <c r="AG480" s="279"/>
      <c r="AH480" s="279"/>
      <c r="AI480" s="279"/>
      <c r="AJ480" s="279"/>
      <c r="AK480" s="279"/>
      <c r="AL480" s="279"/>
      <c r="AM480" s="279"/>
      <c r="AN480" s="279"/>
      <c r="AO480" s="279"/>
      <c r="AP480" s="279"/>
      <c r="AQ480" s="279"/>
      <c r="AR480" s="279"/>
      <c r="AS480" s="279"/>
      <c r="AT480" s="279"/>
      <c r="AU480" s="279"/>
      <c r="AV480" s="279"/>
      <c r="AW480" s="279"/>
      <c r="AX480" s="279"/>
      <c r="AY480" s="279"/>
      <c r="AZ480" s="279"/>
      <c r="BA480" s="279"/>
      <c r="BB480" s="279"/>
      <c r="BC480" s="279"/>
      <c r="BD480" s="279"/>
      <c r="BE480" s="280"/>
    </row>
    <row r="481" spans="2:57" x14ac:dyDescent="0.25">
      <c r="B481" s="278"/>
      <c r="C481" s="394" t="str">
        <f>'II. Inputs, Baseline Energy Mix'!$E$76</f>
        <v xml:space="preserve">Term of Public Guarantee Coverage </v>
      </c>
      <c r="D481" s="282" t="s">
        <v>20</v>
      </c>
      <c r="E481" s="279"/>
      <c r="F481" s="279"/>
      <c r="G481" s="281">
        <f>'II. Inputs, Baseline Energy Mix'!$P$76</f>
        <v>0</v>
      </c>
      <c r="H481" s="279"/>
      <c r="I481" s="279"/>
      <c r="J481" s="279"/>
      <c r="K481" s="279"/>
      <c r="L481" s="279"/>
      <c r="M481" s="279"/>
      <c r="N481" s="279"/>
      <c r="O481" s="279"/>
      <c r="P481" s="279"/>
      <c r="Q481" s="279"/>
      <c r="R481" s="279"/>
      <c r="S481" s="279"/>
      <c r="T481" s="279"/>
      <c r="U481" s="279"/>
      <c r="V481" s="279"/>
      <c r="W481" s="279"/>
      <c r="X481" s="279"/>
      <c r="Y481" s="279"/>
      <c r="Z481" s="279"/>
      <c r="AA481" s="279"/>
      <c r="AB481" s="279"/>
      <c r="AC481" s="279"/>
      <c r="AD481" s="279"/>
      <c r="AE481" s="279"/>
      <c r="AF481" s="279"/>
      <c r="AG481" s="279"/>
      <c r="AH481" s="279"/>
      <c r="AI481" s="279"/>
      <c r="AJ481" s="279"/>
      <c r="AK481" s="279"/>
      <c r="AL481" s="279"/>
      <c r="AM481" s="279"/>
      <c r="AN481" s="279"/>
      <c r="AO481" s="279"/>
      <c r="AP481" s="279"/>
      <c r="AQ481" s="279"/>
      <c r="AR481" s="279"/>
      <c r="AS481" s="279"/>
      <c r="AT481" s="279"/>
      <c r="AU481" s="279"/>
      <c r="AV481" s="279"/>
      <c r="AW481" s="279"/>
      <c r="AX481" s="279"/>
      <c r="AY481" s="279"/>
      <c r="AZ481" s="279"/>
      <c r="BA481" s="279"/>
      <c r="BB481" s="279"/>
      <c r="BC481" s="279"/>
      <c r="BD481" s="279"/>
      <c r="BE481" s="280"/>
    </row>
    <row r="482" spans="2:57" x14ac:dyDescent="0.25">
      <c r="B482" s="278"/>
      <c r="C482" s="279"/>
      <c r="D482" s="279"/>
      <c r="E482" s="279"/>
      <c r="F482" s="279"/>
      <c r="G482" s="279"/>
      <c r="H482" s="279"/>
      <c r="I482" s="279"/>
      <c r="J482" s="279"/>
      <c r="K482" s="279"/>
      <c r="L482" s="279"/>
      <c r="M482" s="279"/>
      <c r="N482" s="279"/>
      <c r="O482" s="279"/>
      <c r="P482" s="279"/>
      <c r="Q482" s="279"/>
      <c r="R482" s="279"/>
      <c r="S482" s="279"/>
      <c r="T482" s="279"/>
      <c r="U482" s="279"/>
      <c r="V482" s="279"/>
      <c r="W482" s="279"/>
      <c r="X482" s="279"/>
      <c r="Y482" s="279"/>
      <c r="Z482" s="279"/>
      <c r="AA482" s="279"/>
      <c r="AB482" s="279"/>
      <c r="AC482" s="279"/>
      <c r="AD482" s="279"/>
      <c r="AE482" s="279"/>
      <c r="AF482" s="279"/>
      <c r="AG482" s="279"/>
      <c r="AH482" s="279"/>
      <c r="AI482" s="279"/>
      <c r="AJ482" s="279"/>
      <c r="AK482" s="279"/>
      <c r="AL482" s="279"/>
      <c r="AM482" s="279"/>
      <c r="AN482" s="279"/>
      <c r="AO482" s="279"/>
      <c r="AP482" s="279"/>
      <c r="AQ482" s="279"/>
      <c r="AR482" s="279"/>
      <c r="AS482" s="279"/>
      <c r="AT482" s="279"/>
      <c r="AU482" s="279"/>
      <c r="AV482" s="279"/>
      <c r="AW482" s="279"/>
      <c r="AX482" s="279"/>
      <c r="AY482" s="279"/>
      <c r="AZ482" s="279"/>
      <c r="BA482" s="279"/>
      <c r="BB482" s="279"/>
      <c r="BC482" s="279"/>
      <c r="BD482" s="279"/>
      <c r="BE482" s="280"/>
    </row>
    <row r="483" spans="2:57" x14ac:dyDescent="0.25">
      <c r="B483" s="278"/>
      <c r="C483" s="396" t="s">
        <v>67</v>
      </c>
      <c r="D483" s="279"/>
      <c r="E483" s="279"/>
      <c r="F483" s="279"/>
      <c r="G483" s="279"/>
      <c r="H483" s="279"/>
      <c r="I483" s="279"/>
      <c r="J483" s="279"/>
      <c r="K483" s="279"/>
      <c r="L483" s="279"/>
      <c r="M483" s="279"/>
      <c r="N483" s="279"/>
      <c r="O483" s="279"/>
      <c r="P483" s="279"/>
      <c r="Q483" s="279"/>
      <c r="R483" s="279"/>
      <c r="S483" s="279"/>
      <c r="T483" s="279"/>
      <c r="U483" s="279"/>
      <c r="V483" s="279"/>
      <c r="W483" s="279"/>
      <c r="X483" s="279"/>
      <c r="Y483" s="279"/>
      <c r="Z483" s="279"/>
      <c r="AA483" s="279"/>
      <c r="AB483" s="279"/>
      <c r="AC483" s="279"/>
      <c r="AD483" s="279"/>
      <c r="AE483" s="279"/>
      <c r="AF483" s="279"/>
      <c r="AG483" s="279"/>
      <c r="AH483" s="279"/>
      <c r="AI483" s="279"/>
      <c r="AJ483" s="279"/>
      <c r="AK483" s="279"/>
      <c r="AL483" s="279"/>
      <c r="AM483" s="279"/>
      <c r="AN483" s="279"/>
      <c r="AO483" s="279"/>
      <c r="AP483" s="279"/>
      <c r="AQ483" s="279"/>
      <c r="AR483" s="279"/>
      <c r="AS483" s="279"/>
      <c r="AT483" s="279"/>
      <c r="AU483" s="279"/>
      <c r="AV483" s="279"/>
      <c r="AW483" s="279"/>
      <c r="AX483" s="279"/>
      <c r="AY483" s="279"/>
      <c r="AZ483" s="279"/>
      <c r="BA483" s="279"/>
      <c r="BB483" s="279"/>
      <c r="BC483" s="279"/>
      <c r="BD483" s="279"/>
      <c r="BE483" s="280"/>
    </row>
    <row r="484" spans="2:57" x14ac:dyDescent="0.25">
      <c r="B484" s="278"/>
      <c r="C484" s="279" t="s">
        <v>73</v>
      </c>
      <c r="D484" s="279"/>
      <c r="E484" s="279"/>
      <c r="F484" s="279"/>
      <c r="G484" s="1257"/>
      <c r="H484" s="1257">
        <f>IF(H$299&gt;$G478,0,IPMT($G479,H$299,$G478,-$G477))</f>
        <v>0</v>
      </c>
      <c r="I484" s="1257">
        <f t="shared" ref="I484:BE484" si="164">IF(I$299&gt;$G478,0,IPMT($G479,I$299,$G478,-$G477))</f>
        <v>0</v>
      </c>
      <c r="J484" s="1257">
        <f t="shared" si="164"/>
        <v>0</v>
      </c>
      <c r="K484" s="1257">
        <f t="shared" si="164"/>
        <v>0</v>
      </c>
      <c r="L484" s="1257">
        <f t="shared" si="164"/>
        <v>0</v>
      </c>
      <c r="M484" s="1257">
        <f t="shared" si="164"/>
        <v>0</v>
      </c>
      <c r="N484" s="1257">
        <f t="shared" si="164"/>
        <v>0</v>
      </c>
      <c r="O484" s="1257">
        <f t="shared" si="164"/>
        <v>0</v>
      </c>
      <c r="P484" s="1257">
        <f t="shared" si="164"/>
        <v>0</v>
      </c>
      <c r="Q484" s="1257">
        <f t="shared" si="164"/>
        <v>0</v>
      </c>
      <c r="R484" s="1257">
        <f t="shared" si="164"/>
        <v>0</v>
      </c>
      <c r="S484" s="1257">
        <f t="shared" si="164"/>
        <v>0</v>
      </c>
      <c r="T484" s="1257">
        <f t="shared" si="164"/>
        <v>0</v>
      </c>
      <c r="U484" s="1257">
        <f t="shared" si="164"/>
        <v>0</v>
      </c>
      <c r="V484" s="1257">
        <f t="shared" si="164"/>
        <v>0</v>
      </c>
      <c r="W484" s="1257">
        <f t="shared" si="164"/>
        <v>0</v>
      </c>
      <c r="X484" s="1257">
        <f t="shared" si="164"/>
        <v>0</v>
      </c>
      <c r="Y484" s="1257">
        <f t="shared" si="164"/>
        <v>0</v>
      </c>
      <c r="Z484" s="1257">
        <f t="shared" si="164"/>
        <v>0</v>
      </c>
      <c r="AA484" s="1257">
        <f t="shared" si="164"/>
        <v>0</v>
      </c>
      <c r="AB484" s="1257">
        <f t="shared" si="164"/>
        <v>0</v>
      </c>
      <c r="AC484" s="1257">
        <f t="shared" si="164"/>
        <v>0</v>
      </c>
      <c r="AD484" s="1257">
        <f t="shared" si="164"/>
        <v>0</v>
      </c>
      <c r="AE484" s="1257">
        <f t="shared" si="164"/>
        <v>0</v>
      </c>
      <c r="AF484" s="1257">
        <f t="shared" si="164"/>
        <v>0</v>
      </c>
      <c r="AG484" s="1257">
        <f t="shared" si="164"/>
        <v>0</v>
      </c>
      <c r="AH484" s="1257">
        <f t="shared" si="164"/>
        <v>0</v>
      </c>
      <c r="AI484" s="1257">
        <f t="shared" si="164"/>
        <v>0</v>
      </c>
      <c r="AJ484" s="1257">
        <f t="shared" si="164"/>
        <v>0</v>
      </c>
      <c r="AK484" s="1257">
        <f t="shared" si="164"/>
        <v>0</v>
      </c>
      <c r="AL484" s="1257">
        <f t="shared" si="164"/>
        <v>0</v>
      </c>
      <c r="AM484" s="1257">
        <f t="shared" si="164"/>
        <v>0</v>
      </c>
      <c r="AN484" s="1257">
        <f t="shared" si="164"/>
        <v>0</v>
      </c>
      <c r="AO484" s="1257">
        <f t="shared" si="164"/>
        <v>0</v>
      </c>
      <c r="AP484" s="1257">
        <f t="shared" si="164"/>
        <v>0</v>
      </c>
      <c r="AQ484" s="1257">
        <f t="shared" si="164"/>
        <v>0</v>
      </c>
      <c r="AR484" s="1257">
        <f t="shared" si="164"/>
        <v>0</v>
      </c>
      <c r="AS484" s="1257">
        <f t="shared" si="164"/>
        <v>0</v>
      </c>
      <c r="AT484" s="1257">
        <f t="shared" si="164"/>
        <v>0</v>
      </c>
      <c r="AU484" s="1257">
        <f t="shared" si="164"/>
        <v>0</v>
      </c>
      <c r="AV484" s="1257">
        <f t="shared" si="164"/>
        <v>0</v>
      </c>
      <c r="AW484" s="1257">
        <f t="shared" si="164"/>
        <v>0</v>
      </c>
      <c r="AX484" s="1257">
        <f t="shared" si="164"/>
        <v>0</v>
      </c>
      <c r="AY484" s="1257">
        <f t="shared" si="164"/>
        <v>0</v>
      </c>
      <c r="AZ484" s="1257">
        <f t="shared" si="164"/>
        <v>0</v>
      </c>
      <c r="BA484" s="1257">
        <f t="shared" si="164"/>
        <v>0</v>
      </c>
      <c r="BB484" s="1257">
        <f t="shared" si="164"/>
        <v>0</v>
      </c>
      <c r="BC484" s="1257">
        <f t="shared" si="164"/>
        <v>0</v>
      </c>
      <c r="BD484" s="1257">
        <f t="shared" si="164"/>
        <v>0</v>
      </c>
      <c r="BE484" s="1258">
        <f t="shared" si="164"/>
        <v>0</v>
      </c>
    </row>
    <row r="485" spans="2:57" x14ac:dyDescent="0.25">
      <c r="B485" s="278"/>
      <c r="C485" s="286" t="s">
        <v>72</v>
      </c>
      <c r="D485" s="286"/>
      <c r="E485" s="286"/>
      <c r="F485" s="286"/>
      <c r="G485" s="1259"/>
      <c r="H485" s="1259">
        <f>IF(H$299&gt;$G478,0,PPMT($G479,H$299,$G478,-$G477))</f>
        <v>0</v>
      </c>
      <c r="I485" s="1259">
        <f t="shared" ref="I485:BE485" si="165">IF(I$299&gt;$G478,0,PPMT($G479,I$299,$G478,-$G477))</f>
        <v>0</v>
      </c>
      <c r="J485" s="1259">
        <f t="shared" si="165"/>
        <v>0</v>
      </c>
      <c r="K485" s="1259">
        <f t="shared" si="165"/>
        <v>0</v>
      </c>
      <c r="L485" s="1259">
        <f t="shared" si="165"/>
        <v>0</v>
      </c>
      <c r="M485" s="1259">
        <f t="shared" si="165"/>
        <v>0</v>
      </c>
      <c r="N485" s="1259">
        <f t="shared" si="165"/>
        <v>0</v>
      </c>
      <c r="O485" s="1259">
        <f t="shared" si="165"/>
        <v>0</v>
      </c>
      <c r="P485" s="1259">
        <f t="shared" si="165"/>
        <v>0</v>
      </c>
      <c r="Q485" s="1259">
        <f t="shared" si="165"/>
        <v>0</v>
      </c>
      <c r="R485" s="1259">
        <f t="shared" si="165"/>
        <v>0</v>
      </c>
      <c r="S485" s="1259">
        <f t="shared" si="165"/>
        <v>0</v>
      </c>
      <c r="T485" s="1259">
        <f t="shared" si="165"/>
        <v>0</v>
      </c>
      <c r="U485" s="1259">
        <f t="shared" si="165"/>
        <v>0</v>
      </c>
      <c r="V485" s="1259">
        <f t="shared" si="165"/>
        <v>0</v>
      </c>
      <c r="W485" s="1259">
        <f t="shared" si="165"/>
        <v>0</v>
      </c>
      <c r="X485" s="1259">
        <f t="shared" si="165"/>
        <v>0</v>
      </c>
      <c r="Y485" s="1259">
        <f t="shared" si="165"/>
        <v>0</v>
      </c>
      <c r="Z485" s="1259">
        <f t="shared" si="165"/>
        <v>0</v>
      </c>
      <c r="AA485" s="1259">
        <f t="shared" si="165"/>
        <v>0</v>
      </c>
      <c r="AB485" s="1259">
        <f t="shared" si="165"/>
        <v>0</v>
      </c>
      <c r="AC485" s="1259">
        <f t="shared" si="165"/>
        <v>0</v>
      </c>
      <c r="AD485" s="1259">
        <f t="shared" si="165"/>
        <v>0</v>
      </c>
      <c r="AE485" s="1259">
        <f t="shared" si="165"/>
        <v>0</v>
      </c>
      <c r="AF485" s="1259">
        <f t="shared" si="165"/>
        <v>0</v>
      </c>
      <c r="AG485" s="1259">
        <f t="shared" si="165"/>
        <v>0</v>
      </c>
      <c r="AH485" s="1259">
        <f t="shared" si="165"/>
        <v>0</v>
      </c>
      <c r="AI485" s="1259">
        <f t="shared" si="165"/>
        <v>0</v>
      </c>
      <c r="AJ485" s="1259">
        <f t="shared" si="165"/>
        <v>0</v>
      </c>
      <c r="AK485" s="1259">
        <f t="shared" si="165"/>
        <v>0</v>
      </c>
      <c r="AL485" s="1259">
        <f t="shared" si="165"/>
        <v>0</v>
      </c>
      <c r="AM485" s="1259">
        <f t="shared" si="165"/>
        <v>0</v>
      </c>
      <c r="AN485" s="1259">
        <f t="shared" si="165"/>
        <v>0</v>
      </c>
      <c r="AO485" s="1259">
        <f t="shared" si="165"/>
        <v>0</v>
      </c>
      <c r="AP485" s="1259">
        <f t="shared" si="165"/>
        <v>0</v>
      </c>
      <c r="AQ485" s="1259">
        <f t="shared" si="165"/>
        <v>0</v>
      </c>
      <c r="AR485" s="1259">
        <f t="shared" si="165"/>
        <v>0</v>
      </c>
      <c r="AS485" s="1259">
        <f t="shared" si="165"/>
        <v>0</v>
      </c>
      <c r="AT485" s="1259">
        <f t="shared" si="165"/>
        <v>0</v>
      </c>
      <c r="AU485" s="1259">
        <f t="shared" si="165"/>
        <v>0</v>
      </c>
      <c r="AV485" s="1259">
        <f t="shared" si="165"/>
        <v>0</v>
      </c>
      <c r="AW485" s="1259">
        <f t="shared" si="165"/>
        <v>0</v>
      </c>
      <c r="AX485" s="1259">
        <f t="shared" si="165"/>
        <v>0</v>
      </c>
      <c r="AY485" s="1259">
        <f t="shared" si="165"/>
        <v>0</v>
      </c>
      <c r="AZ485" s="1259">
        <f t="shared" si="165"/>
        <v>0</v>
      </c>
      <c r="BA485" s="1259">
        <f t="shared" si="165"/>
        <v>0</v>
      </c>
      <c r="BB485" s="1259">
        <f t="shared" si="165"/>
        <v>0</v>
      </c>
      <c r="BC485" s="1259">
        <f t="shared" si="165"/>
        <v>0</v>
      </c>
      <c r="BD485" s="1259">
        <f t="shared" si="165"/>
        <v>0</v>
      </c>
      <c r="BE485" s="1260">
        <f t="shared" si="165"/>
        <v>0</v>
      </c>
    </row>
    <row r="486" spans="2:57" x14ac:dyDescent="0.25">
      <c r="B486" s="278"/>
      <c r="C486" s="279" t="s">
        <v>74</v>
      </c>
      <c r="D486" s="279"/>
      <c r="E486" s="279"/>
      <c r="F486" s="279"/>
      <c r="G486" s="1257"/>
      <c r="H486" s="1257">
        <f>SUM(H484:H485)</f>
        <v>0</v>
      </c>
      <c r="I486" s="1257">
        <f t="shared" ref="I486:BE486" si="166">SUM(I484:I485)</f>
        <v>0</v>
      </c>
      <c r="J486" s="1257">
        <f t="shared" si="166"/>
        <v>0</v>
      </c>
      <c r="K486" s="1257">
        <f t="shared" si="166"/>
        <v>0</v>
      </c>
      <c r="L486" s="1257">
        <f t="shared" si="166"/>
        <v>0</v>
      </c>
      <c r="M486" s="1257">
        <f t="shared" si="166"/>
        <v>0</v>
      </c>
      <c r="N486" s="1257">
        <f t="shared" si="166"/>
        <v>0</v>
      </c>
      <c r="O486" s="1257">
        <f t="shared" si="166"/>
        <v>0</v>
      </c>
      <c r="P486" s="1257">
        <f t="shared" si="166"/>
        <v>0</v>
      </c>
      <c r="Q486" s="1257">
        <f t="shared" si="166"/>
        <v>0</v>
      </c>
      <c r="R486" s="1257">
        <f t="shared" si="166"/>
        <v>0</v>
      </c>
      <c r="S486" s="1257">
        <f t="shared" si="166"/>
        <v>0</v>
      </c>
      <c r="T486" s="1257">
        <f t="shared" si="166"/>
        <v>0</v>
      </c>
      <c r="U486" s="1257">
        <f t="shared" si="166"/>
        <v>0</v>
      </c>
      <c r="V486" s="1257">
        <f t="shared" si="166"/>
        <v>0</v>
      </c>
      <c r="W486" s="1257">
        <f t="shared" si="166"/>
        <v>0</v>
      </c>
      <c r="X486" s="1257">
        <f t="shared" si="166"/>
        <v>0</v>
      </c>
      <c r="Y486" s="1257">
        <f t="shared" si="166"/>
        <v>0</v>
      </c>
      <c r="Z486" s="1257">
        <f t="shared" si="166"/>
        <v>0</v>
      </c>
      <c r="AA486" s="1257">
        <f t="shared" si="166"/>
        <v>0</v>
      </c>
      <c r="AB486" s="1257">
        <f t="shared" si="166"/>
        <v>0</v>
      </c>
      <c r="AC486" s="1257">
        <f t="shared" si="166"/>
        <v>0</v>
      </c>
      <c r="AD486" s="1257">
        <f t="shared" si="166"/>
        <v>0</v>
      </c>
      <c r="AE486" s="1257">
        <f t="shared" si="166"/>
        <v>0</v>
      </c>
      <c r="AF486" s="1257">
        <f t="shared" si="166"/>
        <v>0</v>
      </c>
      <c r="AG486" s="1257">
        <f t="shared" si="166"/>
        <v>0</v>
      </c>
      <c r="AH486" s="1257">
        <f t="shared" si="166"/>
        <v>0</v>
      </c>
      <c r="AI486" s="1257">
        <f t="shared" si="166"/>
        <v>0</v>
      </c>
      <c r="AJ486" s="1257">
        <f t="shared" si="166"/>
        <v>0</v>
      </c>
      <c r="AK486" s="1257">
        <f t="shared" si="166"/>
        <v>0</v>
      </c>
      <c r="AL486" s="1257">
        <f t="shared" si="166"/>
        <v>0</v>
      </c>
      <c r="AM486" s="1257">
        <f t="shared" si="166"/>
        <v>0</v>
      </c>
      <c r="AN486" s="1257">
        <f t="shared" si="166"/>
        <v>0</v>
      </c>
      <c r="AO486" s="1257">
        <f t="shared" si="166"/>
        <v>0</v>
      </c>
      <c r="AP486" s="1257">
        <f t="shared" si="166"/>
        <v>0</v>
      </c>
      <c r="AQ486" s="1257">
        <f t="shared" si="166"/>
        <v>0</v>
      </c>
      <c r="AR486" s="1257">
        <f t="shared" si="166"/>
        <v>0</v>
      </c>
      <c r="AS486" s="1257">
        <f t="shared" si="166"/>
        <v>0</v>
      </c>
      <c r="AT486" s="1257">
        <f t="shared" si="166"/>
        <v>0</v>
      </c>
      <c r="AU486" s="1257">
        <f t="shared" si="166"/>
        <v>0</v>
      </c>
      <c r="AV486" s="1257">
        <f t="shared" si="166"/>
        <v>0</v>
      </c>
      <c r="AW486" s="1257">
        <f t="shared" si="166"/>
        <v>0</v>
      </c>
      <c r="AX486" s="1257">
        <f t="shared" si="166"/>
        <v>0</v>
      </c>
      <c r="AY486" s="1257">
        <f t="shared" si="166"/>
        <v>0</v>
      </c>
      <c r="AZ486" s="1257">
        <f t="shared" si="166"/>
        <v>0</v>
      </c>
      <c r="BA486" s="1257">
        <f t="shared" si="166"/>
        <v>0</v>
      </c>
      <c r="BB486" s="1257">
        <f t="shared" si="166"/>
        <v>0</v>
      </c>
      <c r="BC486" s="1257">
        <f t="shared" si="166"/>
        <v>0</v>
      </c>
      <c r="BD486" s="1257">
        <f t="shared" si="166"/>
        <v>0</v>
      </c>
      <c r="BE486" s="1258">
        <f t="shared" si="166"/>
        <v>0</v>
      </c>
    </row>
    <row r="487" spans="2:57" x14ac:dyDescent="0.25">
      <c r="B487" s="278"/>
      <c r="C487" s="279"/>
      <c r="D487" s="279"/>
      <c r="E487" s="279"/>
      <c r="F487" s="279"/>
      <c r="G487" s="1257"/>
      <c r="H487" s="1257"/>
      <c r="I487" s="1257"/>
      <c r="J487" s="1257"/>
      <c r="K487" s="1257"/>
      <c r="L487" s="1257"/>
      <c r="M487" s="1257"/>
      <c r="N487" s="1257"/>
      <c r="O487" s="1257"/>
      <c r="P487" s="1257"/>
      <c r="Q487" s="1257"/>
      <c r="R487" s="1257"/>
      <c r="S487" s="1257"/>
      <c r="T487" s="1257"/>
      <c r="U487" s="1257"/>
      <c r="V487" s="1257"/>
      <c r="W487" s="1257"/>
      <c r="X487" s="1257"/>
      <c r="Y487" s="1257"/>
      <c r="Z487" s="1257"/>
      <c r="AA487" s="1257"/>
      <c r="AB487" s="1257"/>
      <c r="AC487" s="1257"/>
      <c r="AD487" s="1257"/>
      <c r="AE487" s="1257"/>
      <c r="AF487" s="1257"/>
      <c r="AG487" s="1257"/>
      <c r="AH487" s="1257"/>
      <c r="AI487" s="1257"/>
      <c r="AJ487" s="1257"/>
      <c r="AK487" s="1257"/>
      <c r="AL487" s="1257"/>
      <c r="AM487" s="1257"/>
      <c r="AN487" s="1257"/>
      <c r="AO487" s="1257"/>
      <c r="AP487" s="1257"/>
      <c r="AQ487" s="1257"/>
      <c r="AR487" s="1257"/>
      <c r="AS487" s="1257"/>
      <c r="AT487" s="1257"/>
      <c r="AU487" s="1257"/>
      <c r="AV487" s="1257"/>
      <c r="AW487" s="1257"/>
      <c r="AX487" s="1257"/>
      <c r="AY487" s="1257"/>
      <c r="AZ487" s="1257"/>
      <c r="BA487" s="1257"/>
      <c r="BB487" s="1257"/>
      <c r="BC487" s="1257"/>
      <c r="BD487" s="1257"/>
      <c r="BE487" s="1258"/>
    </row>
    <row r="488" spans="2:57" x14ac:dyDescent="0.25">
      <c r="B488" s="278"/>
      <c r="C488" s="397" t="s">
        <v>65</v>
      </c>
      <c r="D488" s="279"/>
      <c r="E488" s="279"/>
      <c r="F488" s="279"/>
      <c r="G488" s="1257"/>
      <c r="H488" s="1257"/>
      <c r="I488" s="1257"/>
      <c r="J488" s="1257"/>
      <c r="K488" s="1257"/>
      <c r="L488" s="1257"/>
      <c r="M488" s="1257"/>
      <c r="N488" s="1257"/>
      <c r="O488" s="1257"/>
      <c r="P488" s="1257"/>
      <c r="Q488" s="1257"/>
      <c r="R488" s="1257"/>
      <c r="S488" s="1257"/>
      <c r="T488" s="1257"/>
      <c r="U488" s="1257"/>
      <c r="V488" s="1257"/>
      <c r="W488" s="1257"/>
      <c r="X488" s="1257"/>
      <c r="Y488" s="1257"/>
      <c r="Z488" s="1257"/>
      <c r="AA488" s="1257"/>
      <c r="AB488" s="1257"/>
      <c r="AC488" s="1257"/>
      <c r="AD488" s="1257"/>
      <c r="AE488" s="1257"/>
      <c r="AF488" s="1257"/>
      <c r="AG488" s="1257"/>
      <c r="AH488" s="1257"/>
      <c r="AI488" s="1257"/>
      <c r="AJ488" s="1257"/>
      <c r="AK488" s="1257"/>
      <c r="AL488" s="1257"/>
      <c r="AM488" s="1257"/>
      <c r="AN488" s="1257"/>
      <c r="AO488" s="1257"/>
      <c r="AP488" s="1257"/>
      <c r="AQ488" s="1257"/>
      <c r="AR488" s="1257"/>
      <c r="AS488" s="1257"/>
      <c r="AT488" s="1257"/>
      <c r="AU488" s="1257"/>
      <c r="AV488" s="1257"/>
      <c r="AW488" s="1257"/>
      <c r="AX488" s="1257"/>
      <c r="AY488" s="1257"/>
      <c r="AZ488" s="1257"/>
      <c r="BA488" s="1257"/>
      <c r="BB488" s="1257"/>
      <c r="BC488" s="1257"/>
      <c r="BD488" s="1257"/>
      <c r="BE488" s="1258"/>
    </row>
    <row r="489" spans="2:57" x14ac:dyDescent="0.25">
      <c r="B489" s="278"/>
      <c r="C489" s="279" t="s">
        <v>75</v>
      </c>
      <c r="D489" s="279"/>
      <c r="E489" s="279"/>
      <c r="F489" s="279"/>
      <c r="G489" s="1257">
        <v>0</v>
      </c>
      <c r="H489" s="1257">
        <f t="shared" ref="H489:AM489" si="167">G492</f>
        <v>0</v>
      </c>
      <c r="I489" s="1257">
        <f t="shared" si="167"/>
        <v>0</v>
      </c>
      <c r="J489" s="1257">
        <f t="shared" si="167"/>
        <v>0</v>
      </c>
      <c r="K489" s="1257">
        <f t="shared" si="167"/>
        <v>0</v>
      </c>
      <c r="L489" s="1257">
        <f t="shared" si="167"/>
        <v>0</v>
      </c>
      <c r="M489" s="1257">
        <f t="shared" si="167"/>
        <v>0</v>
      </c>
      <c r="N489" s="1257">
        <f t="shared" si="167"/>
        <v>0</v>
      </c>
      <c r="O489" s="1257">
        <f t="shared" si="167"/>
        <v>0</v>
      </c>
      <c r="P489" s="1257">
        <f t="shared" si="167"/>
        <v>0</v>
      </c>
      <c r="Q489" s="1257">
        <f t="shared" si="167"/>
        <v>0</v>
      </c>
      <c r="R489" s="1257">
        <f t="shared" si="167"/>
        <v>0</v>
      </c>
      <c r="S489" s="1257">
        <f t="shared" si="167"/>
        <v>0</v>
      </c>
      <c r="T489" s="1257">
        <f t="shared" si="167"/>
        <v>0</v>
      </c>
      <c r="U489" s="1257">
        <f t="shared" si="167"/>
        <v>0</v>
      </c>
      <c r="V489" s="1257">
        <f t="shared" si="167"/>
        <v>0</v>
      </c>
      <c r="W489" s="1257">
        <f t="shared" si="167"/>
        <v>0</v>
      </c>
      <c r="X489" s="1257">
        <f t="shared" si="167"/>
        <v>0</v>
      </c>
      <c r="Y489" s="1257">
        <f t="shared" si="167"/>
        <v>0</v>
      </c>
      <c r="Z489" s="1257">
        <f t="shared" si="167"/>
        <v>0</v>
      </c>
      <c r="AA489" s="1257">
        <f t="shared" si="167"/>
        <v>0</v>
      </c>
      <c r="AB489" s="1257">
        <f t="shared" si="167"/>
        <v>0</v>
      </c>
      <c r="AC489" s="1257">
        <f t="shared" si="167"/>
        <v>0</v>
      </c>
      <c r="AD489" s="1257">
        <f t="shared" si="167"/>
        <v>0</v>
      </c>
      <c r="AE489" s="1257">
        <f t="shared" si="167"/>
        <v>0</v>
      </c>
      <c r="AF489" s="1257">
        <f t="shared" si="167"/>
        <v>0</v>
      </c>
      <c r="AG489" s="1257">
        <f t="shared" si="167"/>
        <v>0</v>
      </c>
      <c r="AH489" s="1257">
        <f t="shared" si="167"/>
        <v>0</v>
      </c>
      <c r="AI489" s="1257">
        <f t="shared" si="167"/>
        <v>0</v>
      </c>
      <c r="AJ489" s="1257">
        <f t="shared" si="167"/>
        <v>0</v>
      </c>
      <c r="AK489" s="1257">
        <f t="shared" si="167"/>
        <v>0</v>
      </c>
      <c r="AL489" s="1257">
        <f t="shared" si="167"/>
        <v>0</v>
      </c>
      <c r="AM489" s="1257">
        <f t="shared" si="167"/>
        <v>0</v>
      </c>
      <c r="AN489" s="1257">
        <f t="shared" ref="AN489:BE489" si="168">AM492</f>
        <v>0</v>
      </c>
      <c r="AO489" s="1257">
        <f t="shared" si="168"/>
        <v>0</v>
      </c>
      <c r="AP489" s="1257">
        <f t="shared" si="168"/>
        <v>0</v>
      </c>
      <c r="AQ489" s="1257">
        <f t="shared" si="168"/>
        <v>0</v>
      </c>
      <c r="AR489" s="1257">
        <f t="shared" si="168"/>
        <v>0</v>
      </c>
      <c r="AS489" s="1257">
        <f t="shared" si="168"/>
        <v>0</v>
      </c>
      <c r="AT489" s="1257">
        <f t="shared" si="168"/>
        <v>0</v>
      </c>
      <c r="AU489" s="1257">
        <f t="shared" si="168"/>
        <v>0</v>
      </c>
      <c r="AV489" s="1257">
        <f t="shared" si="168"/>
        <v>0</v>
      </c>
      <c r="AW489" s="1257">
        <f t="shared" si="168"/>
        <v>0</v>
      </c>
      <c r="AX489" s="1257">
        <f t="shared" si="168"/>
        <v>0</v>
      </c>
      <c r="AY489" s="1257">
        <f t="shared" si="168"/>
        <v>0</v>
      </c>
      <c r="AZ489" s="1257">
        <f t="shared" si="168"/>
        <v>0</v>
      </c>
      <c r="BA489" s="1257">
        <f t="shared" si="168"/>
        <v>0</v>
      </c>
      <c r="BB489" s="1257">
        <f t="shared" si="168"/>
        <v>0</v>
      </c>
      <c r="BC489" s="1257">
        <f t="shared" si="168"/>
        <v>0</v>
      </c>
      <c r="BD489" s="1257">
        <f t="shared" si="168"/>
        <v>0</v>
      </c>
      <c r="BE489" s="1258">
        <f t="shared" si="168"/>
        <v>0</v>
      </c>
    </row>
    <row r="490" spans="2:57" x14ac:dyDescent="0.25">
      <c r="B490" s="278"/>
      <c r="C490" s="279" t="s">
        <v>76</v>
      </c>
      <c r="D490" s="279"/>
      <c r="E490" s="279"/>
      <c r="F490" s="279"/>
      <c r="G490" s="1257">
        <f>G477</f>
        <v>0</v>
      </c>
      <c r="H490" s="1257">
        <v>0</v>
      </c>
      <c r="I490" s="1257">
        <v>0</v>
      </c>
      <c r="J490" s="1257">
        <v>0</v>
      </c>
      <c r="K490" s="1257">
        <v>0</v>
      </c>
      <c r="L490" s="1257">
        <v>0</v>
      </c>
      <c r="M490" s="1257">
        <v>0</v>
      </c>
      <c r="N490" s="1257">
        <v>0</v>
      </c>
      <c r="O490" s="1257">
        <v>0</v>
      </c>
      <c r="P490" s="1257">
        <v>0</v>
      </c>
      <c r="Q490" s="1257">
        <v>0</v>
      </c>
      <c r="R490" s="1257">
        <v>0</v>
      </c>
      <c r="S490" s="1257">
        <v>0</v>
      </c>
      <c r="T490" s="1257">
        <v>0</v>
      </c>
      <c r="U490" s="1257">
        <v>0</v>
      </c>
      <c r="V490" s="1257">
        <v>0</v>
      </c>
      <c r="W490" s="1257">
        <v>0</v>
      </c>
      <c r="X490" s="1257">
        <v>0</v>
      </c>
      <c r="Y490" s="1257">
        <v>0</v>
      </c>
      <c r="Z490" s="1257">
        <v>0</v>
      </c>
      <c r="AA490" s="1257">
        <v>0</v>
      </c>
      <c r="AB490" s="1257">
        <v>0</v>
      </c>
      <c r="AC490" s="1257">
        <v>0</v>
      </c>
      <c r="AD490" s="1257">
        <v>0</v>
      </c>
      <c r="AE490" s="1257">
        <v>0</v>
      </c>
      <c r="AF490" s="1257">
        <v>0</v>
      </c>
      <c r="AG490" s="1257">
        <v>0</v>
      </c>
      <c r="AH490" s="1257">
        <v>0</v>
      </c>
      <c r="AI490" s="1257">
        <v>0</v>
      </c>
      <c r="AJ490" s="1257">
        <v>0</v>
      </c>
      <c r="AK490" s="1257">
        <v>0</v>
      </c>
      <c r="AL490" s="1257">
        <v>0</v>
      </c>
      <c r="AM490" s="1257">
        <v>0</v>
      </c>
      <c r="AN490" s="1257">
        <v>0</v>
      </c>
      <c r="AO490" s="1257">
        <v>0</v>
      </c>
      <c r="AP490" s="1257">
        <v>0</v>
      </c>
      <c r="AQ490" s="1257">
        <v>0</v>
      </c>
      <c r="AR490" s="1257">
        <v>0</v>
      </c>
      <c r="AS490" s="1257">
        <v>0</v>
      </c>
      <c r="AT490" s="1257">
        <v>0</v>
      </c>
      <c r="AU490" s="1257">
        <v>0</v>
      </c>
      <c r="AV490" s="1257">
        <v>0</v>
      </c>
      <c r="AW490" s="1257">
        <v>0</v>
      </c>
      <c r="AX490" s="1257">
        <v>0</v>
      </c>
      <c r="AY490" s="1257">
        <v>0</v>
      </c>
      <c r="AZ490" s="1257">
        <v>0</v>
      </c>
      <c r="BA490" s="1257">
        <v>0</v>
      </c>
      <c r="BB490" s="1257">
        <v>0</v>
      </c>
      <c r="BC490" s="1257">
        <v>0</v>
      </c>
      <c r="BD490" s="1257">
        <v>0</v>
      </c>
      <c r="BE490" s="1258">
        <v>0</v>
      </c>
    </row>
    <row r="491" spans="2:57" x14ac:dyDescent="0.25">
      <c r="B491" s="278"/>
      <c r="C491" s="286" t="s">
        <v>77</v>
      </c>
      <c r="D491" s="286"/>
      <c r="E491" s="286"/>
      <c r="F491" s="286"/>
      <c r="G491" s="1259">
        <v>0</v>
      </c>
      <c r="H491" s="1259">
        <f>-H485</f>
        <v>0</v>
      </c>
      <c r="I491" s="1259">
        <f t="shared" ref="I491:BE491" si="169">-I485</f>
        <v>0</v>
      </c>
      <c r="J491" s="1259">
        <f t="shared" si="169"/>
        <v>0</v>
      </c>
      <c r="K491" s="1259">
        <f t="shared" si="169"/>
        <v>0</v>
      </c>
      <c r="L491" s="1259">
        <f t="shared" si="169"/>
        <v>0</v>
      </c>
      <c r="M491" s="1259">
        <f t="shared" si="169"/>
        <v>0</v>
      </c>
      <c r="N491" s="1259">
        <f t="shared" si="169"/>
        <v>0</v>
      </c>
      <c r="O491" s="1259">
        <f t="shared" si="169"/>
        <v>0</v>
      </c>
      <c r="P491" s="1259">
        <f t="shared" si="169"/>
        <v>0</v>
      </c>
      <c r="Q491" s="1259">
        <f t="shared" si="169"/>
        <v>0</v>
      </c>
      <c r="R491" s="1259">
        <f t="shared" si="169"/>
        <v>0</v>
      </c>
      <c r="S491" s="1259">
        <f t="shared" si="169"/>
        <v>0</v>
      </c>
      <c r="T491" s="1259">
        <f t="shared" si="169"/>
        <v>0</v>
      </c>
      <c r="U491" s="1259">
        <f t="shared" si="169"/>
        <v>0</v>
      </c>
      <c r="V491" s="1259">
        <f t="shared" si="169"/>
        <v>0</v>
      </c>
      <c r="W491" s="1259">
        <f t="shared" si="169"/>
        <v>0</v>
      </c>
      <c r="X491" s="1259">
        <f t="shared" si="169"/>
        <v>0</v>
      </c>
      <c r="Y491" s="1259">
        <f t="shared" si="169"/>
        <v>0</v>
      </c>
      <c r="Z491" s="1259">
        <f t="shared" si="169"/>
        <v>0</v>
      </c>
      <c r="AA491" s="1259">
        <f t="shared" si="169"/>
        <v>0</v>
      </c>
      <c r="AB491" s="1259">
        <f t="shared" si="169"/>
        <v>0</v>
      </c>
      <c r="AC491" s="1259">
        <f t="shared" si="169"/>
        <v>0</v>
      </c>
      <c r="AD491" s="1259">
        <f t="shared" si="169"/>
        <v>0</v>
      </c>
      <c r="AE491" s="1259">
        <f t="shared" si="169"/>
        <v>0</v>
      </c>
      <c r="AF491" s="1259">
        <f t="shared" si="169"/>
        <v>0</v>
      </c>
      <c r="AG491" s="1259">
        <f t="shared" si="169"/>
        <v>0</v>
      </c>
      <c r="AH491" s="1259">
        <f t="shared" si="169"/>
        <v>0</v>
      </c>
      <c r="AI491" s="1259">
        <f t="shared" si="169"/>
        <v>0</v>
      </c>
      <c r="AJ491" s="1259">
        <f t="shared" si="169"/>
        <v>0</v>
      </c>
      <c r="AK491" s="1259">
        <f t="shared" si="169"/>
        <v>0</v>
      </c>
      <c r="AL491" s="1259">
        <f t="shared" si="169"/>
        <v>0</v>
      </c>
      <c r="AM491" s="1259">
        <f t="shared" si="169"/>
        <v>0</v>
      </c>
      <c r="AN491" s="1259">
        <f t="shared" si="169"/>
        <v>0</v>
      </c>
      <c r="AO491" s="1259">
        <f t="shared" si="169"/>
        <v>0</v>
      </c>
      <c r="AP491" s="1259">
        <f t="shared" si="169"/>
        <v>0</v>
      </c>
      <c r="AQ491" s="1259">
        <f t="shared" si="169"/>
        <v>0</v>
      </c>
      <c r="AR491" s="1259">
        <f t="shared" si="169"/>
        <v>0</v>
      </c>
      <c r="AS491" s="1259">
        <f t="shared" si="169"/>
        <v>0</v>
      </c>
      <c r="AT491" s="1259">
        <f t="shared" si="169"/>
        <v>0</v>
      </c>
      <c r="AU491" s="1259">
        <f t="shared" si="169"/>
        <v>0</v>
      </c>
      <c r="AV491" s="1259">
        <f t="shared" si="169"/>
        <v>0</v>
      </c>
      <c r="AW491" s="1259">
        <f t="shared" si="169"/>
        <v>0</v>
      </c>
      <c r="AX491" s="1259">
        <f t="shared" si="169"/>
        <v>0</v>
      </c>
      <c r="AY491" s="1259">
        <f t="shared" si="169"/>
        <v>0</v>
      </c>
      <c r="AZ491" s="1259">
        <f t="shared" si="169"/>
        <v>0</v>
      </c>
      <c r="BA491" s="1259">
        <f t="shared" si="169"/>
        <v>0</v>
      </c>
      <c r="BB491" s="1259">
        <f t="shared" si="169"/>
        <v>0</v>
      </c>
      <c r="BC491" s="1259">
        <f t="shared" si="169"/>
        <v>0</v>
      </c>
      <c r="BD491" s="1259">
        <f t="shared" si="169"/>
        <v>0</v>
      </c>
      <c r="BE491" s="1260">
        <f t="shared" si="169"/>
        <v>0</v>
      </c>
    </row>
    <row r="492" spans="2:57" x14ac:dyDescent="0.25">
      <c r="B492" s="278"/>
      <c r="C492" s="279" t="s">
        <v>66</v>
      </c>
      <c r="D492" s="279"/>
      <c r="E492" s="279"/>
      <c r="F492" s="279"/>
      <c r="G492" s="1257">
        <f>SUM(G489:G491)</f>
        <v>0</v>
      </c>
      <c r="H492" s="1257">
        <f>SUM(H489:H491)</f>
        <v>0</v>
      </c>
      <c r="I492" s="1257">
        <f t="shared" ref="I492:BE492" si="170">SUM(I489:I491)</f>
        <v>0</v>
      </c>
      <c r="J492" s="1257">
        <f t="shared" si="170"/>
        <v>0</v>
      </c>
      <c r="K492" s="1257">
        <f t="shared" si="170"/>
        <v>0</v>
      </c>
      <c r="L492" s="1257">
        <f t="shared" si="170"/>
        <v>0</v>
      </c>
      <c r="M492" s="1257">
        <f t="shared" si="170"/>
        <v>0</v>
      </c>
      <c r="N492" s="1257">
        <f t="shared" si="170"/>
        <v>0</v>
      </c>
      <c r="O492" s="1257">
        <f t="shared" si="170"/>
        <v>0</v>
      </c>
      <c r="P492" s="1257">
        <f t="shared" si="170"/>
        <v>0</v>
      </c>
      <c r="Q492" s="1257">
        <f t="shared" si="170"/>
        <v>0</v>
      </c>
      <c r="R492" s="1257">
        <f t="shared" si="170"/>
        <v>0</v>
      </c>
      <c r="S492" s="1257">
        <f t="shared" si="170"/>
        <v>0</v>
      </c>
      <c r="T492" s="1257">
        <f t="shared" si="170"/>
        <v>0</v>
      </c>
      <c r="U492" s="1257">
        <f t="shared" si="170"/>
        <v>0</v>
      </c>
      <c r="V492" s="1257">
        <f t="shared" si="170"/>
        <v>0</v>
      </c>
      <c r="W492" s="1257">
        <f t="shared" si="170"/>
        <v>0</v>
      </c>
      <c r="X492" s="1257">
        <f t="shared" si="170"/>
        <v>0</v>
      </c>
      <c r="Y492" s="1257">
        <f t="shared" si="170"/>
        <v>0</v>
      </c>
      <c r="Z492" s="1257">
        <f t="shared" si="170"/>
        <v>0</v>
      </c>
      <c r="AA492" s="1257">
        <f t="shared" si="170"/>
        <v>0</v>
      </c>
      <c r="AB492" s="1257">
        <f t="shared" si="170"/>
        <v>0</v>
      </c>
      <c r="AC492" s="1257">
        <f t="shared" si="170"/>
        <v>0</v>
      </c>
      <c r="AD492" s="1257">
        <f t="shared" si="170"/>
        <v>0</v>
      </c>
      <c r="AE492" s="1257">
        <f t="shared" si="170"/>
        <v>0</v>
      </c>
      <c r="AF492" s="1257">
        <f t="shared" si="170"/>
        <v>0</v>
      </c>
      <c r="AG492" s="1257">
        <f t="shared" si="170"/>
        <v>0</v>
      </c>
      <c r="AH492" s="1257">
        <f t="shared" si="170"/>
        <v>0</v>
      </c>
      <c r="AI492" s="1257">
        <f t="shared" si="170"/>
        <v>0</v>
      </c>
      <c r="AJ492" s="1257">
        <f t="shared" si="170"/>
        <v>0</v>
      </c>
      <c r="AK492" s="1257">
        <f t="shared" si="170"/>
        <v>0</v>
      </c>
      <c r="AL492" s="1257">
        <f t="shared" si="170"/>
        <v>0</v>
      </c>
      <c r="AM492" s="1257">
        <f t="shared" si="170"/>
        <v>0</v>
      </c>
      <c r="AN492" s="1257">
        <f t="shared" si="170"/>
        <v>0</v>
      </c>
      <c r="AO492" s="1257">
        <f t="shared" si="170"/>
        <v>0</v>
      </c>
      <c r="AP492" s="1257">
        <f t="shared" si="170"/>
        <v>0</v>
      </c>
      <c r="AQ492" s="1257">
        <f t="shared" si="170"/>
        <v>0</v>
      </c>
      <c r="AR492" s="1257">
        <f t="shared" si="170"/>
        <v>0</v>
      </c>
      <c r="AS492" s="1257">
        <f t="shared" si="170"/>
        <v>0</v>
      </c>
      <c r="AT492" s="1257">
        <f t="shared" si="170"/>
        <v>0</v>
      </c>
      <c r="AU492" s="1257">
        <f t="shared" si="170"/>
        <v>0</v>
      </c>
      <c r="AV492" s="1257">
        <f t="shared" si="170"/>
        <v>0</v>
      </c>
      <c r="AW492" s="1257">
        <f t="shared" si="170"/>
        <v>0</v>
      </c>
      <c r="AX492" s="1257">
        <f t="shared" si="170"/>
        <v>0</v>
      </c>
      <c r="AY492" s="1257">
        <f t="shared" si="170"/>
        <v>0</v>
      </c>
      <c r="AZ492" s="1257">
        <f t="shared" si="170"/>
        <v>0</v>
      </c>
      <c r="BA492" s="1257">
        <f t="shared" si="170"/>
        <v>0</v>
      </c>
      <c r="BB492" s="1257">
        <f t="shared" si="170"/>
        <v>0</v>
      </c>
      <c r="BC492" s="1257">
        <f t="shared" si="170"/>
        <v>0</v>
      </c>
      <c r="BD492" s="1257">
        <f t="shared" si="170"/>
        <v>0</v>
      </c>
      <c r="BE492" s="1258">
        <f t="shared" si="170"/>
        <v>0</v>
      </c>
    </row>
    <row r="493" spans="2:57" x14ac:dyDescent="0.25">
      <c r="B493" s="278"/>
      <c r="C493" s="279"/>
      <c r="D493" s="279"/>
      <c r="E493" s="279"/>
      <c r="F493" s="279"/>
      <c r="G493" s="1257"/>
      <c r="H493" s="1257"/>
      <c r="I493" s="1257"/>
      <c r="J493" s="1257"/>
      <c r="K493" s="1257"/>
      <c r="L493" s="1257"/>
      <c r="M493" s="1257"/>
      <c r="N493" s="1257"/>
      <c r="O493" s="1257"/>
      <c r="P493" s="1257"/>
      <c r="Q493" s="1257"/>
      <c r="R493" s="1257"/>
      <c r="S493" s="1257"/>
      <c r="T493" s="1257"/>
      <c r="U493" s="1257"/>
      <c r="V493" s="1257"/>
      <c r="W493" s="1257"/>
      <c r="X493" s="1257"/>
      <c r="Y493" s="1257"/>
      <c r="Z493" s="1257"/>
      <c r="AA493" s="1257"/>
      <c r="AB493" s="1257"/>
      <c r="AC493" s="1257"/>
      <c r="AD493" s="1257"/>
      <c r="AE493" s="1257"/>
      <c r="AF493" s="1257"/>
      <c r="AG493" s="1257"/>
      <c r="AH493" s="1257"/>
      <c r="AI493" s="1257"/>
      <c r="AJ493" s="1257"/>
      <c r="AK493" s="1257"/>
      <c r="AL493" s="1257"/>
      <c r="AM493" s="1257"/>
      <c r="AN493" s="1257"/>
      <c r="AO493" s="1257"/>
      <c r="AP493" s="1257"/>
      <c r="AQ493" s="1257"/>
      <c r="AR493" s="1257"/>
      <c r="AS493" s="1257"/>
      <c r="AT493" s="1257"/>
      <c r="AU493" s="1257"/>
      <c r="AV493" s="1257"/>
      <c r="AW493" s="1257"/>
      <c r="AX493" s="1257"/>
      <c r="AY493" s="1257"/>
      <c r="AZ493" s="1257"/>
      <c r="BA493" s="1257"/>
      <c r="BB493" s="1257"/>
      <c r="BC493" s="1257"/>
      <c r="BD493" s="1257"/>
      <c r="BE493" s="1258"/>
    </row>
    <row r="494" spans="2:57" x14ac:dyDescent="0.25">
      <c r="B494" s="278"/>
      <c r="C494" s="397" t="s">
        <v>71</v>
      </c>
      <c r="D494" s="279"/>
      <c r="E494" s="279"/>
      <c r="F494" s="279"/>
      <c r="G494" s="1257"/>
      <c r="H494" s="1257"/>
      <c r="I494" s="1257"/>
      <c r="J494" s="1257"/>
      <c r="K494" s="1257"/>
      <c r="L494" s="1257"/>
      <c r="M494" s="1257"/>
      <c r="N494" s="1257"/>
      <c r="O494" s="1257"/>
      <c r="P494" s="1257"/>
      <c r="Q494" s="1257"/>
      <c r="R494" s="1257"/>
      <c r="S494" s="1257"/>
      <c r="T494" s="1257"/>
      <c r="U494" s="1257"/>
      <c r="V494" s="1257"/>
      <c r="W494" s="1257"/>
      <c r="X494" s="1257"/>
      <c r="Y494" s="1257"/>
      <c r="Z494" s="1257"/>
      <c r="AA494" s="1257"/>
      <c r="AB494" s="1257"/>
      <c r="AC494" s="1257"/>
      <c r="AD494" s="1257"/>
      <c r="AE494" s="1257"/>
      <c r="AF494" s="1257"/>
      <c r="AG494" s="1257"/>
      <c r="AH494" s="1257"/>
      <c r="AI494" s="1257"/>
      <c r="AJ494" s="1257"/>
      <c r="AK494" s="1257"/>
      <c r="AL494" s="1257"/>
      <c r="AM494" s="1257"/>
      <c r="AN494" s="1257"/>
      <c r="AO494" s="1257"/>
      <c r="AP494" s="1257"/>
      <c r="AQ494" s="1257"/>
      <c r="AR494" s="1257"/>
      <c r="AS494" s="1257"/>
      <c r="AT494" s="1257"/>
      <c r="AU494" s="1257"/>
      <c r="AV494" s="1257"/>
      <c r="AW494" s="1257"/>
      <c r="AX494" s="1257"/>
      <c r="AY494" s="1257"/>
      <c r="AZ494" s="1257"/>
      <c r="BA494" s="1257"/>
      <c r="BB494" s="1257"/>
      <c r="BC494" s="1257"/>
      <c r="BD494" s="1257"/>
      <c r="BE494" s="1258"/>
    </row>
    <row r="495" spans="2:57" x14ac:dyDescent="0.25">
      <c r="B495" s="278"/>
      <c r="C495" s="279" t="s">
        <v>234</v>
      </c>
      <c r="D495" s="279"/>
      <c r="E495" s="279"/>
      <c r="F495" s="279"/>
      <c r="G495" s="1257"/>
      <c r="H495" s="1257">
        <f>IF($G477&gt;0, $G477*'II. Inputs, Baseline Energy Mix'!$P$74/10000,0)</f>
        <v>0</v>
      </c>
      <c r="I495" s="1257">
        <v>0</v>
      </c>
      <c r="J495" s="1257">
        <v>0</v>
      </c>
      <c r="K495" s="1257">
        <v>0</v>
      </c>
      <c r="L495" s="1257">
        <v>0</v>
      </c>
      <c r="M495" s="1257">
        <v>0</v>
      </c>
      <c r="N495" s="1257">
        <v>0</v>
      </c>
      <c r="O495" s="1257">
        <v>0</v>
      </c>
      <c r="P495" s="1257">
        <v>0</v>
      </c>
      <c r="Q495" s="1257">
        <v>0</v>
      </c>
      <c r="R495" s="1257">
        <v>0</v>
      </c>
      <c r="S495" s="1257">
        <v>0</v>
      </c>
      <c r="T495" s="1257">
        <v>0</v>
      </c>
      <c r="U495" s="1257">
        <v>0</v>
      </c>
      <c r="V495" s="1257">
        <v>0</v>
      </c>
      <c r="W495" s="1257">
        <v>0</v>
      </c>
      <c r="X495" s="1257">
        <v>0</v>
      </c>
      <c r="Y495" s="1257">
        <v>0</v>
      </c>
      <c r="Z495" s="1257">
        <v>0</v>
      </c>
      <c r="AA495" s="1257">
        <v>0</v>
      </c>
      <c r="AB495" s="1257">
        <v>0</v>
      </c>
      <c r="AC495" s="1257">
        <v>0</v>
      </c>
      <c r="AD495" s="1257">
        <v>0</v>
      </c>
      <c r="AE495" s="1257">
        <v>0</v>
      </c>
      <c r="AF495" s="1257">
        <v>0</v>
      </c>
      <c r="AG495" s="1257">
        <v>0</v>
      </c>
      <c r="AH495" s="1257">
        <v>0</v>
      </c>
      <c r="AI495" s="1257">
        <v>0</v>
      </c>
      <c r="AJ495" s="1257">
        <v>0</v>
      </c>
      <c r="AK495" s="1257">
        <v>0</v>
      </c>
      <c r="AL495" s="1257">
        <v>0</v>
      </c>
      <c r="AM495" s="1257">
        <v>0</v>
      </c>
      <c r="AN495" s="1257">
        <v>0</v>
      </c>
      <c r="AO495" s="1257">
        <v>0</v>
      </c>
      <c r="AP495" s="1257">
        <v>0</v>
      </c>
      <c r="AQ495" s="1257">
        <v>0</v>
      </c>
      <c r="AR495" s="1257">
        <v>0</v>
      </c>
      <c r="AS495" s="1257">
        <v>0</v>
      </c>
      <c r="AT495" s="1257">
        <v>0</v>
      </c>
      <c r="AU495" s="1257">
        <v>0</v>
      </c>
      <c r="AV495" s="1257">
        <v>0</v>
      </c>
      <c r="AW495" s="1257">
        <v>0</v>
      </c>
      <c r="AX495" s="1257">
        <v>0</v>
      </c>
      <c r="AY495" s="1257">
        <v>0</v>
      </c>
      <c r="AZ495" s="1257">
        <v>0</v>
      </c>
      <c r="BA495" s="1257">
        <v>0</v>
      </c>
      <c r="BB495" s="1257">
        <v>0</v>
      </c>
      <c r="BC495" s="1257">
        <v>0</v>
      </c>
      <c r="BD495" s="1257">
        <v>0</v>
      </c>
      <c r="BE495" s="1258">
        <v>0</v>
      </c>
    </row>
    <row r="496" spans="2:57" x14ac:dyDescent="0.25">
      <c r="B496" s="278"/>
      <c r="C496" s="279" t="str">
        <f>'II. Inputs, Baseline Energy Mix'!$E$77</f>
        <v>Front-end Fee, Public Guarantee</v>
      </c>
      <c r="D496" s="279"/>
      <c r="E496" s="279"/>
      <c r="F496" s="279"/>
      <c r="G496" s="1257"/>
      <c r="H496" s="1257">
        <f>IF($G477&gt;0, $G477*$G480*'II. Inputs, Baseline Energy Mix'!$P$77/10000,0)</f>
        <v>0</v>
      </c>
      <c r="I496" s="1257">
        <v>0</v>
      </c>
      <c r="J496" s="1257">
        <v>0</v>
      </c>
      <c r="K496" s="1257">
        <v>0</v>
      </c>
      <c r="L496" s="1257">
        <v>0</v>
      </c>
      <c r="M496" s="1257">
        <v>0</v>
      </c>
      <c r="N496" s="1257">
        <v>0</v>
      </c>
      <c r="O496" s="1257">
        <v>0</v>
      </c>
      <c r="P496" s="1257">
        <v>0</v>
      </c>
      <c r="Q496" s="1257">
        <v>0</v>
      </c>
      <c r="R496" s="1257">
        <v>0</v>
      </c>
      <c r="S496" s="1257">
        <v>0</v>
      </c>
      <c r="T496" s="1257">
        <v>0</v>
      </c>
      <c r="U496" s="1257">
        <v>0</v>
      </c>
      <c r="V496" s="1257">
        <v>0</v>
      </c>
      <c r="W496" s="1257">
        <v>0</v>
      </c>
      <c r="X496" s="1257">
        <v>0</v>
      </c>
      <c r="Y496" s="1257">
        <v>0</v>
      </c>
      <c r="Z496" s="1257">
        <v>0</v>
      </c>
      <c r="AA496" s="1257">
        <v>0</v>
      </c>
      <c r="AB496" s="1257">
        <v>0</v>
      </c>
      <c r="AC496" s="1257">
        <v>0</v>
      </c>
      <c r="AD496" s="1257">
        <v>0</v>
      </c>
      <c r="AE496" s="1257">
        <v>0</v>
      </c>
      <c r="AF496" s="1257">
        <v>0</v>
      </c>
      <c r="AG496" s="1257">
        <v>0</v>
      </c>
      <c r="AH496" s="1257">
        <v>0</v>
      </c>
      <c r="AI496" s="1257">
        <v>0</v>
      </c>
      <c r="AJ496" s="1257">
        <v>0</v>
      </c>
      <c r="AK496" s="1257">
        <v>0</v>
      </c>
      <c r="AL496" s="1257">
        <v>0</v>
      </c>
      <c r="AM496" s="1257">
        <v>0</v>
      </c>
      <c r="AN496" s="1257">
        <v>0</v>
      </c>
      <c r="AO496" s="1257">
        <v>0</v>
      </c>
      <c r="AP496" s="1257">
        <v>0</v>
      </c>
      <c r="AQ496" s="1257">
        <v>0</v>
      </c>
      <c r="AR496" s="1257">
        <v>0</v>
      </c>
      <c r="AS496" s="1257">
        <v>0</v>
      </c>
      <c r="AT496" s="1257">
        <v>0</v>
      </c>
      <c r="AU496" s="1257">
        <v>0</v>
      </c>
      <c r="AV496" s="1257">
        <v>0</v>
      </c>
      <c r="AW496" s="1257">
        <v>0</v>
      </c>
      <c r="AX496" s="1257">
        <v>0</v>
      </c>
      <c r="AY496" s="1257">
        <v>0</v>
      </c>
      <c r="AZ496" s="1257">
        <v>0</v>
      </c>
      <c r="BA496" s="1257">
        <v>0</v>
      </c>
      <c r="BB496" s="1257">
        <v>0</v>
      </c>
      <c r="BC496" s="1257">
        <v>0</v>
      </c>
      <c r="BD496" s="1257">
        <v>0</v>
      </c>
      <c r="BE496" s="1258">
        <v>0</v>
      </c>
    </row>
    <row r="497" spans="2:57" x14ac:dyDescent="0.25">
      <c r="B497" s="278"/>
      <c r="C497" s="279" t="str">
        <f>'II. Inputs, Baseline Energy Mix'!$E$78</f>
        <v xml:space="preserve">Annual Public Guarantee Fee </v>
      </c>
      <c r="D497" s="279"/>
      <c r="E497" s="279"/>
      <c r="F497" s="279"/>
      <c r="G497" s="1257"/>
      <c r="H497" s="1257">
        <f>IF(H$299&gt;$G481,0,((H489+H492)/2)*$G480*'II. Inputs, Baseline Energy Mix'!$P$78/10000)</f>
        <v>0</v>
      </c>
      <c r="I497" s="1257">
        <f>IF(I$299&gt;$G481,0,((I489+I492)/2)*$G480*'II. Inputs, Baseline Energy Mix'!$P$78/10000)</f>
        <v>0</v>
      </c>
      <c r="J497" s="1257">
        <f>IF(J$299&gt;$G481,0,((J489+J492)/2)*$G480*'II. Inputs, Baseline Energy Mix'!$P$78/10000)</f>
        <v>0</v>
      </c>
      <c r="K497" s="1257">
        <f>IF(K$299&gt;$G481,0,((K489+K492)/2)*$G480*'II. Inputs, Baseline Energy Mix'!$P$78/10000)</f>
        <v>0</v>
      </c>
      <c r="L497" s="1257">
        <f>IF(L$299&gt;$G481,0,((L489+L492)/2)*$G480*'II. Inputs, Baseline Energy Mix'!$P$78/10000)</f>
        <v>0</v>
      </c>
      <c r="M497" s="1257">
        <f>IF(M$299&gt;$G481,0,((M489+M492)/2)*$G480*'II. Inputs, Baseline Energy Mix'!$P$78/10000)</f>
        <v>0</v>
      </c>
      <c r="N497" s="1257">
        <f>IF(N$299&gt;$G481,0,((N489+N492)/2)*$G480*'II. Inputs, Baseline Energy Mix'!$P$78/10000)</f>
        <v>0</v>
      </c>
      <c r="O497" s="1257">
        <f>IF(O$299&gt;$G481,0,((O489+O492)/2)*$G480*'II. Inputs, Baseline Energy Mix'!$P$78/10000)</f>
        <v>0</v>
      </c>
      <c r="P497" s="1257">
        <f>IF(P$299&gt;$G481,0,((P489+P492)/2)*$G480*'II. Inputs, Baseline Energy Mix'!$P$78/10000)</f>
        <v>0</v>
      </c>
      <c r="Q497" s="1257">
        <f>IF(Q$299&gt;$G481,0,((Q489+Q492)/2)*$G480*'II. Inputs, Baseline Energy Mix'!$P$78/10000)</f>
        <v>0</v>
      </c>
      <c r="R497" s="1257">
        <f>IF(R$299&gt;$G481,0,((R489+R492)/2)*$G480*'II. Inputs, Baseline Energy Mix'!$P$78/10000)</f>
        <v>0</v>
      </c>
      <c r="S497" s="1257">
        <f>IF(S$299&gt;$G481,0,((S489+S492)/2)*$G480*'II. Inputs, Baseline Energy Mix'!$P$78/10000)</f>
        <v>0</v>
      </c>
      <c r="T497" s="1257">
        <f>IF(T$299&gt;$G481,0,((T489+T492)/2)*$G480*'II. Inputs, Baseline Energy Mix'!$P$78/10000)</f>
        <v>0</v>
      </c>
      <c r="U497" s="1257">
        <f>IF(U$299&gt;$G481,0,((U489+U492)/2)*$G480*'II. Inputs, Baseline Energy Mix'!$P$78/10000)</f>
        <v>0</v>
      </c>
      <c r="V497" s="1257">
        <f>IF(V$299&gt;$G481,0,((V489+V492)/2)*$G480*'II. Inputs, Baseline Energy Mix'!$P$78/10000)</f>
        <v>0</v>
      </c>
      <c r="W497" s="1257">
        <f>IF(W$299&gt;$G481,0,((W489+W492)/2)*$G480*'II. Inputs, Baseline Energy Mix'!$P$78/10000)</f>
        <v>0</v>
      </c>
      <c r="X497" s="1257">
        <f>IF(X$299&gt;$G481,0,((X489+X492)/2)*$G480*'II. Inputs, Baseline Energy Mix'!$P$78/10000)</f>
        <v>0</v>
      </c>
      <c r="Y497" s="1257">
        <f>IF(Y$299&gt;$G481,0,((Y489+Y492)/2)*$G480*'II. Inputs, Baseline Energy Mix'!$P$78/10000)</f>
        <v>0</v>
      </c>
      <c r="Z497" s="1257">
        <f>IF(Z$299&gt;$G481,0,((Z489+Z492)/2)*$G480*'II. Inputs, Baseline Energy Mix'!$P$78/10000)</f>
        <v>0</v>
      </c>
      <c r="AA497" s="1257">
        <f>IF(AA$299&gt;$G481,0,((AA489+AA492)/2)*$G480*'II. Inputs, Baseline Energy Mix'!$P$78/10000)</f>
        <v>0</v>
      </c>
      <c r="AB497" s="1257">
        <f>IF(AB$299&gt;$G481,0,((AB489+AB492)/2)*$G480*'II. Inputs, Baseline Energy Mix'!$P$78/10000)</f>
        <v>0</v>
      </c>
      <c r="AC497" s="1257">
        <f>IF(AC$299&gt;$G481,0,((AC489+AC492)/2)*$G480*'II. Inputs, Baseline Energy Mix'!$P$78/10000)</f>
        <v>0</v>
      </c>
      <c r="AD497" s="1257">
        <f>IF(AD$299&gt;$G481,0,((AD489+AD492)/2)*$G480*'II. Inputs, Baseline Energy Mix'!$P$78/10000)</f>
        <v>0</v>
      </c>
      <c r="AE497" s="1257">
        <f>IF(AE$299&gt;$G481,0,((AE489+AE492)/2)*$G480*'II. Inputs, Baseline Energy Mix'!$P$78/10000)</f>
        <v>0</v>
      </c>
      <c r="AF497" s="1257">
        <f>IF(AF$299&gt;$G481,0,((AF489+AF492)/2)*$G480*'II. Inputs, Baseline Energy Mix'!$P$78/10000)</f>
        <v>0</v>
      </c>
      <c r="AG497" s="1257">
        <f>IF(AG$299&gt;$G481,0,((AG489+AG492)/2)*$G480*'II. Inputs, Baseline Energy Mix'!$P$78/10000)</f>
        <v>0</v>
      </c>
      <c r="AH497" s="1257">
        <f>IF(AH$299&gt;$G481,0,((AH489+AH492)/2)*$G480*'II. Inputs, Baseline Energy Mix'!$P$78/10000)</f>
        <v>0</v>
      </c>
      <c r="AI497" s="1257">
        <f>IF(AI$299&gt;$G481,0,((AI489+AI492)/2)*$G480*'II. Inputs, Baseline Energy Mix'!$P$78/10000)</f>
        <v>0</v>
      </c>
      <c r="AJ497" s="1257">
        <f>IF(AJ$299&gt;$G481,0,((AJ489+AJ492)/2)*$G480*'II. Inputs, Baseline Energy Mix'!$P$78/10000)</f>
        <v>0</v>
      </c>
      <c r="AK497" s="1257">
        <f>IF(AK$299&gt;$G481,0,((AK489+AK492)/2)*$G480*'II. Inputs, Baseline Energy Mix'!$P$78/10000)</f>
        <v>0</v>
      </c>
      <c r="AL497" s="1257">
        <f>IF(AL$299&gt;$G481,0,((AL489+AL492)/2)*$G480*'II. Inputs, Baseline Energy Mix'!$P$78/10000)</f>
        <v>0</v>
      </c>
      <c r="AM497" s="1257">
        <f>IF(AM$299&gt;$G481,0,((AM489+AM492)/2)*$G480*'II. Inputs, Baseline Energy Mix'!$P$78/10000)</f>
        <v>0</v>
      </c>
      <c r="AN497" s="1257">
        <f>IF(AN$299&gt;$G481,0,((AN489+AN492)/2)*$G480*'II. Inputs, Baseline Energy Mix'!$P$78/10000)</f>
        <v>0</v>
      </c>
      <c r="AO497" s="1257">
        <f>IF(AO$299&gt;$G481,0,((AO489+AO492)/2)*$G480*'II. Inputs, Baseline Energy Mix'!$P$78/10000)</f>
        <v>0</v>
      </c>
      <c r="AP497" s="1257">
        <f>IF(AP$299&gt;$G481,0,((AP489+AP492)/2)*$G480*'II. Inputs, Baseline Energy Mix'!$P$78/10000)</f>
        <v>0</v>
      </c>
      <c r="AQ497" s="1257">
        <f>IF(AQ$299&gt;$G481,0,((AQ489+AQ492)/2)*$G480*'II. Inputs, Baseline Energy Mix'!$P$78/10000)</f>
        <v>0</v>
      </c>
      <c r="AR497" s="1257">
        <f>IF(AR$299&gt;$G481,0,((AR489+AR492)/2)*$G480*'II. Inputs, Baseline Energy Mix'!$P$78/10000)</f>
        <v>0</v>
      </c>
      <c r="AS497" s="1257">
        <f>IF(AS$299&gt;$G481,0,((AS489+AS492)/2)*$G480*'II. Inputs, Baseline Energy Mix'!$P$78/10000)</f>
        <v>0</v>
      </c>
      <c r="AT497" s="1257">
        <f>IF(AT$299&gt;$G481,0,((AT489+AT492)/2)*$G480*'II. Inputs, Baseline Energy Mix'!$P$78/10000)</f>
        <v>0</v>
      </c>
      <c r="AU497" s="1257">
        <f>IF(AU$299&gt;$G481,0,((AU489+AU492)/2)*$G480*'II. Inputs, Baseline Energy Mix'!$P$78/10000)</f>
        <v>0</v>
      </c>
      <c r="AV497" s="1257">
        <f>IF(AV$299&gt;$G481,0,((AV489+AV492)/2)*$G480*'II. Inputs, Baseline Energy Mix'!$P$78/10000)</f>
        <v>0</v>
      </c>
      <c r="AW497" s="1257">
        <f>IF(AW$299&gt;$G481,0,((AW489+AW492)/2)*$G480*'II. Inputs, Baseline Energy Mix'!$P$78/10000)</f>
        <v>0</v>
      </c>
      <c r="AX497" s="1257">
        <f>IF(AX$299&gt;$G481,0,((AX489+AX492)/2)*$G480*'II. Inputs, Baseline Energy Mix'!$P$78/10000)</f>
        <v>0</v>
      </c>
      <c r="AY497" s="1257">
        <f>IF(AY$299&gt;$G481,0,((AY489+AY492)/2)*$G480*'II. Inputs, Baseline Energy Mix'!$P$78/10000)</f>
        <v>0</v>
      </c>
      <c r="AZ497" s="1257">
        <f>IF(AZ$299&gt;$G481,0,((AZ489+AZ492)/2)*$G480*'II. Inputs, Baseline Energy Mix'!$P$78/10000)</f>
        <v>0</v>
      </c>
      <c r="BA497" s="1257">
        <f>IF(BA$299&gt;$G481,0,((BA489+BA492)/2)*$G480*'II. Inputs, Baseline Energy Mix'!$P$78/10000)</f>
        <v>0</v>
      </c>
      <c r="BB497" s="1257">
        <f>IF(BB$299&gt;$G481,0,((BB489+BB492)/2)*$G480*'II. Inputs, Baseline Energy Mix'!$P$78/10000)</f>
        <v>0</v>
      </c>
      <c r="BC497" s="1257">
        <f>IF(BC$299&gt;$G481,0,((BC489+BC492)/2)*$G480*'II. Inputs, Baseline Energy Mix'!$P$78/10000)</f>
        <v>0</v>
      </c>
      <c r="BD497" s="1257">
        <f>IF(BD$299&gt;$G481,0,((BD489+BD492)/2)*$G480*'II. Inputs, Baseline Energy Mix'!$P$78/10000)</f>
        <v>0</v>
      </c>
      <c r="BE497" s="1258">
        <f>IF(BE$299&gt;$G481,0,((BE489+BE492)/2)*$G480*'II. Inputs, Baseline Energy Mix'!$P$78/10000)</f>
        <v>0</v>
      </c>
    </row>
    <row r="498" spans="2:57" x14ac:dyDescent="0.25">
      <c r="B498" s="278"/>
      <c r="C498" s="279"/>
      <c r="D498" s="279"/>
      <c r="E498" s="279"/>
      <c r="F498" s="279"/>
      <c r="G498" s="279"/>
      <c r="H498" s="279"/>
      <c r="I498" s="279"/>
      <c r="J498" s="279"/>
      <c r="K498" s="279"/>
      <c r="L498" s="279"/>
      <c r="M498" s="279"/>
      <c r="N498" s="279"/>
      <c r="O498" s="279"/>
      <c r="P498" s="279"/>
      <c r="Q498" s="279"/>
      <c r="R498" s="279"/>
      <c r="S498" s="279"/>
      <c r="T498" s="279"/>
      <c r="U498" s="279"/>
      <c r="V498" s="279"/>
      <c r="W498" s="279"/>
      <c r="X498" s="279"/>
      <c r="Y498" s="279"/>
      <c r="Z498" s="279"/>
      <c r="AA498" s="279"/>
      <c r="AB498" s="279"/>
      <c r="AC498" s="279"/>
      <c r="AD498" s="279"/>
      <c r="AE498" s="279"/>
      <c r="AF498" s="279"/>
      <c r="AG498" s="279"/>
      <c r="AH498" s="279"/>
      <c r="AI498" s="279"/>
      <c r="AJ498" s="279"/>
      <c r="AK498" s="279"/>
      <c r="AL498" s="279"/>
      <c r="AM498" s="279"/>
      <c r="AN498" s="279"/>
      <c r="AO498" s="279"/>
      <c r="AP498" s="279"/>
      <c r="AQ498" s="279"/>
      <c r="AR498" s="279"/>
      <c r="AS498" s="279"/>
      <c r="AT498" s="279"/>
      <c r="AU498" s="279"/>
      <c r="AV498" s="279"/>
      <c r="AW498" s="279"/>
      <c r="AX498" s="279"/>
      <c r="AY498" s="279"/>
      <c r="AZ498" s="279"/>
      <c r="BA498" s="279"/>
      <c r="BB498" s="279"/>
      <c r="BC498" s="279"/>
      <c r="BD498" s="279"/>
      <c r="BE498" s="280"/>
    </row>
    <row r="499" spans="2:57" x14ac:dyDescent="0.25">
      <c r="B499" s="290" t="s">
        <v>181</v>
      </c>
      <c r="C499" s="279"/>
      <c r="D499" s="279"/>
      <c r="E499" s="279"/>
      <c r="F499" s="279"/>
      <c r="G499" s="279"/>
      <c r="H499" s="279"/>
      <c r="I499" s="279"/>
      <c r="J499" s="279"/>
      <c r="K499" s="279"/>
      <c r="L499" s="279"/>
      <c r="M499" s="279"/>
      <c r="N499" s="279"/>
      <c r="O499" s="279"/>
      <c r="P499" s="279"/>
      <c r="Q499" s="279"/>
      <c r="R499" s="279"/>
      <c r="S499" s="279"/>
      <c r="T499" s="279"/>
      <c r="U499" s="279"/>
      <c r="V499" s="279"/>
      <c r="W499" s="279"/>
      <c r="X499" s="279"/>
      <c r="Y499" s="279"/>
      <c r="Z499" s="279"/>
      <c r="AA499" s="279"/>
      <c r="AB499" s="279"/>
      <c r="AC499" s="279"/>
      <c r="AD499" s="279"/>
      <c r="AE499" s="279"/>
      <c r="AF499" s="279"/>
      <c r="AG499" s="279"/>
      <c r="AH499" s="279"/>
      <c r="AI499" s="279"/>
      <c r="AJ499" s="279"/>
      <c r="AK499" s="279"/>
      <c r="AL499" s="279"/>
      <c r="AM499" s="279"/>
      <c r="AN499" s="279"/>
      <c r="AO499" s="279"/>
      <c r="AP499" s="279"/>
      <c r="AQ499" s="279"/>
      <c r="AR499" s="279"/>
      <c r="AS499" s="279"/>
      <c r="AT499" s="279"/>
      <c r="AU499" s="279"/>
      <c r="AV499" s="279"/>
      <c r="AW499" s="279"/>
      <c r="AX499" s="279"/>
      <c r="AY499" s="279"/>
      <c r="AZ499" s="279"/>
      <c r="BA499" s="279"/>
      <c r="BB499" s="279"/>
      <c r="BC499" s="279"/>
      <c r="BD499" s="279"/>
      <c r="BE499" s="280"/>
    </row>
    <row r="500" spans="2:57" x14ac:dyDescent="0.25">
      <c r="B500" s="278"/>
      <c r="C500" s="394" t="s">
        <v>68</v>
      </c>
      <c r="D500" s="279"/>
      <c r="E500" s="279"/>
      <c r="F500" s="279"/>
      <c r="G500" s="1257">
        <f>IF('II. Inputs, Baseline Energy Mix'!$P$15&gt;0,('II. Inputs, Baseline Energy Mix'!$P$16*'II. Inputs, Baseline Energy Mix'!$P$17*'II. Inputs, Baseline Energy Mix'!$P$30*'II. Inputs, Baseline Energy Mix'!$P$34),0)</f>
        <v>0</v>
      </c>
      <c r="H500" s="279"/>
      <c r="I500" s="279"/>
      <c r="J500" s="279"/>
      <c r="K500" s="279"/>
      <c r="L500" s="279"/>
      <c r="M500" s="279"/>
      <c r="N500" s="279"/>
      <c r="O500" s="279"/>
      <c r="P500" s="279"/>
      <c r="Q500" s="279"/>
      <c r="R500" s="279"/>
      <c r="S500" s="279"/>
      <c r="T500" s="279"/>
      <c r="U500" s="279"/>
      <c r="V500" s="279"/>
      <c r="W500" s="279"/>
      <c r="X500" s="279"/>
      <c r="Y500" s="279"/>
      <c r="Z500" s="279"/>
      <c r="AA500" s="279"/>
      <c r="AB500" s="279"/>
      <c r="AC500" s="279"/>
      <c r="AD500" s="279"/>
      <c r="AE500" s="279"/>
      <c r="AF500" s="279"/>
      <c r="AG500" s="279"/>
      <c r="AH500" s="279"/>
      <c r="AI500" s="279"/>
      <c r="AJ500" s="279"/>
      <c r="AK500" s="279"/>
      <c r="AL500" s="279"/>
      <c r="AM500" s="279"/>
      <c r="AN500" s="279"/>
      <c r="AO500" s="279"/>
      <c r="AP500" s="279"/>
      <c r="AQ500" s="279"/>
      <c r="AR500" s="279"/>
      <c r="AS500" s="279"/>
      <c r="AT500" s="279"/>
      <c r="AU500" s="279"/>
      <c r="AV500" s="279"/>
      <c r="AW500" s="279"/>
      <c r="AX500" s="279"/>
      <c r="AY500" s="279"/>
      <c r="AZ500" s="279"/>
      <c r="BA500" s="279"/>
      <c r="BB500" s="279"/>
      <c r="BC500" s="279"/>
      <c r="BD500" s="279"/>
      <c r="BE500" s="280"/>
    </row>
    <row r="501" spans="2:57" x14ac:dyDescent="0.25">
      <c r="B501" s="278"/>
      <c r="C501" s="394" t="s">
        <v>69</v>
      </c>
      <c r="D501" s="279"/>
      <c r="E501" s="279"/>
      <c r="F501" s="279"/>
      <c r="G501" s="281">
        <f>SUM('II. Inputs, Baseline Energy Mix'!$P$46)</f>
        <v>0</v>
      </c>
      <c r="H501" s="279"/>
      <c r="I501" s="279"/>
      <c r="J501" s="279"/>
      <c r="K501" s="279"/>
      <c r="L501" s="279"/>
      <c r="M501" s="279"/>
      <c r="N501" s="279"/>
      <c r="O501" s="279"/>
      <c r="P501" s="279"/>
      <c r="Q501" s="279"/>
      <c r="R501" s="279"/>
      <c r="S501" s="279"/>
      <c r="T501" s="279"/>
      <c r="U501" s="279"/>
      <c r="V501" s="279"/>
      <c r="W501" s="279"/>
      <c r="X501" s="279"/>
      <c r="Y501" s="279"/>
      <c r="Z501" s="279"/>
      <c r="AA501" s="279"/>
      <c r="AB501" s="279"/>
      <c r="AC501" s="279"/>
      <c r="AD501" s="279"/>
      <c r="AE501" s="279"/>
      <c r="AF501" s="279"/>
      <c r="AG501" s="279"/>
      <c r="AH501" s="279"/>
      <c r="AI501" s="279"/>
      <c r="AJ501" s="279"/>
      <c r="AK501" s="279"/>
      <c r="AL501" s="279"/>
      <c r="AM501" s="279"/>
      <c r="AN501" s="279"/>
      <c r="AO501" s="279"/>
      <c r="AP501" s="279"/>
      <c r="AQ501" s="279"/>
      <c r="AR501" s="279"/>
      <c r="AS501" s="279"/>
      <c r="AT501" s="279"/>
      <c r="AU501" s="279"/>
      <c r="AV501" s="279"/>
      <c r="AW501" s="279"/>
      <c r="AX501" s="279"/>
      <c r="AY501" s="279"/>
      <c r="AZ501" s="279"/>
      <c r="BA501" s="279"/>
      <c r="BB501" s="279"/>
      <c r="BC501" s="279"/>
      <c r="BD501" s="279"/>
      <c r="BE501" s="280"/>
    </row>
    <row r="502" spans="2:57" x14ac:dyDescent="0.25">
      <c r="B502" s="278"/>
      <c r="C502" s="394" t="s">
        <v>70</v>
      </c>
      <c r="D502" s="279"/>
      <c r="E502" s="279"/>
      <c r="F502" s="279"/>
      <c r="G502" s="399">
        <f>SUM('II. Inputs, Baseline Energy Mix'!$P$41)</f>
        <v>0</v>
      </c>
      <c r="H502" s="279"/>
      <c r="I502" s="279"/>
      <c r="J502" s="279"/>
      <c r="K502" s="279"/>
      <c r="L502" s="279"/>
      <c r="M502" s="279"/>
      <c r="N502" s="279"/>
      <c r="O502" s="279"/>
      <c r="P502" s="279"/>
      <c r="Q502" s="279"/>
      <c r="R502" s="279"/>
      <c r="S502" s="279"/>
      <c r="T502" s="279"/>
      <c r="U502" s="279"/>
      <c r="V502" s="279"/>
      <c r="W502" s="279"/>
      <c r="X502" s="279"/>
      <c r="Y502" s="279"/>
      <c r="Z502" s="279"/>
      <c r="AA502" s="279"/>
      <c r="AB502" s="279"/>
      <c r="AC502" s="279"/>
      <c r="AD502" s="279"/>
      <c r="AE502" s="279"/>
      <c r="AF502" s="279"/>
      <c r="AG502" s="279"/>
      <c r="AH502" s="279"/>
      <c r="AI502" s="279"/>
      <c r="AJ502" s="279"/>
      <c r="AK502" s="279"/>
      <c r="AL502" s="279"/>
      <c r="AM502" s="279"/>
      <c r="AN502" s="279"/>
      <c r="AO502" s="279"/>
      <c r="AP502" s="279"/>
      <c r="AQ502" s="279"/>
      <c r="AR502" s="279"/>
      <c r="AS502" s="279"/>
      <c r="AT502" s="279"/>
      <c r="AU502" s="279"/>
      <c r="AV502" s="279"/>
      <c r="AW502" s="279"/>
      <c r="AX502" s="279"/>
      <c r="AY502" s="279"/>
      <c r="AZ502" s="279"/>
      <c r="BA502" s="279"/>
      <c r="BB502" s="279"/>
      <c r="BC502" s="279"/>
      <c r="BD502" s="279"/>
      <c r="BE502" s="280"/>
    </row>
    <row r="503" spans="2:57" x14ac:dyDescent="0.25">
      <c r="B503" s="278"/>
      <c r="C503" s="279"/>
      <c r="D503" s="279"/>
      <c r="E503" s="279"/>
      <c r="F503" s="279"/>
      <c r="G503" s="279"/>
      <c r="H503" s="279"/>
      <c r="I503" s="279"/>
      <c r="J503" s="279"/>
      <c r="K503" s="279"/>
      <c r="L503" s="279"/>
      <c r="M503" s="279"/>
      <c r="N503" s="279"/>
      <c r="O503" s="279"/>
      <c r="P503" s="279"/>
      <c r="Q503" s="279"/>
      <c r="R503" s="279"/>
      <c r="S503" s="279"/>
      <c r="T503" s="279"/>
      <c r="U503" s="279"/>
      <c r="V503" s="279"/>
      <c r="W503" s="279"/>
      <c r="X503" s="279"/>
      <c r="Y503" s="279"/>
      <c r="Z503" s="279"/>
      <c r="AA503" s="279"/>
      <c r="AB503" s="279"/>
      <c r="AC503" s="279"/>
      <c r="AD503" s="279"/>
      <c r="AE503" s="279"/>
      <c r="AF503" s="279"/>
      <c r="AG503" s="279"/>
      <c r="AH503" s="279"/>
      <c r="AI503" s="279"/>
      <c r="AJ503" s="279"/>
      <c r="AK503" s="279"/>
      <c r="AL503" s="279"/>
      <c r="AM503" s="279"/>
      <c r="AN503" s="279"/>
      <c r="AO503" s="279"/>
      <c r="AP503" s="279"/>
      <c r="AQ503" s="279"/>
      <c r="AR503" s="279"/>
      <c r="AS503" s="279"/>
      <c r="AT503" s="279"/>
      <c r="AU503" s="279"/>
      <c r="AV503" s="279"/>
      <c r="AW503" s="279"/>
      <c r="AX503" s="279"/>
      <c r="AY503" s="279"/>
      <c r="AZ503" s="279"/>
      <c r="BA503" s="279"/>
      <c r="BB503" s="279"/>
      <c r="BC503" s="279"/>
      <c r="BD503" s="279"/>
      <c r="BE503" s="280"/>
    </row>
    <row r="504" spans="2:57" x14ac:dyDescent="0.25">
      <c r="B504" s="278"/>
      <c r="C504" s="396" t="s">
        <v>67</v>
      </c>
      <c r="D504" s="279"/>
      <c r="E504" s="279"/>
      <c r="F504" s="279"/>
      <c r="G504" s="279"/>
      <c r="H504" s="279"/>
      <c r="I504" s="279"/>
      <c r="J504" s="279"/>
      <c r="K504" s="279"/>
      <c r="L504" s="279"/>
      <c r="M504" s="279"/>
      <c r="N504" s="279"/>
      <c r="O504" s="279"/>
      <c r="P504" s="279"/>
      <c r="Q504" s="279"/>
      <c r="R504" s="279"/>
      <c r="S504" s="279"/>
      <c r="T504" s="279"/>
      <c r="U504" s="279"/>
      <c r="V504" s="279"/>
      <c r="W504" s="279"/>
      <c r="X504" s="279"/>
      <c r="Y504" s="279"/>
      <c r="Z504" s="279"/>
      <c r="AA504" s="279"/>
      <c r="AB504" s="279"/>
      <c r="AC504" s="279"/>
      <c r="AD504" s="279"/>
      <c r="AE504" s="279"/>
      <c r="AF504" s="279"/>
      <c r="AG504" s="279"/>
      <c r="AH504" s="279"/>
      <c r="AI504" s="279"/>
      <c r="AJ504" s="279"/>
      <c r="AK504" s="279"/>
      <c r="AL504" s="279"/>
      <c r="AM504" s="279"/>
      <c r="AN504" s="279"/>
      <c r="AO504" s="279"/>
      <c r="AP504" s="279"/>
      <c r="AQ504" s="279"/>
      <c r="AR504" s="279"/>
      <c r="AS504" s="279"/>
      <c r="AT504" s="279"/>
      <c r="AU504" s="279"/>
      <c r="AV504" s="279"/>
      <c r="AW504" s="279"/>
      <c r="AX504" s="279"/>
      <c r="AY504" s="279"/>
      <c r="AZ504" s="279"/>
      <c r="BA504" s="279"/>
      <c r="BB504" s="279"/>
      <c r="BC504" s="279"/>
      <c r="BD504" s="279"/>
      <c r="BE504" s="280"/>
    </row>
    <row r="505" spans="2:57" x14ac:dyDescent="0.25">
      <c r="B505" s="278"/>
      <c r="C505" s="279" t="s">
        <v>73</v>
      </c>
      <c r="D505" s="279"/>
      <c r="E505" s="279"/>
      <c r="F505" s="279"/>
      <c r="G505" s="1257"/>
      <c r="H505" s="1257">
        <f>IF(H$299&gt;$G501,0,IPMT($G502,H$299,$G501,-$G500))</f>
        <v>0</v>
      </c>
      <c r="I505" s="1257">
        <f t="shared" ref="I505:BE505" si="171">IF(I$299&gt;$G501,0,IPMT($G502,I$299,$G501,-$G500))</f>
        <v>0</v>
      </c>
      <c r="J505" s="1257">
        <f t="shared" si="171"/>
        <v>0</v>
      </c>
      <c r="K505" s="1257">
        <f t="shared" si="171"/>
        <v>0</v>
      </c>
      <c r="L505" s="1257">
        <f t="shared" si="171"/>
        <v>0</v>
      </c>
      <c r="M505" s="1257">
        <f t="shared" si="171"/>
        <v>0</v>
      </c>
      <c r="N505" s="1257">
        <f t="shared" si="171"/>
        <v>0</v>
      </c>
      <c r="O505" s="1257">
        <f t="shared" si="171"/>
        <v>0</v>
      </c>
      <c r="P505" s="1257">
        <f t="shared" si="171"/>
        <v>0</v>
      </c>
      <c r="Q505" s="1257">
        <f t="shared" si="171"/>
        <v>0</v>
      </c>
      <c r="R505" s="1257">
        <f t="shared" si="171"/>
        <v>0</v>
      </c>
      <c r="S505" s="1257">
        <f t="shared" si="171"/>
        <v>0</v>
      </c>
      <c r="T505" s="1257">
        <f t="shared" si="171"/>
        <v>0</v>
      </c>
      <c r="U505" s="1257">
        <f t="shared" si="171"/>
        <v>0</v>
      </c>
      <c r="V505" s="1257">
        <f t="shared" si="171"/>
        <v>0</v>
      </c>
      <c r="W505" s="1257">
        <f t="shared" si="171"/>
        <v>0</v>
      </c>
      <c r="X505" s="1257">
        <f t="shared" si="171"/>
        <v>0</v>
      </c>
      <c r="Y505" s="1257">
        <f t="shared" si="171"/>
        <v>0</v>
      </c>
      <c r="Z505" s="1257">
        <f t="shared" si="171"/>
        <v>0</v>
      </c>
      <c r="AA505" s="1257">
        <f t="shared" si="171"/>
        <v>0</v>
      </c>
      <c r="AB505" s="1257">
        <f t="shared" si="171"/>
        <v>0</v>
      </c>
      <c r="AC505" s="1257">
        <f t="shared" si="171"/>
        <v>0</v>
      </c>
      <c r="AD505" s="1257">
        <f t="shared" si="171"/>
        <v>0</v>
      </c>
      <c r="AE505" s="1257">
        <f t="shared" si="171"/>
        <v>0</v>
      </c>
      <c r="AF505" s="1257">
        <f t="shared" si="171"/>
        <v>0</v>
      </c>
      <c r="AG505" s="1257">
        <f t="shared" si="171"/>
        <v>0</v>
      </c>
      <c r="AH505" s="1257">
        <f t="shared" si="171"/>
        <v>0</v>
      </c>
      <c r="AI505" s="1257">
        <f t="shared" si="171"/>
        <v>0</v>
      </c>
      <c r="AJ505" s="1257">
        <f t="shared" si="171"/>
        <v>0</v>
      </c>
      <c r="AK505" s="1257">
        <f t="shared" si="171"/>
        <v>0</v>
      </c>
      <c r="AL505" s="1257">
        <f t="shared" si="171"/>
        <v>0</v>
      </c>
      <c r="AM505" s="1257">
        <f t="shared" si="171"/>
        <v>0</v>
      </c>
      <c r="AN505" s="1257">
        <f t="shared" si="171"/>
        <v>0</v>
      </c>
      <c r="AO505" s="1257">
        <f t="shared" si="171"/>
        <v>0</v>
      </c>
      <c r="AP505" s="1257">
        <f t="shared" si="171"/>
        <v>0</v>
      </c>
      <c r="AQ505" s="1257">
        <f t="shared" si="171"/>
        <v>0</v>
      </c>
      <c r="AR505" s="1257">
        <f t="shared" si="171"/>
        <v>0</v>
      </c>
      <c r="AS505" s="1257">
        <f t="shared" si="171"/>
        <v>0</v>
      </c>
      <c r="AT505" s="1257">
        <f t="shared" si="171"/>
        <v>0</v>
      </c>
      <c r="AU505" s="1257">
        <f t="shared" si="171"/>
        <v>0</v>
      </c>
      <c r="AV505" s="1257">
        <f t="shared" si="171"/>
        <v>0</v>
      </c>
      <c r="AW505" s="1257">
        <f t="shared" si="171"/>
        <v>0</v>
      </c>
      <c r="AX505" s="1257">
        <f t="shared" si="171"/>
        <v>0</v>
      </c>
      <c r="AY505" s="1257">
        <f t="shared" si="171"/>
        <v>0</v>
      </c>
      <c r="AZ505" s="1257">
        <f t="shared" si="171"/>
        <v>0</v>
      </c>
      <c r="BA505" s="1257">
        <f t="shared" si="171"/>
        <v>0</v>
      </c>
      <c r="BB505" s="1257">
        <f t="shared" si="171"/>
        <v>0</v>
      </c>
      <c r="BC505" s="1257">
        <f t="shared" si="171"/>
        <v>0</v>
      </c>
      <c r="BD505" s="1257">
        <f t="shared" si="171"/>
        <v>0</v>
      </c>
      <c r="BE505" s="1258">
        <f t="shared" si="171"/>
        <v>0</v>
      </c>
    </row>
    <row r="506" spans="2:57" x14ac:dyDescent="0.25">
      <c r="B506" s="278"/>
      <c r="C506" s="286" t="s">
        <v>72</v>
      </c>
      <c r="D506" s="286"/>
      <c r="E506" s="286"/>
      <c r="F506" s="286"/>
      <c r="G506" s="1259"/>
      <c r="H506" s="1259">
        <f>IF(H$299&gt;$G501,0,PPMT($G502,H$299,$G501,-$G500))</f>
        <v>0</v>
      </c>
      <c r="I506" s="1259">
        <f t="shared" ref="I506:BE506" si="172">IF(I$299&gt;$G501,0,PPMT($G502,I$299,$G501,-$G500))</f>
        <v>0</v>
      </c>
      <c r="J506" s="1259">
        <f t="shared" si="172"/>
        <v>0</v>
      </c>
      <c r="K506" s="1259">
        <f t="shared" si="172"/>
        <v>0</v>
      </c>
      <c r="L506" s="1259">
        <f t="shared" si="172"/>
        <v>0</v>
      </c>
      <c r="M506" s="1259">
        <f t="shared" si="172"/>
        <v>0</v>
      </c>
      <c r="N506" s="1259">
        <f t="shared" si="172"/>
        <v>0</v>
      </c>
      <c r="O506" s="1259">
        <f t="shared" si="172"/>
        <v>0</v>
      </c>
      <c r="P506" s="1259">
        <f t="shared" si="172"/>
        <v>0</v>
      </c>
      <c r="Q506" s="1259">
        <f t="shared" si="172"/>
        <v>0</v>
      </c>
      <c r="R506" s="1259">
        <f t="shared" si="172"/>
        <v>0</v>
      </c>
      <c r="S506" s="1259">
        <f t="shared" si="172"/>
        <v>0</v>
      </c>
      <c r="T506" s="1259">
        <f t="shared" si="172"/>
        <v>0</v>
      </c>
      <c r="U506" s="1259">
        <f t="shared" si="172"/>
        <v>0</v>
      </c>
      <c r="V506" s="1259">
        <f t="shared" si="172"/>
        <v>0</v>
      </c>
      <c r="W506" s="1259">
        <f t="shared" si="172"/>
        <v>0</v>
      </c>
      <c r="X506" s="1259">
        <f t="shared" si="172"/>
        <v>0</v>
      </c>
      <c r="Y506" s="1259">
        <f t="shared" si="172"/>
        <v>0</v>
      </c>
      <c r="Z506" s="1259">
        <f t="shared" si="172"/>
        <v>0</v>
      </c>
      <c r="AA506" s="1259">
        <f t="shared" si="172"/>
        <v>0</v>
      </c>
      <c r="AB506" s="1259">
        <f t="shared" si="172"/>
        <v>0</v>
      </c>
      <c r="AC506" s="1259">
        <f t="shared" si="172"/>
        <v>0</v>
      </c>
      <c r="AD506" s="1259">
        <f t="shared" si="172"/>
        <v>0</v>
      </c>
      <c r="AE506" s="1259">
        <f t="shared" si="172"/>
        <v>0</v>
      </c>
      <c r="AF506" s="1259">
        <f t="shared" si="172"/>
        <v>0</v>
      </c>
      <c r="AG506" s="1259">
        <f t="shared" si="172"/>
        <v>0</v>
      </c>
      <c r="AH506" s="1259">
        <f t="shared" si="172"/>
        <v>0</v>
      </c>
      <c r="AI506" s="1259">
        <f t="shared" si="172"/>
        <v>0</v>
      </c>
      <c r="AJ506" s="1259">
        <f t="shared" si="172"/>
        <v>0</v>
      </c>
      <c r="AK506" s="1259">
        <f t="shared" si="172"/>
        <v>0</v>
      </c>
      <c r="AL506" s="1259">
        <f t="shared" si="172"/>
        <v>0</v>
      </c>
      <c r="AM506" s="1259">
        <f t="shared" si="172"/>
        <v>0</v>
      </c>
      <c r="AN506" s="1259">
        <f t="shared" si="172"/>
        <v>0</v>
      </c>
      <c r="AO506" s="1259">
        <f t="shared" si="172"/>
        <v>0</v>
      </c>
      <c r="AP506" s="1259">
        <f t="shared" si="172"/>
        <v>0</v>
      </c>
      <c r="AQ506" s="1259">
        <f t="shared" si="172"/>
        <v>0</v>
      </c>
      <c r="AR506" s="1259">
        <f t="shared" si="172"/>
        <v>0</v>
      </c>
      <c r="AS506" s="1259">
        <f t="shared" si="172"/>
        <v>0</v>
      </c>
      <c r="AT506" s="1259">
        <f t="shared" si="172"/>
        <v>0</v>
      </c>
      <c r="AU506" s="1259">
        <f t="shared" si="172"/>
        <v>0</v>
      </c>
      <c r="AV506" s="1259">
        <f t="shared" si="172"/>
        <v>0</v>
      </c>
      <c r="AW506" s="1259">
        <f t="shared" si="172"/>
        <v>0</v>
      </c>
      <c r="AX506" s="1259">
        <f t="shared" si="172"/>
        <v>0</v>
      </c>
      <c r="AY506" s="1259">
        <f t="shared" si="172"/>
        <v>0</v>
      </c>
      <c r="AZ506" s="1259">
        <f t="shared" si="172"/>
        <v>0</v>
      </c>
      <c r="BA506" s="1259">
        <f t="shared" si="172"/>
        <v>0</v>
      </c>
      <c r="BB506" s="1259">
        <f t="shared" si="172"/>
        <v>0</v>
      </c>
      <c r="BC506" s="1259">
        <f t="shared" si="172"/>
        <v>0</v>
      </c>
      <c r="BD506" s="1259">
        <f t="shared" si="172"/>
        <v>0</v>
      </c>
      <c r="BE506" s="1260">
        <f t="shared" si="172"/>
        <v>0</v>
      </c>
    </row>
    <row r="507" spans="2:57" x14ac:dyDescent="0.25">
      <c r="B507" s="278"/>
      <c r="C507" s="279" t="s">
        <v>74</v>
      </c>
      <c r="D507" s="279"/>
      <c r="E507" s="279"/>
      <c r="F507" s="279"/>
      <c r="G507" s="1257"/>
      <c r="H507" s="1257">
        <f>SUM(H505:H506)</f>
        <v>0</v>
      </c>
      <c r="I507" s="1257">
        <f t="shared" ref="I507:BE507" si="173">SUM(I505:I506)</f>
        <v>0</v>
      </c>
      <c r="J507" s="1257">
        <f t="shared" si="173"/>
        <v>0</v>
      </c>
      <c r="K507" s="1257">
        <f t="shared" si="173"/>
        <v>0</v>
      </c>
      <c r="L507" s="1257">
        <f t="shared" si="173"/>
        <v>0</v>
      </c>
      <c r="M507" s="1257">
        <f t="shared" si="173"/>
        <v>0</v>
      </c>
      <c r="N507" s="1257">
        <f t="shared" si="173"/>
        <v>0</v>
      </c>
      <c r="O507" s="1257">
        <f t="shared" si="173"/>
        <v>0</v>
      </c>
      <c r="P507" s="1257">
        <f t="shared" si="173"/>
        <v>0</v>
      </c>
      <c r="Q507" s="1257">
        <f t="shared" si="173"/>
        <v>0</v>
      </c>
      <c r="R507" s="1257">
        <f t="shared" si="173"/>
        <v>0</v>
      </c>
      <c r="S507" s="1257">
        <f t="shared" si="173"/>
        <v>0</v>
      </c>
      <c r="T507" s="1257">
        <f t="shared" si="173"/>
        <v>0</v>
      </c>
      <c r="U507" s="1257">
        <f t="shared" si="173"/>
        <v>0</v>
      </c>
      <c r="V507" s="1257">
        <f t="shared" si="173"/>
        <v>0</v>
      </c>
      <c r="W507" s="1257">
        <f t="shared" si="173"/>
        <v>0</v>
      </c>
      <c r="X507" s="1257">
        <f t="shared" si="173"/>
        <v>0</v>
      </c>
      <c r="Y507" s="1257">
        <f t="shared" si="173"/>
        <v>0</v>
      </c>
      <c r="Z507" s="1257">
        <f t="shared" si="173"/>
        <v>0</v>
      </c>
      <c r="AA507" s="1257">
        <f t="shared" si="173"/>
        <v>0</v>
      </c>
      <c r="AB507" s="1257">
        <f t="shared" si="173"/>
        <v>0</v>
      </c>
      <c r="AC507" s="1257">
        <f t="shared" si="173"/>
        <v>0</v>
      </c>
      <c r="AD507" s="1257">
        <f t="shared" si="173"/>
        <v>0</v>
      </c>
      <c r="AE507" s="1257">
        <f t="shared" si="173"/>
        <v>0</v>
      </c>
      <c r="AF507" s="1257">
        <f t="shared" si="173"/>
        <v>0</v>
      </c>
      <c r="AG507" s="1257">
        <f t="shared" si="173"/>
        <v>0</v>
      </c>
      <c r="AH507" s="1257">
        <f t="shared" si="173"/>
        <v>0</v>
      </c>
      <c r="AI507" s="1257">
        <f t="shared" si="173"/>
        <v>0</v>
      </c>
      <c r="AJ507" s="1257">
        <f t="shared" si="173"/>
        <v>0</v>
      </c>
      <c r="AK507" s="1257">
        <f t="shared" si="173"/>
        <v>0</v>
      </c>
      <c r="AL507" s="1257">
        <f t="shared" si="173"/>
        <v>0</v>
      </c>
      <c r="AM507" s="1257">
        <f t="shared" si="173"/>
        <v>0</v>
      </c>
      <c r="AN507" s="1257">
        <f t="shared" si="173"/>
        <v>0</v>
      </c>
      <c r="AO507" s="1257">
        <f t="shared" si="173"/>
        <v>0</v>
      </c>
      <c r="AP507" s="1257">
        <f t="shared" si="173"/>
        <v>0</v>
      </c>
      <c r="AQ507" s="1257">
        <f t="shared" si="173"/>
        <v>0</v>
      </c>
      <c r="AR507" s="1257">
        <f t="shared" si="173"/>
        <v>0</v>
      </c>
      <c r="AS507" s="1257">
        <f t="shared" si="173"/>
        <v>0</v>
      </c>
      <c r="AT507" s="1257">
        <f t="shared" si="173"/>
        <v>0</v>
      </c>
      <c r="AU507" s="1257">
        <f t="shared" si="173"/>
        <v>0</v>
      </c>
      <c r="AV507" s="1257">
        <f t="shared" si="173"/>
        <v>0</v>
      </c>
      <c r="AW507" s="1257">
        <f t="shared" si="173"/>
        <v>0</v>
      </c>
      <c r="AX507" s="1257">
        <f t="shared" si="173"/>
        <v>0</v>
      </c>
      <c r="AY507" s="1257">
        <f t="shared" si="173"/>
        <v>0</v>
      </c>
      <c r="AZ507" s="1257">
        <f t="shared" si="173"/>
        <v>0</v>
      </c>
      <c r="BA507" s="1257">
        <f t="shared" si="173"/>
        <v>0</v>
      </c>
      <c r="BB507" s="1257">
        <f t="shared" si="173"/>
        <v>0</v>
      </c>
      <c r="BC507" s="1257">
        <f t="shared" si="173"/>
        <v>0</v>
      </c>
      <c r="BD507" s="1257">
        <f t="shared" si="173"/>
        <v>0</v>
      </c>
      <c r="BE507" s="1258">
        <f t="shared" si="173"/>
        <v>0</v>
      </c>
    </row>
    <row r="508" spans="2:57" x14ac:dyDescent="0.25">
      <c r="B508" s="278"/>
      <c r="C508" s="279"/>
      <c r="D508" s="279"/>
      <c r="E508" s="279"/>
      <c r="F508" s="279"/>
      <c r="G508" s="1257"/>
      <c r="H508" s="1257"/>
      <c r="I508" s="1257"/>
      <c r="J508" s="1257"/>
      <c r="K508" s="1257"/>
      <c r="L508" s="1257"/>
      <c r="M508" s="1257"/>
      <c r="N508" s="1257"/>
      <c r="O508" s="1257"/>
      <c r="P508" s="1257"/>
      <c r="Q508" s="1257"/>
      <c r="R508" s="1257"/>
      <c r="S508" s="1257"/>
      <c r="T508" s="1257"/>
      <c r="U508" s="1257"/>
      <c r="V508" s="1257"/>
      <c r="W508" s="1257"/>
      <c r="X508" s="1257"/>
      <c r="Y508" s="1257"/>
      <c r="Z508" s="1257"/>
      <c r="AA508" s="1257"/>
      <c r="AB508" s="1257"/>
      <c r="AC508" s="1257"/>
      <c r="AD508" s="1257"/>
      <c r="AE508" s="1257"/>
      <c r="AF508" s="1257"/>
      <c r="AG508" s="1257"/>
      <c r="AH508" s="1257"/>
      <c r="AI508" s="1257"/>
      <c r="AJ508" s="1257"/>
      <c r="AK508" s="1257"/>
      <c r="AL508" s="1257"/>
      <c r="AM508" s="1257"/>
      <c r="AN508" s="1257"/>
      <c r="AO508" s="1257"/>
      <c r="AP508" s="1257"/>
      <c r="AQ508" s="1257"/>
      <c r="AR508" s="1257"/>
      <c r="AS508" s="1257"/>
      <c r="AT508" s="1257"/>
      <c r="AU508" s="1257"/>
      <c r="AV508" s="1257"/>
      <c r="AW508" s="1257"/>
      <c r="AX508" s="1257"/>
      <c r="AY508" s="1257"/>
      <c r="AZ508" s="1257"/>
      <c r="BA508" s="1257"/>
      <c r="BB508" s="1257"/>
      <c r="BC508" s="1257"/>
      <c r="BD508" s="1257"/>
      <c r="BE508" s="1258"/>
    </row>
    <row r="509" spans="2:57" x14ac:dyDescent="0.25">
      <c r="B509" s="278"/>
      <c r="C509" s="397" t="s">
        <v>65</v>
      </c>
      <c r="D509" s="279"/>
      <c r="E509" s="279"/>
      <c r="F509" s="279"/>
      <c r="G509" s="1257"/>
      <c r="H509" s="1257"/>
      <c r="I509" s="1257"/>
      <c r="J509" s="1257"/>
      <c r="K509" s="1257"/>
      <c r="L509" s="1257"/>
      <c r="M509" s="1257"/>
      <c r="N509" s="1257"/>
      <c r="O509" s="1257"/>
      <c r="P509" s="1257"/>
      <c r="Q509" s="1257"/>
      <c r="R509" s="1257"/>
      <c r="S509" s="1257"/>
      <c r="T509" s="1257"/>
      <c r="U509" s="1257"/>
      <c r="V509" s="1257"/>
      <c r="W509" s="1257"/>
      <c r="X509" s="1257"/>
      <c r="Y509" s="1257"/>
      <c r="Z509" s="1257"/>
      <c r="AA509" s="1257"/>
      <c r="AB509" s="1257"/>
      <c r="AC509" s="1257"/>
      <c r="AD509" s="1257"/>
      <c r="AE509" s="1257"/>
      <c r="AF509" s="1257"/>
      <c r="AG509" s="1257"/>
      <c r="AH509" s="1257"/>
      <c r="AI509" s="1257"/>
      <c r="AJ509" s="1257"/>
      <c r="AK509" s="1257"/>
      <c r="AL509" s="1257"/>
      <c r="AM509" s="1257"/>
      <c r="AN509" s="1257"/>
      <c r="AO509" s="1257"/>
      <c r="AP509" s="1257"/>
      <c r="AQ509" s="1257"/>
      <c r="AR509" s="1257"/>
      <c r="AS509" s="1257"/>
      <c r="AT509" s="1257"/>
      <c r="AU509" s="1257"/>
      <c r="AV509" s="1257"/>
      <c r="AW509" s="1257"/>
      <c r="AX509" s="1257"/>
      <c r="AY509" s="1257"/>
      <c r="AZ509" s="1257"/>
      <c r="BA509" s="1257"/>
      <c r="BB509" s="1257"/>
      <c r="BC509" s="1257"/>
      <c r="BD509" s="1257"/>
      <c r="BE509" s="1258"/>
    </row>
    <row r="510" spans="2:57" x14ac:dyDescent="0.25">
      <c r="B510" s="278"/>
      <c r="C510" s="279" t="s">
        <v>75</v>
      </c>
      <c r="D510" s="279"/>
      <c r="E510" s="279"/>
      <c r="F510" s="279"/>
      <c r="G510" s="1257">
        <v>0</v>
      </c>
      <c r="H510" s="1257">
        <f t="shared" ref="H510:AM510" si="174">G513</f>
        <v>0</v>
      </c>
      <c r="I510" s="1257">
        <f t="shared" si="174"/>
        <v>0</v>
      </c>
      <c r="J510" s="1257">
        <f t="shared" si="174"/>
        <v>0</v>
      </c>
      <c r="K510" s="1257">
        <f t="shared" si="174"/>
        <v>0</v>
      </c>
      <c r="L510" s="1257">
        <f t="shared" si="174"/>
        <v>0</v>
      </c>
      <c r="M510" s="1257">
        <f t="shared" si="174"/>
        <v>0</v>
      </c>
      <c r="N510" s="1257">
        <f t="shared" si="174"/>
        <v>0</v>
      </c>
      <c r="O510" s="1257">
        <f t="shared" si="174"/>
        <v>0</v>
      </c>
      <c r="P510" s="1257">
        <f t="shared" si="174"/>
        <v>0</v>
      </c>
      <c r="Q510" s="1257">
        <f t="shared" si="174"/>
        <v>0</v>
      </c>
      <c r="R510" s="1257">
        <f t="shared" si="174"/>
        <v>0</v>
      </c>
      <c r="S510" s="1257">
        <f t="shared" si="174"/>
        <v>0</v>
      </c>
      <c r="T510" s="1257">
        <f t="shared" si="174"/>
        <v>0</v>
      </c>
      <c r="U510" s="1257">
        <f t="shared" si="174"/>
        <v>0</v>
      </c>
      <c r="V510" s="1257">
        <f t="shared" si="174"/>
        <v>0</v>
      </c>
      <c r="W510" s="1257">
        <f t="shared" si="174"/>
        <v>0</v>
      </c>
      <c r="X510" s="1257">
        <f t="shared" si="174"/>
        <v>0</v>
      </c>
      <c r="Y510" s="1257">
        <f t="shared" si="174"/>
        <v>0</v>
      </c>
      <c r="Z510" s="1257">
        <f t="shared" si="174"/>
        <v>0</v>
      </c>
      <c r="AA510" s="1257">
        <f t="shared" si="174"/>
        <v>0</v>
      </c>
      <c r="AB510" s="1257">
        <f t="shared" si="174"/>
        <v>0</v>
      </c>
      <c r="AC510" s="1257">
        <f t="shared" si="174"/>
        <v>0</v>
      </c>
      <c r="AD510" s="1257">
        <f t="shared" si="174"/>
        <v>0</v>
      </c>
      <c r="AE510" s="1257">
        <f t="shared" si="174"/>
        <v>0</v>
      </c>
      <c r="AF510" s="1257">
        <f t="shared" si="174"/>
        <v>0</v>
      </c>
      <c r="AG510" s="1257">
        <f t="shared" si="174"/>
        <v>0</v>
      </c>
      <c r="AH510" s="1257">
        <f t="shared" si="174"/>
        <v>0</v>
      </c>
      <c r="AI510" s="1257">
        <f t="shared" si="174"/>
        <v>0</v>
      </c>
      <c r="AJ510" s="1257">
        <f t="shared" si="174"/>
        <v>0</v>
      </c>
      <c r="AK510" s="1257">
        <f t="shared" si="174"/>
        <v>0</v>
      </c>
      <c r="AL510" s="1257">
        <f t="shared" si="174"/>
        <v>0</v>
      </c>
      <c r="AM510" s="1257">
        <f t="shared" si="174"/>
        <v>0</v>
      </c>
      <c r="AN510" s="1257">
        <f t="shared" ref="AN510:BE510" si="175">AM513</f>
        <v>0</v>
      </c>
      <c r="AO510" s="1257">
        <f t="shared" si="175"/>
        <v>0</v>
      </c>
      <c r="AP510" s="1257">
        <f t="shared" si="175"/>
        <v>0</v>
      </c>
      <c r="AQ510" s="1257">
        <f t="shared" si="175"/>
        <v>0</v>
      </c>
      <c r="AR510" s="1257">
        <f t="shared" si="175"/>
        <v>0</v>
      </c>
      <c r="AS510" s="1257">
        <f t="shared" si="175"/>
        <v>0</v>
      </c>
      <c r="AT510" s="1257">
        <f t="shared" si="175"/>
        <v>0</v>
      </c>
      <c r="AU510" s="1257">
        <f t="shared" si="175"/>
        <v>0</v>
      </c>
      <c r="AV510" s="1257">
        <f t="shared" si="175"/>
        <v>0</v>
      </c>
      <c r="AW510" s="1257">
        <f t="shared" si="175"/>
        <v>0</v>
      </c>
      <c r="AX510" s="1257">
        <f t="shared" si="175"/>
        <v>0</v>
      </c>
      <c r="AY510" s="1257">
        <f t="shared" si="175"/>
        <v>0</v>
      </c>
      <c r="AZ510" s="1257">
        <f t="shared" si="175"/>
        <v>0</v>
      </c>
      <c r="BA510" s="1257">
        <f t="shared" si="175"/>
        <v>0</v>
      </c>
      <c r="BB510" s="1257">
        <f t="shared" si="175"/>
        <v>0</v>
      </c>
      <c r="BC510" s="1257">
        <f t="shared" si="175"/>
        <v>0</v>
      </c>
      <c r="BD510" s="1257">
        <f t="shared" si="175"/>
        <v>0</v>
      </c>
      <c r="BE510" s="1258">
        <f t="shared" si="175"/>
        <v>0</v>
      </c>
    </row>
    <row r="511" spans="2:57" x14ac:dyDescent="0.25">
      <c r="B511" s="278"/>
      <c r="C511" s="279" t="s">
        <v>76</v>
      </c>
      <c r="D511" s="279"/>
      <c r="E511" s="279"/>
      <c r="F511" s="279"/>
      <c r="G511" s="1257">
        <f>G500</f>
        <v>0</v>
      </c>
      <c r="H511" s="1257">
        <v>0</v>
      </c>
      <c r="I511" s="1257">
        <v>0</v>
      </c>
      <c r="J511" s="1257">
        <v>0</v>
      </c>
      <c r="K511" s="1257">
        <v>0</v>
      </c>
      <c r="L511" s="1257">
        <v>0</v>
      </c>
      <c r="M511" s="1257">
        <v>0</v>
      </c>
      <c r="N511" s="1257">
        <v>0</v>
      </c>
      <c r="O511" s="1257">
        <v>0</v>
      </c>
      <c r="P511" s="1257">
        <v>0</v>
      </c>
      <c r="Q511" s="1257">
        <v>0</v>
      </c>
      <c r="R511" s="1257">
        <v>0</v>
      </c>
      <c r="S511" s="1257">
        <v>0</v>
      </c>
      <c r="T511" s="1257">
        <v>0</v>
      </c>
      <c r="U511" s="1257">
        <v>0</v>
      </c>
      <c r="V511" s="1257">
        <v>0</v>
      </c>
      <c r="W511" s="1257">
        <v>0</v>
      </c>
      <c r="X511" s="1257">
        <v>0</v>
      </c>
      <c r="Y511" s="1257">
        <v>0</v>
      </c>
      <c r="Z511" s="1257">
        <v>0</v>
      </c>
      <c r="AA511" s="1257">
        <v>0</v>
      </c>
      <c r="AB511" s="1257">
        <v>0</v>
      </c>
      <c r="AC511" s="1257">
        <v>0</v>
      </c>
      <c r="AD511" s="1257">
        <v>0</v>
      </c>
      <c r="AE511" s="1257">
        <v>0</v>
      </c>
      <c r="AF511" s="1257">
        <v>0</v>
      </c>
      <c r="AG511" s="1257">
        <v>0</v>
      </c>
      <c r="AH511" s="1257">
        <v>0</v>
      </c>
      <c r="AI511" s="1257">
        <v>0</v>
      </c>
      <c r="AJ511" s="1257">
        <v>0</v>
      </c>
      <c r="AK511" s="1257">
        <v>0</v>
      </c>
      <c r="AL511" s="1257">
        <v>0</v>
      </c>
      <c r="AM511" s="1257">
        <v>0</v>
      </c>
      <c r="AN511" s="1257">
        <v>0</v>
      </c>
      <c r="AO511" s="1257">
        <v>0</v>
      </c>
      <c r="AP511" s="1257">
        <v>0</v>
      </c>
      <c r="AQ511" s="1257">
        <v>0</v>
      </c>
      <c r="AR511" s="1257">
        <v>0</v>
      </c>
      <c r="AS511" s="1257">
        <v>0</v>
      </c>
      <c r="AT511" s="1257">
        <v>0</v>
      </c>
      <c r="AU511" s="1257">
        <v>0</v>
      </c>
      <c r="AV511" s="1257">
        <v>0</v>
      </c>
      <c r="AW511" s="1257">
        <v>0</v>
      </c>
      <c r="AX511" s="1257">
        <v>0</v>
      </c>
      <c r="AY511" s="1257">
        <v>0</v>
      </c>
      <c r="AZ511" s="1257">
        <v>0</v>
      </c>
      <c r="BA511" s="1257">
        <v>0</v>
      </c>
      <c r="BB511" s="1257">
        <v>0</v>
      </c>
      <c r="BC511" s="1257">
        <v>0</v>
      </c>
      <c r="BD511" s="1257">
        <v>0</v>
      </c>
      <c r="BE511" s="1258">
        <v>0</v>
      </c>
    </row>
    <row r="512" spans="2:57" x14ac:dyDescent="0.25">
      <c r="B512" s="278"/>
      <c r="C512" s="286" t="s">
        <v>77</v>
      </c>
      <c r="D512" s="286"/>
      <c r="E512" s="286"/>
      <c r="F512" s="286"/>
      <c r="G512" s="1259">
        <v>0</v>
      </c>
      <c r="H512" s="1259">
        <f>-H506</f>
        <v>0</v>
      </c>
      <c r="I512" s="1259">
        <f t="shared" ref="I512:BE512" si="176">-I506</f>
        <v>0</v>
      </c>
      <c r="J512" s="1259">
        <f t="shared" si="176"/>
        <v>0</v>
      </c>
      <c r="K512" s="1259">
        <f t="shared" si="176"/>
        <v>0</v>
      </c>
      <c r="L512" s="1259">
        <f t="shared" si="176"/>
        <v>0</v>
      </c>
      <c r="M512" s="1259">
        <f t="shared" si="176"/>
        <v>0</v>
      </c>
      <c r="N512" s="1259">
        <f t="shared" si="176"/>
        <v>0</v>
      </c>
      <c r="O512" s="1259">
        <f t="shared" si="176"/>
        <v>0</v>
      </c>
      <c r="P512" s="1259">
        <f t="shared" si="176"/>
        <v>0</v>
      </c>
      <c r="Q512" s="1259">
        <f t="shared" si="176"/>
        <v>0</v>
      </c>
      <c r="R512" s="1259">
        <f t="shared" si="176"/>
        <v>0</v>
      </c>
      <c r="S512" s="1259">
        <f t="shared" si="176"/>
        <v>0</v>
      </c>
      <c r="T512" s="1259">
        <f t="shared" si="176"/>
        <v>0</v>
      </c>
      <c r="U512" s="1259">
        <f t="shared" si="176"/>
        <v>0</v>
      </c>
      <c r="V512" s="1259">
        <f t="shared" si="176"/>
        <v>0</v>
      </c>
      <c r="W512" s="1259">
        <f t="shared" si="176"/>
        <v>0</v>
      </c>
      <c r="X512" s="1259">
        <f t="shared" si="176"/>
        <v>0</v>
      </c>
      <c r="Y512" s="1259">
        <f t="shared" si="176"/>
        <v>0</v>
      </c>
      <c r="Z512" s="1259">
        <f t="shared" si="176"/>
        <v>0</v>
      </c>
      <c r="AA512" s="1259">
        <f t="shared" si="176"/>
        <v>0</v>
      </c>
      <c r="AB512" s="1259">
        <f t="shared" si="176"/>
        <v>0</v>
      </c>
      <c r="AC512" s="1259">
        <f t="shared" si="176"/>
        <v>0</v>
      </c>
      <c r="AD512" s="1259">
        <f t="shared" si="176"/>
        <v>0</v>
      </c>
      <c r="AE512" s="1259">
        <f t="shared" si="176"/>
        <v>0</v>
      </c>
      <c r="AF512" s="1259">
        <f t="shared" si="176"/>
        <v>0</v>
      </c>
      <c r="AG512" s="1259">
        <f t="shared" si="176"/>
        <v>0</v>
      </c>
      <c r="AH512" s="1259">
        <f t="shared" si="176"/>
        <v>0</v>
      </c>
      <c r="AI512" s="1259">
        <f t="shared" si="176"/>
        <v>0</v>
      </c>
      <c r="AJ512" s="1259">
        <f t="shared" si="176"/>
        <v>0</v>
      </c>
      <c r="AK512" s="1259">
        <f t="shared" si="176"/>
        <v>0</v>
      </c>
      <c r="AL512" s="1259">
        <f t="shared" si="176"/>
        <v>0</v>
      </c>
      <c r="AM512" s="1259">
        <f t="shared" si="176"/>
        <v>0</v>
      </c>
      <c r="AN512" s="1259">
        <f t="shared" si="176"/>
        <v>0</v>
      </c>
      <c r="AO512" s="1259">
        <f t="shared" si="176"/>
        <v>0</v>
      </c>
      <c r="AP512" s="1259">
        <f t="shared" si="176"/>
        <v>0</v>
      </c>
      <c r="AQ512" s="1259">
        <f t="shared" si="176"/>
        <v>0</v>
      </c>
      <c r="AR512" s="1259">
        <f t="shared" si="176"/>
        <v>0</v>
      </c>
      <c r="AS512" s="1259">
        <f t="shared" si="176"/>
        <v>0</v>
      </c>
      <c r="AT512" s="1259">
        <f t="shared" si="176"/>
        <v>0</v>
      </c>
      <c r="AU512" s="1259">
        <f t="shared" si="176"/>
        <v>0</v>
      </c>
      <c r="AV512" s="1259">
        <f t="shared" si="176"/>
        <v>0</v>
      </c>
      <c r="AW512" s="1259">
        <f t="shared" si="176"/>
        <v>0</v>
      </c>
      <c r="AX512" s="1259">
        <f t="shared" si="176"/>
        <v>0</v>
      </c>
      <c r="AY512" s="1259">
        <f t="shared" si="176"/>
        <v>0</v>
      </c>
      <c r="AZ512" s="1259">
        <f t="shared" si="176"/>
        <v>0</v>
      </c>
      <c r="BA512" s="1259">
        <f t="shared" si="176"/>
        <v>0</v>
      </c>
      <c r="BB512" s="1259">
        <f t="shared" si="176"/>
        <v>0</v>
      </c>
      <c r="BC512" s="1259">
        <f t="shared" si="176"/>
        <v>0</v>
      </c>
      <c r="BD512" s="1259">
        <f t="shared" si="176"/>
        <v>0</v>
      </c>
      <c r="BE512" s="1260">
        <f t="shared" si="176"/>
        <v>0</v>
      </c>
    </row>
    <row r="513" spans="2:57" x14ac:dyDescent="0.25">
      <c r="B513" s="278"/>
      <c r="C513" s="279" t="s">
        <v>66</v>
      </c>
      <c r="D513" s="279"/>
      <c r="E513" s="279"/>
      <c r="F513" s="279"/>
      <c r="G513" s="1257">
        <f>SUM(G510:G512)</f>
        <v>0</v>
      </c>
      <c r="H513" s="1257">
        <f>SUM(H510:H512)</f>
        <v>0</v>
      </c>
      <c r="I513" s="1257">
        <f t="shared" ref="I513:BE513" si="177">SUM(I510:I512)</f>
        <v>0</v>
      </c>
      <c r="J513" s="1257">
        <f t="shared" si="177"/>
        <v>0</v>
      </c>
      <c r="K513" s="1257">
        <f t="shared" si="177"/>
        <v>0</v>
      </c>
      <c r="L513" s="1257">
        <f t="shared" si="177"/>
        <v>0</v>
      </c>
      <c r="M513" s="1257">
        <f t="shared" si="177"/>
        <v>0</v>
      </c>
      <c r="N513" s="1257">
        <f t="shared" si="177"/>
        <v>0</v>
      </c>
      <c r="O513" s="1257">
        <f t="shared" si="177"/>
        <v>0</v>
      </c>
      <c r="P513" s="1257">
        <f t="shared" si="177"/>
        <v>0</v>
      </c>
      <c r="Q513" s="1257">
        <f t="shared" si="177"/>
        <v>0</v>
      </c>
      <c r="R513" s="1257">
        <f t="shared" si="177"/>
        <v>0</v>
      </c>
      <c r="S513" s="1257">
        <f t="shared" si="177"/>
        <v>0</v>
      </c>
      <c r="T513" s="1257">
        <f t="shared" si="177"/>
        <v>0</v>
      </c>
      <c r="U513" s="1257">
        <f t="shared" si="177"/>
        <v>0</v>
      </c>
      <c r="V513" s="1257">
        <f t="shared" si="177"/>
        <v>0</v>
      </c>
      <c r="W513" s="1257">
        <f t="shared" si="177"/>
        <v>0</v>
      </c>
      <c r="X513" s="1257">
        <f t="shared" si="177"/>
        <v>0</v>
      </c>
      <c r="Y513" s="1257">
        <f t="shared" si="177"/>
        <v>0</v>
      </c>
      <c r="Z513" s="1257">
        <f t="shared" si="177"/>
        <v>0</v>
      </c>
      <c r="AA513" s="1257">
        <f t="shared" si="177"/>
        <v>0</v>
      </c>
      <c r="AB513" s="1257">
        <f t="shared" si="177"/>
        <v>0</v>
      </c>
      <c r="AC513" s="1257">
        <f t="shared" si="177"/>
        <v>0</v>
      </c>
      <c r="AD513" s="1257">
        <f t="shared" si="177"/>
        <v>0</v>
      </c>
      <c r="AE513" s="1257">
        <f t="shared" si="177"/>
        <v>0</v>
      </c>
      <c r="AF513" s="1257">
        <f t="shared" si="177"/>
        <v>0</v>
      </c>
      <c r="AG513" s="1257">
        <f t="shared" si="177"/>
        <v>0</v>
      </c>
      <c r="AH513" s="1257">
        <f t="shared" si="177"/>
        <v>0</v>
      </c>
      <c r="AI513" s="1257">
        <f t="shared" si="177"/>
        <v>0</v>
      </c>
      <c r="AJ513" s="1257">
        <f t="shared" si="177"/>
        <v>0</v>
      </c>
      <c r="AK513" s="1257">
        <f t="shared" si="177"/>
        <v>0</v>
      </c>
      <c r="AL513" s="1257">
        <f t="shared" si="177"/>
        <v>0</v>
      </c>
      <c r="AM513" s="1257">
        <f t="shared" si="177"/>
        <v>0</v>
      </c>
      <c r="AN513" s="1257">
        <f t="shared" si="177"/>
        <v>0</v>
      </c>
      <c r="AO513" s="1257">
        <f t="shared" si="177"/>
        <v>0</v>
      </c>
      <c r="AP513" s="1257">
        <f t="shared" si="177"/>
        <v>0</v>
      </c>
      <c r="AQ513" s="1257">
        <f t="shared" si="177"/>
        <v>0</v>
      </c>
      <c r="AR513" s="1257">
        <f t="shared" si="177"/>
        <v>0</v>
      </c>
      <c r="AS513" s="1257">
        <f t="shared" si="177"/>
        <v>0</v>
      </c>
      <c r="AT513" s="1257">
        <f t="shared" si="177"/>
        <v>0</v>
      </c>
      <c r="AU513" s="1257">
        <f t="shared" si="177"/>
        <v>0</v>
      </c>
      <c r="AV513" s="1257">
        <f t="shared" si="177"/>
        <v>0</v>
      </c>
      <c r="AW513" s="1257">
        <f t="shared" si="177"/>
        <v>0</v>
      </c>
      <c r="AX513" s="1257">
        <f t="shared" si="177"/>
        <v>0</v>
      </c>
      <c r="AY513" s="1257">
        <f t="shared" si="177"/>
        <v>0</v>
      </c>
      <c r="AZ513" s="1257">
        <f t="shared" si="177"/>
        <v>0</v>
      </c>
      <c r="BA513" s="1257">
        <f t="shared" si="177"/>
        <v>0</v>
      </c>
      <c r="BB513" s="1257">
        <f t="shared" si="177"/>
        <v>0</v>
      </c>
      <c r="BC513" s="1257">
        <f t="shared" si="177"/>
        <v>0</v>
      </c>
      <c r="BD513" s="1257">
        <f t="shared" si="177"/>
        <v>0</v>
      </c>
      <c r="BE513" s="1258">
        <f t="shared" si="177"/>
        <v>0</v>
      </c>
    </row>
    <row r="514" spans="2:57" x14ac:dyDescent="0.25">
      <c r="B514" s="278"/>
      <c r="C514" s="279"/>
      <c r="D514" s="279"/>
      <c r="E514" s="279"/>
      <c r="F514" s="279"/>
      <c r="G514" s="1257"/>
      <c r="H514" s="1257"/>
      <c r="I514" s="1257"/>
      <c r="J514" s="1257"/>
      <c r="K514" s="1257"/>
      <c r="L514" s="1257"/>
      <c r="M514" s="1257"/>
      <c r="N514" s="1257"/>
      <c r="O514" s="1257"/>
      <c r="P514" s="1257"/>
      <c r="Q514" s="1257"/>
      <c r="R514" s="1257"/>
      <c r="S514" s="1257"/>
      <c r="T514" s="1257"/>
      <c r="U514" s="1257"/>
      <c r="V514" s="1257"/>
      <c r="W514" s="1257"/>
      <c r="X514" s="1257"/>
      <c r="Y514" s="1257"/>
      <c r="Z514" s="1257"/>
      <c r="AA514" s="1257"/>
      <c r="AB514" s="1257"/>
      <c r="AC514" s="1257"/>
      <c r="AD514" s="1257"/>
      <c r="AE514" s="1257"/>
      <c r="AF514" s="1257"/>
      <c r="AG514" s="1257"/>
      <c r="AH514" s="1257"/>
      <c r="AI514" s="1257"/>
      <c r="AJ514" s="1257"/>
      <c r="AK514" s="1257"/>
      <c r="AL514" s="1257"/>
      <c r="AM514" s="1257"/>
      <c r="AN514" s="1257"/>
      <c r="AO514" s="1257"/>
      <c r="AP514" s="1257"/>
      <c r="AQ514" s="1257"/>
      <c r="AR514" s="1257"/>
      <c r="AS514" s="1257"/>
      <c r="AT514" s="1257"/>
      <c r="AU514" s="1257"/>
      <c r="AV514" s="1257"/>
      <c r="AW514" s="1257"/>
      <c r="AX514" s="1257"/>
      <c r="AY514" s="1257"/>
      <c r="AZ514" s="1257"/>
      <c r="BA514" s="1257"/>
      <c r="BB514" s="1257"/>
      <c r="BC514" s="1257"/>
      <c r="BD514" s="1257"/>
      <c r="BE514" s="1258"/>
    </row>
    <row r="515" spans="2:57" x14ac:dyDescent="0.25">
      <c r="B515" s="278"/>
      <c r="C515" s="397" t="s">
        <v>71</v>
      </c>
      <c r="D515" s="279"/>
      <c r="E515" s="279"/>
      <c r="F515" s="279"/>
      <c r="G515" s="1257"/>
      <c r="H515" s="1257"/>
      <c r="I515" s="1257"/>
      <c r="J515" s="1257"/>
      <c r="K515" s="1257"/>
      <c r="L515" s="1257"/>
      <c r="M515" s="1257"/>
      <c r="N515" s="1257"/>
      <c r="O515" s="1257"/>
      <c r="P515" s="1257"/>
      <c r="Q515" s="1257"/>
      <c r="R515" s="1257"/>
      <c r="S515" s="1257"/>
      <c r="T515" s="1257"/>
      <c r="U515" s="1257"/>
      <c r="V515" s="1257"/>
      <c r="W515" s="1257"/>
      <c r="X515" s="1257"/>
      <c r="Y515" s="1257"/>
      <c r="Z515" s="1257"/>
      <c r="AA515" s="1257"/>
      <c r="AB515" s="1257"/>
      <c r="AC515" s="1257"/>
      <c r="AD515" s="1257"/>
      <c r="AE515" s="1257"/>
      <c r="AF515" s="1257"/>
      <c r="AG515" s="1257"/>
      <c r="AH515" s="1257"/>
      <c r="AI515" s="1257"/>
      <c r="AJ515" s="1257"/>
      <c r="AK515" s="1257"/>
      <c r="AL515" s="1257"/>
      <c r="AM515" s="1257"/>
      <c r="AN515" s="1257"/>
      <c r="AO515" s="1257"/>
      <c r="AP515" s="1257"/>
      <c r="AQ515" s="1257"/>
      <c r="AR515" s="1257"/>
      <c r="AS515" s="1257"/>
      <c r="AT515" s="1257"/>
      <c r="AU515" s="1257"/>
      <c r="AV515" s="1257"/>
      <c r="AW515" s="1257"/>
      <c r="AX515" s="1257"/>
      <c r="AY515" s="1257"/>
      <c r="AZ515" s="1257"/>
      <c r="BA515" s="1257"/>
      <c r="BB515" s="1257"/>
      <c r="BC515" s="1257"/>
      <c r="BD515" s="1257"/>
      <c r="BE515" s="1258"/>
    </row>
    <row r="516" spans="2:57" x14ac:dyDescent="0.25">
      <c r="B516" s="278"/>
      <c r="C516" s="279" t="s">
        <v>237</v>
      </c>
      <c r="D516" s="279"/>
      <c r="E516" s="279"/>
      <c r="F516" s="279"/>
      <c r="G516" s="1257"/>
      <c r="H516" s="1257">
        <f>IF($G500&gt;0, $G500*'II. Inputs, Baseline Energy Mix'!$P$51/10000,0)</f>
        <v>0</v>
      </c>
      <c r="I516" s="1257">
        <v>0</v>
      </c>
      <c r="J516" s="1257">
        <v>0</v>
      </c>
      <c r="K516" s="1257">
        <v>0</v>
      </c>
      <c r="L516" s="1257">
        <v>0</v>
      </c>
      <c r="M516" s="1257">
        <v>0</v>
      </c>
      <c r="N516" s="1257">
        <v>0</v>
      </c>
      <c r="O516" s="1257">
        <v>0</v>
      </c>
      <c r="P516" s="1257">
        <v>0</v>
      </c>
      <c r="Q516" s="1257">
        <v>0</v>
      </c>
      <c r="R516" s="1257">
        <v>0</v>
      </c>
      <c r="S516" s="1257">
        <v>0</v>
      </c>
      <c r="T516" s="1257">
        <v>0</v>
      </c>
      <c r="U516" s="1257">
        <v>0</v>
      </c>
      <c r="V516" s="1257">
        <v>0</v>
      </c>
      <c r="W516" s="1257">
        <v>0</v>
      </c>
      <c r="X516" s="1257">
        <v>0</v>
      </c>
      <c r="Y516" s="1257">
        <v>0</v>
      </c>
      <c r="Z516" s="1257">
        <v>0</v>
      </c>
      <c r="AA516" s="1257">
        <v>0</v>
      </c>
      <c r="AB516" s="1257">
        <v>0</v>
      </c>
      <c r="AC516" s="1257">
        <v>0</v>
      </c>
      <c r="AD516" s="1257">
        <v>0</v>
      </c>
      <c r="AE516" s="1257">
        <v>0</v>
      </c>
      <c r="AF516" s="1257">
        <v>0</v>
      </c>
      <c r="AG516" s="1257">
        <v>0</v>
      </c>
      <c r="AH516" s="1257">
        <v>0</v>
      </c>
      <c r="AI516" s="1257">
        <v>0</v>
      </c>
      <c r="AJ516" s="1257">
        <v>0</v>
      </c>
      <c r="AK516" s="1257">
        <v>0</v>
      </c>
      <c r="AL516" s="1257">
        <v>0</v>
      </c>
      <c r="AM516" s="1257">
        <v>0</v>
      </c>
      <c r="AN516" s="1257">
        <v>0</v>
      </c>
      <c r="AO516" s="1257">
        <v>0</v>
      </c>
      <c r="AP516" s="1257">
        <v>0</v>
      </c>
      <c r="AQ516" s="1257">
        <v>0</v>
      </c>
      <c r="AR516" s="1257">
        <v>0</v>
      </c>
      <c r="AS516" s="1257">
        <v>0</v>
      </c>
      <c r="AT516" s="1257">
        <v>0</v>
      </c>
      <c r="AU516" s="1257">
        <v>0</v>
      </c>
      <c r="AV516" s="1257">
        <v>0</v>
      </c>
      <c r="AW516" s="1257">
        <v>0</v>
      </c>
      <c r="AX516" s="1257">
        <v>0</v>
      </c>
      <c r="AY516" s="1257">
        <v>0</v>
      </c>
      <c r="AZ516" s="1257">
        <v>0</v>
      </c>
      <c r="BA516" s="1257">
        <v>0</v>
      </c>
      <c r="BB516" s="1257">
        <v>0</v>
      </c>
      <c r="BC516" s="1257">
        <v>0</v>
      </c>
      <c r="BD516" s="1257">
        <v>0</v>
      </c>
      <c r="BE516" s="1258">
        <v>0</v>
      </c>
    </row>
    <row r="517" spans="2:57" x14ac:dyDescent="0.25">
      <c r="B517" s="278"/>
      <c r="C517" s="279"/>
      <c r="D517" s="279"/>
      <c r="E517" s="279"/>
      <c r="F517" s="279"/>
      <c r="G517" s="279"/>
      <c r="H517" s="279"/>
      <c r="I517" s="279"/>
      <c r="J517" s="279"/>
      <c r="K517" s="279"/>
      <c r="L517" s="279"/>
      <c r="M517" s="279"/>
      <c r="N517" s="279"/>
      <c r="O517" s="279"/>
      <c r="P517" s="279"/>
      <c r="Q517" s="279"/>
      <c r="R517" s="279"/>
      <c r="S517" s="279"/>
      <c r="T517" s="279"/>
      <c r="U517" s="279"/>
      <c r="V517" s="279"/>
      <c r="W517" s="279"/>
      <c r="X517" s="279"/>
      <c r="Y517" s="279"/>
      <c r="Z517" s="279"/>
      <c r="AA517" s="279"/>
      <c r="AB517" s="279"/>
      <c r="AC517" s="279"/>
      <c r="AD517" s="279"/>
      <c r="AE517" s="279"/>
      <c r="AF517" s="279"/>
      <c r="AG517" s="279"/>
      <c r="AH517" s="279"/>
      <c r="AI517" s="279"/>
      <c r="AJ517" s="279"/>
      <c r="AK517" s="279"/>
      <c r="AL517" s="279"/>
      <c r="AM517" s="279"/>
      <c r="AN517" s="279"/>
      <c r="AO517" s="279"/>
      <c r="AP517" s="279"/>
      <c r="AQ517" s="279"/>
      <c r="AR517" s="279"/>
      <c r="AS517" s="279"/>
      <c r="AT517" s="279"/>
      <c r="AU517" s="279"/>
      <c r="AV517" s="279"/>
      <c r="AW517" s="279"/>
      <c r="AX517" s="279"/>
      <c r="AY517" s="279"/>
      <c r="AZ517" s="279"/>
      <c r="BA517" s="279"/>
      <c r="BB517" s="279"/>
      <c r="BC517" s="279"/>
      <c r="BD517" s="279"/>
      <c r="BE517" s="280"/>
    </row>
    <row r="518" spans="2:57" x14ac:dyDescent="0.25">
      <c r="B518" s="278"/>
      <c r="C518" s="279"/>
      <c r="D518" s="279"/>
      <c r="E518" s="279"/>
      <c r="F518" s="279"/>
      <c r="G518" s="279"/>
      <c r="H518" s="279"/>
      <c r="I518" s="279"/>
      <c r="J518" s="279"/>
      <c r="K518" s="279"/>
      <c r="L518" s="279"/>
      <c r="M518" s="279"/>
      <c r="N518" s="279"/>
      <c r="O518" s="279"/>
      <c r="P518" s="279"/>
      <c r="Q518" s="279"/>
      <c r="R518" s="279"/>
      <c r="S518" s="279"/>
      <c r="T518" s="279"/>
      <c r="U518" s="279"/>
      <c r="V518" s="279"/>
      <c r="W518" s="279"/>
      <c r="X518" s="279"/>
      <c r="Y518" s="279"/>
      <c r="Z518" s="279"/>
      <c r="AA518" s="279"/>
      <c r="AB518" s="279"/>
      <c r="AC518" s="279"/>
      <c r="AD518" s="279"/>
      <c r="AE518" s="279"/>
      <c r="AF518" s="279"/>
      <c r="AG518" s="279"/>
      <c r="AH518" s="279"/>
      <c r="AI518" s="279"/>
      <c r="AJ518" s="279"/>
      <c r="AK518" s="279"/>
      <c r="AL518" s="279"/>
      <c r="AM518" s="279"/>
      <c r="AN518" s="279"/>
      <c r="AO518" s="279"/>
      <c r="AP518" s="279"/>
      <c r="AQ518" s="279"/>
      <c r="AR518" s="279"/>
      <c r="AS518" s="279"/>
      <c r="AT518" s="279"/>
      <c r="AU518" s="279"/>
      <c r="AV518" s="279"/>
      <c r="AW518" s="279"/>
      <c r="AX518" s="279"/>
      <c r="AY518" s="279"/>
      <c r="AZ518" s="279"/>
      <c r="BA518" s="279"/>
      <c r="BB518" s="279"/>
      <c r="BC518" s="279"/>
      <c r="BD518" s="279"/>
      <c r="BE518" s="280"/>
    </row>
    <row r="519" spans="2:57" x14ac:dyDescent="0.25">
      <c r="B519" s="290" t="s">
        <v>86</v>
      </c>
      <c r="C519" s="279"/>
      <c r="D519" s="279"/>
      <c r="E519" s="279"/>
      <c r="F519" s="279"/>
      <c r="G519" s="1257"/>
      <c r="H519" s="279"/>
      <c r="I519" s="279"/>
      <c r="J519" s="279"/>
      <c r="K519" s="279"/>
      <c r="L519" s="279"/>
      <c r="M519" s="279"/>
      <c r="N519" s="279"/>
      <c r="O519" s="279"/>
      <c r="P519" s="279"/>
      <c r="Q519" s="279"/>
      <c r="R519" s="279"/>
      <c r="S519" s="279"/>
      <c r="T519" s="279"/>
      <c r="U519" s="279"/>
      <c r="V519" s="279"/>
      <c r="W519" s="279"/>
      <c r="X519" s="279"/>
      <c r="Y519" s="279"/>
      <c r="Z519" s="279"/>
      <c r="AA519" s="279"/>
      <c r="AB519" s="279"/>
      <c r="AC519" s="279"/>
      <c r="AD519" s="279"/>
      <c r="AE519" s="279"/>
      <c r="AF519" s="279"/>
      <c r="AG519" s="279"/>
      <c r="AH519" s="279"/>
      <c r="AI519" s="279"/>
      <c r="AJ519" s="279"/>
      <c r="AK519" s="279"/>
      <c r="AL519" s="279"/>
      <c r="AM519" s="279"/>
      <c r="AN519" s="279"/>
      <c r="AO519" s="279"/>
      <c r="AP519" s="279"/>
      <c r="AQ519" s="279"/>
      <c r="AR519" s="279"/>
      <c r="AS519" s="279"/>
      <c r="AT519" s="279"/>
      <c r="AU519" s="279"/>
      <c r="AV519" s="279"/>
      <c r="AW519" s="279"/>
      <c r="AX519" s="279"/>
      <c r="AY519" s="279"/>
      <c r="AZ519" s="279"/>
      <c r="BA519" s="279"/>
      <c r="BB519" s="279"/>
      <c r="BC519" s="279"/>
      <c r="BD519" s="279"/>
      <c r="BE519" s="280"/>
    </row>
    <row r="520" spans="2:57" x14ac:dyDescent="0.25">
      <c r="B520" s="278"/>
      <c r="C520" s="394" t="s">
        <v>84</v>
      </c>
      <c r="D520" s="279"/>
      <c r="E520" s="279"/>
      <c r="F520" s="279"/>
      <c r="G520" s="1257">
        <f>IF('II. Inputs, Baseline Energy Mix'!$P$15&gt;0, ('II. Inputs, Baseline Energy Mix'!$P$16*'II. Inputs, Baseline Energy Mix'!$P$17*'II. Inputs, Baseline Energy Mix'!$P$29*'II. Inputs, Baseline Energy Mix'!$P$80),0)</f>
        <v>0</v>
      </c>
      <c r="H520" s="279"/>
      <c r="I520" s="279"/>
      <c r="J520" s="279"/>
      <c r="K520" s="279"/>
      <c r="L520" s="279"/>
      <c r="M520" s="279"/>
      <c r="N520" s="279"/>
      <c r="O520" s="279"/>
      <c r="P520" s="279"/>
      <c r="Q520" s="279"/>
      <c r="R520" s="279"/>
      <c r="S520" s="279"/>
      <c r="T520" s="279"/>
      <c r="U520" s="279"/>
      <c r="V520" s="279"/>
      <c r="W520" s="279"/>
      <c r="X520" s="279"/>
      <c r="Y520" s="279"/>
      <c r="Z520" s="279"/>
      <c r="AA520" s="279"/>
      <c r="AB520" s="279"/>
      <c r="AC520" s="279"/>
      <c r="AD520" s="279"/>
      <c r="AE520" s="279"/>
      <c r="AF520" s="279"/>
      <c r="AG520" s="279"/>
      <c r="AH520" s="279"/>
      <c r="AI520" s="279"/>
      <c r="AJ520" s="279"/>
      <c r="AK520" s="279"/>
      <c r="AL520" s="279"/>
      <c r="AM520" s="279"/>
      <c r="AN520" s="279"/>
      <c r="AO520" s="279"/>
      <c r="AP520" s="279"/>
      <c r="AQ520" s="279"/>
      <c r="AR520" s="279"/>
      <c r="AS520" s="279"/>
      <c r="AT520" s="279"/>
      <c r="AU520" s="279"/>
      <c r="AV520" s="279"/>
      <c r="AW520" s="279"/>
      <c r="AX520" s="279"/>
      <c r="AY520" s="279"/>
      <c r="AZ520" s="279"/>
      <c r="BA520" s="279"/>
      <c r="BB520" s="279"/>
      <c r="BC520" s="279"/>
      <c r="BD520" s="279"/>
      <c r="BE520" s="280"/>
    </row>
    <row r="521" spans="2:57" x14ac:dyDescent="0.25">
      <c r="B521" s="278"/>
      <c r="C521" s="394" t="str">
        <f>'II. Inputs, Baseline Energy Mix'!$E$81</f>
        <v xml:space="preserve">Term of Political Risk Insurance </v>
      </c>
      <c r="D521" s="279"/>
      <c r="E521" s="279"/>
      <c r="F521" s="279"/>
      <c r="G521" s="281">
        <f>'II. Inputs, Baseline Energy Mix'!$P$81</f>
        <v>0</v>
      </c>
      <c r="H521" s="279"/>
      <c r="I521" s="279"/>
      <c r="J521" s="279"/>
      <c r="K521" s="279"/>
      <c r="L521" s="279"/>
      <c r="M521" s="279"/>
      <c r="N521" s="279"/>
      <c r="O521" s="279"/>
      <c r="P521" s="279"/>
      <c r="Q521" s="279"/>
      <c r="R521" s="279"/>
      <c r="S521" s="279"/>
      <c r="T521" s="279"/>
      <c r="U521" s="279"/>
      <c r="V521" s="279"/>
      <c r="W521" s="279"/>
      <c r="X521" s="279"/>
      <c r="Y521" s="279"/>
      <c r="Z521" s="279"/>
      <c r="AA521" s="279"/>
      <c r="AB521" s="279"/>
      <c r="AC521" s="279"/>
      <c r="AD521" s="279"/>
      <c r="AE521" s="279"/>
      <c r="AF521" s="279"/>
      <c r="AG521" s="279"/>
      <c r="AH521" s="279"/>
      <c r="AI521" s="279"/>
      <c r="AJ521" s="279"/>
      <c r="AK521" s="279"/>
      <c r="AL521" s="279"/>
      <c r="AM521" s="279"/>
      <c r="AN521" s="279"/>
      <c r="AO521" s="279"/>
      <c r="AP521" s="279"/>
      <c r="AQ521" s="279"/>
      <c r="AR521" s="279"/>
      <c r="AS521" s="279"/>
      <c r="AT521" s="279"/>
      <c r="AU521" s="279"/>
      <c r="AV521" s="279"/>
      <c r="AW521" s="279"/>
      <c r="AX521" s="279"/>
      <c r="AY521" s="279"/>
      <c r="AZ521" s="279"/>
      <c r="BA521" s="279"/>
      <c r="BB521" s="279"/>
      <c r="BC521" s="279"/>
      <c r="BD521" s="279"/>
      <c r="BE521" s="280"/>
    </row>
    <row r="522" spans="2:57" x14ac:dyDescent="0.25">
      <c r="B522" s="278"/>
      <c r="C522" s="394" t="str">
        <f>'II. Inputs, Baseline Energy Mix'!$E$82</f>
        <v xml:space="preserve">Front-end Fee </v>
      </c>
      <c r="D522" s="279"/>
      <c r="E522" s="279"/>
      <c r="F522" s="279"/>
      <c r="G522" s="1257">
        <f>'II. Inputs, Baseline Energy Mix'!$P$82</f>
        <v>0</v>
      </c>
      <c r="H522" s="279"/>
      <c r="I522" s="279"/>
      <c r="J522" s="279"/>
      <c r="K522" s="279"/>
      <c r="L522" s="279"/>
      <c r="M522" s="279"/>
      <c r="N522" s="279"/>
      <c r="O522" s="279"/>
      <c r="P522" s="279"/>
      <c r="Q522" s="279"/>
      <c r="R522" s="279"/>
      <c r="S522" s="279"/>
      <c r="T522" s="279"/>
      <c r="U522" s="279"/>
      <c r="V522" s="279"/>
      <c r="W522" s="279"/>
      <c r="X522" s="279"/>
      <c r="Y522" s="279"/>
      <c r="Z522" s="279"/>
      <c r="AA522" s="279"/>
      <c r="AB522" s="279"/>
      <c r="AC522" s="279"/>
      <c r="AD522" s="279"/>
      <c r="AE522" s="279"/>
      <c r="AF522" s="279"/>
      <c r="AG522" s="279"/>
      <c r="AH522" s="279"/>
      <c r="AI522" s="279"/>
      <c r="AJ522" s="279"/>
      <c r="AK522" s="279"/>
      <c r="AL522" s="279"/>
      <c r="AM522" s="279"/>
      <c r="AN522" s="279"/>
      <c r="AO522" s="279"/>
      <c r="AP522" s="279"/>
      <c r="AQ522" s="279"/>
      <c r="AR522" s="279"/>
      <c r="AS522" s="279"/>
      <c r="AT522" s="279"/>
      <c r="AU522" s="279"/>
      <c r="AV522" s="279"/>
      <c r="AW522" s="279"/>
      <c r="AX522" s="279"/>
      <c r="AY522" s="279"/>
      <c r="AZ522" s="279"/>
      <c r="BA522" s="279"/>
      <c r="BB522" s="279"/>
      <c r="BC522" s="279"/>
      <c r="BD522" s="279"/>
      <c r="BE522" s="280"/>
    </row>
    <row r="523" spans="2:57" x14ac:dyDescent="0.25">
      <c r="B523" s="278"/>
      <c r="C523" s="394" t="str">
        <f>'II. Inputs, Baseline Energy Mix'!$E$83</f>
        <v xml:space="preserve">Annual Political Risk Insurance Premium </v>
      </c>
      <c r="D523" s="279"/>
      <c r="E523" s="279"/>
      <c r="F523" s="279"/>
      <c r="G523" s="1257">
        <f>'II. Inputs, Baseline Energy Mix'!$P$83</f>
        <v>0</v>
      </c>
      <c r="H523" s="279"/>
      <c r="I523" s="279"/>
      <c r="J523" s="279"/>
      <c r="K523" s="279"/>
      <c r="L523" s="279"/>
      <c r="M523" s="279"/>
      <c r="N523" s="279"/>
      <c r="O523" s="279"/>
      <c r="P523" s="279"/>
      <c r="Q523" s="279"/>
      <c r="R523" s="279"/>
      <c r="S523" s="279"/>
      <c r="T523" s="279"/>
      <c r="U523" s="279"/>
      <c r="V523" s="279"/>
      <c r="W523" s="279"/>
      <c r="X523" s="279"/>
      <c r="Y523" s="279"/>
      <c r="Z523" s="279"/>
      <c r="AA523" s="279"/>
      <c r="AB523" s="279"/>
      <c r="AC523" s="279"/>
      <c r="AD523" s="279"/>
      <c r="AE523" s="279"/>
      <c r="AF523" s="279"/>
      <c r="AG523" s="279"/>
      <c r="AH523" s="279"/>
      <c r="AI523" s="279"/>
      <c r="AJ523" s="279"/>
      <c r="AK523" s="279"/>
      <c r="AL523" s="279"/>
      <c r="AM523" s="279"/>
      <c r="AN523" s="279"/>
      <c r="AO523" s="279"/>
      <c r="AP523" s="279"/>
      <c r="AQ523" s="279"/>
      <c r="AR523" s="279"/>
      <c r="AS523" s="279"/>
      <c r="AT523" s="279"/>
      <c r="AU523" s="279"/>
      <c r="AV523" s="279"/>
      <c r="AW523" s="279"/>
      <c r="AX523" s="279"/>
      <c r="AY523" s="279"/>
      <c r="AZ523" s="279"/>
      <c r="BA523" s="279"/>
      <c r="BB523" s="279"/>
      <c r="BC523" s="279"/>
      <c r="BD523" s="279"/>
      <c r="BE523" s="280"/>
    </row>
    <row r="524" spans="2:57" x14ac:dyDescent="0.25">
      <c r="B524" s="278"/>
      <c r="C524" s="279"/>
      <c r="D524" s="279"/>
      <c r="E524" s="279"/>
      <c r="F524" s="279"/>
      <c r="G524" s="279"/>
      <c r="H524" s="279"/>
      <c r="I524" s="279"/>
      <c r="J524" s="279"/>
      <c r="K524" s="279"/>
      <c r="L524" s="279"/>
      <c r="M524" s="279"/>
      <c r="N524" s="279"/>
      <c r="O524" s="279"/>
      <c r="P524" s="279"/>
      <c r="Q524" s="279"/>
      <c r="R524" s="279"/>
      <c r="S524" s="279"/>
      <c r="T524" s="279"/>
      <c r="U524" s="279"/>
      <c r="V524" s="279"/>
      <c r="W524" s="279"/>
      <c r="X524" s="279"/>
      <c r="Y524" s="279"/>
      <c r="Z524" s="279"/>
      <c r="AA524" s="279"/>
      <c r="AB524" s="279"/>
      <c r="AC524" s="279"/>
      <c r="AD524" s="279"/>
      <c r="AE524" s="279"/>
      <c r="AF524" s="279"/>
      <c r="AG524" s="279"/>
      <c r="AH524" s="279"/>
      <c r="AI524" s="279"/>
      <c r="AJ524" s="279"/>
      <c r="AK524" s="279"/>
      <c r="AL524" s="279"/>
      <c r="AM524" s="279"/>
      <c r="AN524" s="279"/>
      <c r="AO524" s="279"/>
      <c r="AP524" s="279"/>
      <c r="AQ524" s="279"/>
      <c r="AR524" s="279"/>
      <c r="AS524" s="279"/>
      <c r="AT524" s="279"/>
      <c r="AU524" s="279"/>
      <c r="AV524" s="279"/>
      <c r="AW524" s="279"/>
      <c r="AX524" s="279"/>
      <c r="AY524" s="279"/>
      <c r="AZ524" s="279"/>
      <c r="BA524" s="279"/>
      <c r="BB524" s="279"/>
      <c r="BC524" s="279"/>
      <c r="BD524" s="279"/>
      <c r="BE524" s="280"/>
    </row>
    <row r="525" spans="2:57" x14ac:dyDescent="0.25">
      <c r="B525" s="278"/>
      <c r="C525" s="397" t="s">
        <v>71</v>
      </c>
      <c r="D525" s="279"/>
      <c r="E525" s="279"/>
      <c r="F525" s="279"/>
      <c r="G525" s="279"/>
      <c r="H525" s="279"/>
      <c r="I525" s="279"/>
      <c r="J525" s="279"/>
      <c r="K525" s="279"/>
      <c r="L525" s="279"/>
      <c r="M525" s="279"/>
      <c r="N525" s="279"/>
      <c r="O525" s="279"/>
      <c r="P525" s="279"/>
      <c r="Q525" s="279"/>
      <c r="R525" s="279"/>
      <c r="S525" s="279"/>
      <c r="T525" s="279"/>
      <c r="U525" s="279"/>
      <c r="V525" s="279"/>
      <c r="W525" s="279"/>
      <c r="X525" s="279"/>
      <c r="Y525" s="279"/>
      <c r="Z525" s="279"/>
      <c r="AA525" s="279"/>
      <c r="AB525" s="279"/>
      <c r="AC525" s="279"/>
      <c r="AD525" s="279"/>
      <c r="AE525" s="279"/>
      <c r="AF525" s="279"/>
      <c r="AG525" s="279"/>
      <c r="AH525" s="279"/>
      <c r="AI525" s="279"/>
      <c r="AJ525" s="279"/>
      <c r="AK525" s="279"/>
      <c r="AL525" s="279"/>
      <c r="AM525" s="279"/>
      <c r="AN525" s="279"/>
      <c r="AO525" s="279"/>
      <c r="AP525" s="279"/>
      <c r="AQ525" s="279"/>
      <c r="AR525" s="279"/>
      <c r="AS525" s="279"/>
      <c r="AT525" s="279"/>
      <c r="AU525" s="279"/>
      <c r="AV525" s="279"/>
      <c r="AW525" s="279"/>
      <c r="AX525" s="279"/>
      <c r="AY525" s="279"/>
      <c r="AZ525" s="279"/>
      <c r="BA525" s="279"/>
      <c r="BB525" s="279"/>
      <c r="BC525" s="279"/>
      <c r="BD525" s="279"/>
      <c r="BE525" s="280"/>
    </row>
    <row r="526" spans="2:57" x14ac:dyDescent="0.25">
      <c r="B526" s="278"/>
      <c r="C526" s="279" t="str">
        <f>'II. Inputs, Baseline Energy Mix'!$E$82</f>
        <v xml:space="preserve">Front-end Fee </v>
      </c>
      <c r="D526" s="279"/>
      <c r="E526" s="279"/>
      <c r="F526" s="279"/>
      <c r="G526" s="279"/>
      <c r="H526" s="1257">
        <f>IF(G520&gt;0, G520*G522/10000, 0)</f>
        <v>0</v>
      </c>
      <c r="I526" s="1257">
        <v>0</v>
      </c>
      <c r="J526" s="1257">
        <v>0</v>
      </c>
      <c r="K526" s="1257">
        <v>0</v>
      </c>
      <c r="L526" s="1257">
        <v>0</v>
      </c>
      <c r="M526" s="1257">
        <v>0</v>
      </c>
      <c r="N526" s="1257">
        <v>0</v>
      </c>
      <c r="O526" s="1257">
        <v>0</v>
      </c>
      <c r="P526" s="1257">
        <v>0</v>
      </c>
      <c r="Q526" s="1257">
        <v>0</v>
      </c>
      <c r="R526" s="1257">
        <v>0</v>
      </c>
      <c r="S526" s="1257">
        <v>0</v>
      </c>
      <c r="T526" s="1257">
        <v>0</v>
      </c>
      <c r="U526" s="1257">
        <v>0</v>
      </c>
      <c r="V526" s="1257">
        <v>0</v>
      </c>
      <c r="W526" s="1257">
        <v>0</v>
      </c>
      <c r="X526" s="1257">
        <v>0</v>
      </c>
      <c r="Y526" s="1257">
        <v>0</v>
      </c>
      <c r="Z526" s="1257">
        <v>0</v>
      </c>
      <c r="AA526" s="1257">
        <v>0</v>
      </c>
      <c r="AB526" s="1257">
        <v>0</v>
      </c>
      <c r="AC526" s="1257">
        <v>0</v>
      </c>
      <c r="AD526" s="1257">
        <v>0</v>
      </c>
      <c r="AE526" s="1257">
        <v>0</v>
      </c>
      <c r="AF526" s="1257">
        <v>0</v>
      </c>
      <c r="AG526" s="1257">
        <v>0</v>
      </c>
      <c r="AH526" s="1257">
        <v>0</v>
      </c>
      <c r="AI526" s="1257">
        <v>0</v>
      </c>
      <c r="AJ526" s="1257">
        <v>0</v>
      </c>
      <c r="AK526" s="1257">
        <v>0</v>
      </c>
      <c r="AL526" s="1257">
        <v>0</v>
      </c>
      <c r="AM526" s="1257">
        <v>0</v>
      </c>
      <c r="AN526" s="1257">
        <v>0</v>
      </c>
      <c r="AO526" s="1257">
        <v>0</v>
      </c>
      <c r="AP526" s="1257">
        <v>0</v>
      </c>
      <c r="AQ526" s="1257">
        <v>0</v>
      </c>
      <c r="AR526" s="1257">
        <v>0</v>
      </c>
      <c r="AS526" s="1257">
        <v>0</v>
      </c>
      <c r="AT526" s="1257">
        <v>0</v>
      </c>
      <c r="AU526" s="1257">
        <v>0</v>
      </c>
      <c r="AV526" s="1257">
        <v>0</v>
      </c>
      <c r="AW526" s="1257">
        <v>0</v>
      </c>
      <c r="AX526" s="1257">
        <v>0</v>
      </c>
      <c r="AY526" s="1257">
        <v>0</v>
      </c>
      <c r="AZ526" s="1257">
        <v>0</v>
      </c>
      <c r="BA526" s="1257">
        <v>0</v>
      </c>
      <c r="BB526" s="1257">
        <v>0</v>
      </c>
      <c r="BC526" s="1257">
        <v>0</v>
      </c>
      <c r="BD526" s="1257">
        <v>0</v>
      </c>
      <c r="BE526" s="1258">
        <v>0</v>
      </c>
    </row>
    <row r="527" spans="2:57" x14ac:dyDescent="0.25">
      <c r="B527" s="278"/>
      <c r="C527" s="286" t="str">
        <f>'II. Inputs, Baseline Energy Mix'!$E$83</f>
        <v xml:space="preserve">Annual Political Risk Insurance Premium </v>
      </c>
      <c r="D527" s="286"/>
      <c r="E527" s="286"/>
      <c r="F527" s="286"/>
      <c r="G527" s="286"/>
      <c r="H527" s="1259">
        <f>IF(H$299&gt;$G521,0,($G520*$G523/10000))</f>
        <v>0</v>
      </c>
      <c r="I527" s="1259">
        <f>IF(I$299&gt;$G521,0,($G520*$G523/10000))</f>
        <v>0</v>
      </c>
      <c r="J527" s="1259">
        <f t="shared" ref="J527:BE527" si="178">IF(J$299&gt;$G521,0,($G520*$G523/10000))</f>
        <v>0</v>
      </c>
      <c r="K527" s="1259">
        <f t="shared" si="178"/>
        <v>0</v>
      </c>
      <c r="L527" s="1259">
        <f t="shared" si="178"/>
        <v>0</v>
      </c>
      <c r="M527" s="1259">
        <f t="shared" si="178"/>
        <v>0</v>
      </c>
      <c r="N527" s="1259">
        <f t="shared" si="178"/>
        <v>0</v>
      </c>
      <c r="O527" s="1259">
        <f t="shared" si="178"/>
        <v>0</v>
      </c>
      <c r="P527" s="1259">
        <f t="shared" si="178"/>
        <v>0</v>
      </c>
      <c r="Q527" s="1259">
        <f t="shared" si="178"/>
        <v>0</v>
      </c>
      <c r="R527" s="1259">
        <f t="shared" si="178"/>
        <v>0</v>
      </c>
      <c r="S527" s="1259">
        <f t="shared" si="178"/>
        <v>0</v>
      </c>
      <c r="T527" s="1259">
        <f t="shared" si="178"/>
        <v>0</v>
      </c>
      <c r="U527" s="1259">
        <f t="shared" si="178"/>
        <v>0</v>
      </c>
      <c r="V527" s="1259">
        <f t="shared" si="178"/>
        <v>0</v>
      </c>
      <c r="W527" s="1259">
        <f t="shared" si="178"/>
        <v>0</v>
      </c>
      <c r="X527" s="1259">
        <f t="shared" si="178"/>
        <v>0</v>
      </c>
      <c r="Y527" s="1259">
        <f t="shared" si="178"/>
        <v>0</v>
      </c>
      <c r="Z527" s="1259">
        <f t="shared" si="178"/>
        <v>0</v>
      </c>
      <c r="AA527" s="1259">
        <f t="shared" si="178"/>
        <v>0</v>
      </c>
      <c r="AB527" s="1259">
        <f t="shared" si="178"/>
        <v>0</v>
      </c>
      <c r="AC527" s="1259">
        <f t="shared" si="178"/>
        <v>0</v>
      </c>
      <c r="AD527" s="1259">
        <f t="shared" si="178"/>
        <v>0</v>
      </c>
      <c r="AE527" s="1259">
        <f t="shared" si="178"/>
        <v>0</v>
      </c>
      <c r="AF527" s="1259">
        <f t="shared" si="178"/>
        <v>0</v>
      </c>
      <c r="AG527" s="1259">
        <f t="shared" si="178"/>
        <v>0</v>
      </c>
      <c r="AH527" s="1259">
        <f t="shared" si="178"/>
        <v>0</v>
      </c>
      <c r="AI527" s="1259">
        <f t="shared" si="178"/>
        <v>0</v>
      </c>
      <c r="AJ527" s="1259">
        <f t="shared" si="178"/>
        <v>0</v>
      </c>
      <c r="AK527" s="1259">
        <f t="shared" si="178"/>
        <v>0</v>
      </c>
      <c r="AL527" s="1259">
        <f t="shared" si="178"/>
        <v>0</v>
      </c>
      <c r="AM527" s="1259">
        <f t="shared" si="178"/>
        <v>0</v>
      </c>
      <c r="AN527" s="1259">
        <f t="shared" si="178"/>
        <v>0</v>
      </c>
      <c r="AO527" s="1259">
        <f t="shared" si="178"/>
        <v>0</v>
      </c>
      <c r="AP527" s="1259">
        <f t="shared" si="178"/>
        <v>0</v>
      </c>
      <c r="AQ527" s="1259">
        <f t="shared" si="178"/>
        <v>0</v>
      </c>
      <c r="AR527" s="1259">
        <f t="shared" si="178"/>
        <v>0</v>
      </c>
      <c r="AS527" s="1259">
        <f t="shared" si="178"/>
        <v>0</v>
      </c>
      <c r="AT527" s="1259">
        <f t="shared" si="178"/>
        <v>0</v>
      </c>
      <c r="AU527" s="1259">
        <f t="shared" si="178"/>
        <v>0</v>
      </c>
      <c r="AV527" s="1259">
        <f t="shared" si="178"/>
        <v>0</v>
      </c>
      <c r="AW527" s="1259">
        <f t="shared" si="178"/>
        <v>0</v>
      </c>
      <c r="AX527" s="1259">
        <f t="shared" si="178"/>
        <v>0</v>
      </c>
      <c r="AY527" s="1259">
        <f t="shared" si="178"/>
        <v>0</v>
      </c>
      <c r="AZ527" s="1259">
        <f t="shared" si="178"/>
        <v>0</v>
      </c>
      <c r="BA527" s="1259">
        <f t="shared" si="178"/>
        <v>0</v>
      </c>
      <c r="BB527" s="1259">
        <f t="shared" si="178"/>
        <v>0</v>
      </c>
      <c r="BC527" s="1259">
        <f t="shared" si="178"/>
        <v>0</v>
      </c>
      <c r="BD527" s="1259">
        <f t="shared" si="178"/>
        <v>0</v>
      </c>
      <c r="BE527" s="1260">
        <f t="shared" si="178"/>
        <v>0</v>
      </c>
    </row>
    <row r="528" spans="2:57" x14ac:dyDescent="0.25">
      <c r="B528" s="278"/>
      <c r="C528" s="279" t="s">
        <v>85</v>
      </c>
      <c r="D528" s="279"/>
      <c r="E528" s="279"/>
      <c r="F528" s="279"/>
      <c r="G528" s="279"/>
      <c r="H528" s="1257">
        <f>H526+H527</f>
        <v>0</v>
      </c>
      <c r="I528" s="1257">
        <f t="shared" ref="I528:BE528" si="179">I526+I527</f>
        <v>0</v>
      </c>
      <c r="J528" s="1257">
        <f t="shared" si="179"/>
        <v>0</v>
      </c>
      <c r="K528" s="1257">
        <f t="shared" si="179"/>
        <v>0</v>
      </c>
      <c r="L528" s="1257">
        <f t="shared" si="179"/>
        <v>0</v>
      </c>
      <c r="M528" s="1257">
        <f t="shared" si="179"/>
        <v>0</v>
      </c>
      <c r="N528" s="1257">
        <f t="shared" si="179"/>
        <v>0</v>
      </c>
      <c r="O528" s="1257">
        <f t="shared" si="179"/>
        <v>0</v>
      </c>
      <c r="P528" s="1257">
        <f t="shared" si="179"/>
        <v>0</v>
      </c>
      <c r="Q528" s="1257">
        <f t="shared" si="179"/>
        <v>0</v>
      </c>
      <c r="R528" s="1257">
        <f t="shared" si="179"/>
        <v>0</v>
      </c>
      <c r="S528" s="1257">
        <f t="shared" si="179"/>
        <v>0</v>
      </c>
      <c r="T528" s="1257">
        <f t="shared" si="179"/>
        <v>0</v>
      </c>
      <c r="U528" s="1257">
        <f t="shared" si="179"/>
        <v>0</v>
      </c>
      <c r="V528" s="1257">
        <f t="shared" si="179"/>
        <v>0</v>
      </c>
      <c r="W528" s="1257">
        <f t="shared" si="179"/>
        <v>0</v>
      </c>
      <c r="X528" s="1257">
        <f t="shared" si="179"/>
        <v>0</v>
      </c>
      <c r="Y528" s="1257">
        <f t="shared" si="179"/>
        <v>0</v>
      </c>
      <c r="Z528" s="1257">
        <f t="shared" si="179"/>
        <v>0</v>
      </c>
      <c r="AA528" s="1257">
        <f t="shared" si="179"/>
        <v>0</v>
      </c>
      <c r="AB528" s="1257">
        <f t="shared" si="179"/>
        <v>0</v>
      </c>
      <c r="AC528" s="1257">
        <f t="shared" si="179"/>
        <v>0</v>
      </c>
      <c r="AD528" s="1257">
        <f t="shared" si="179"/>
        <v>0</v>
      </c>
      <c r="AE528" s="1257">
        <f t="shared" si="179"/>
        <v>0</v>
      </c>
      <c r="AF528" s="1257">
        <f t="shared" si="179"/>
        <v>0</v>
      </c>
      <c r="AG528" s="1257">
        <f t="shared" si="179"/>
        <v>0</v>
      </c>
      <c r="AH528" s="1257">
        <f t="shared" si="179"/>
        <v>0</v>
      </c>
      <c r="AI528" s="1257">
        <f t="shared" si="179"/>
        <v>0</v>
      </c>
      <c r="AJ528" s="1257">
        <f t="shared" si="179"/>
        <v>0</v>
      </c>
      <c r="AK528" s="1257">
        <f t="shared" si="179"/>
        <v>0</v>
      </c>
      <c r="AL528" s="1257">
        <f t="shared" si="179"/>
        <v>0</v>
      </c>
      <c r="AM528" s="1257">
        <f t="shared" si="179"/>
        <v>0</v>
      </c>
      <c r="AN528" s="1257">
        <f t="shared" si="179"/>
        <v>0</v>
      </c>
      <c r="AO528" s="1257">
        <f t="shared" si="179"/>
        <v>0</v>
      </c>
      <c r="AP528" s="1257">
        <f t="shared" si="179"/>
        <v>0</v>
      </c>
      <c r="AQ528" s="1257">
        <f t="shared" si="179"/>
        <v>0</v>
      </c>
      <c r="AR528" s="1257">
        <f t="shared" si="179"/>
        <v>0</v>
      </c>
      <c r="AS528" s="1257">
        <f t="shared" si="179"/>
        <v>0</v>
      </c>
      <c r="AT528" s="1257">
        <f t="shared" si="179"/>
        <v>0</v>
      </c>
      <c r="AU528" s="1257">
        <f t="shared" si="179"/>
        <v>0</v>
      </c>
      <c r="AV528" s="1257">
        <f t="shared" si="179"/>
        <v>0</v>
      </c>
      <c r="AW528" s="1257">
        <f t="shared" si="179"/>
        <v>0</v>
      </c>
      <c r="AX528" s="1257">
        <f t="shared" si="179"/>
        <v>0</v>
      </c>
      <c r="AY528" s="1257">
        <f t="shared" si="179"/>
        <v>0</v>
      </c>
      <c r="AZ528" s="1257">
        <f t="shared" si="179"/>
        <v>0</v>
      </c>
      <c r="BA528" s="1257">
        <f t="shared" si="179"/>
        <v>0</v>
      </c>
      <c r="BB528" s="1257">
        <f t="shared" si="179"/>
        <v>0</v>
      </c>
      <c r="BC528" s="1257">
        <f t="shared" si="179"/>
        <v>0</v>
      </c>
      <c r="BD528" s="1257">
        <f t="shared" si="179"/>
        <v>0</v>
      </c>
      <c r="BE528" s="1258">
        <f t="shared" si="179"/>
        <v>0</v>
      </c>
    </row>
    <row r="529" spans="2:57" ht="13.8" thickBot="1" x14ac:dyDescent="0.3">
      <c r="B529" s="297"/>
      <c r="C529" s="298"/>
      <c r="D529" s="298"/>
      <c r="E529" s="298"/>
      <c r="F529" s="298"/>
      <c r="G529" s="298"/>
      <c r="H529" s="299"/>
      <c r="I529" s="299"/>
      <c r="J529" s="299"/>
      <c r="K529" s="299"/>
      <c r="L529" s="299"/>
      <c r="M529" s="299"/>
      <c r="N529" s="299"/>
      <c r="O529" s="299"/>
      <c r="P529" s="299"/>
      <c r="Q529" s="299"/>
      <c r="R529" s="299"/>
      <c r="S529" s="299"/>
      <c r="T529" s="299"/>
      <c r="U529" s="299"/>
      <c r="V529" s="299"/>
      <c r="W529" s="299"/>
      <c r="X529" s="299"/>
      <c r="Y529" s="299"/>
      <c r="Z529" s="299"/>
      <c r="AA529" s="299"/>
      <c r="AB529" s="299"/>
      <c r="AC529" s="299"/>
      <c r="AD529" s="299"/>
      <c r="AE529" s="299"/>
      <c r="AF529" s="299"/>
      <c r="AG529" s="299"/>
      <c r="AH529" s="299"/>
      <c r="AI529" s="299"/>
      <c r="AJ529" s="299"/>
      <c r="AK529" s="299"/>
      <c r="AL529" s="299"/>
      <c r="AM529" s="299"/>
      <c r="AN529" s="299"/>
      <c r="AO529" s="299"/>
      <c r="AP529" s="299"/>
      <c r="AQ529" s="299"/>
      <c r="AR529" s="299"/>
      <c r="AS529" s="299"/>
      <c r="AT529" s="299"/>
      <c r="AU529" s="299"/>
      <c r="AV529" s="299"/>
      <c r="AW529" s="299"/>
      <c r="AX529" s="299"/>
      <c r="AY529" s="299"/>
      <c r="AZ529" s="299"/>
      <c r="BA529" s="299"/>
      <c r="BB529" s="299"/>
      <c r="BC529" s="299"/>
      <c r="BD529" s="299"/>
      <c r="BE529" s="400"/>
    </row>
    <row r="530" spans="2:57" ht="15.75" customHeight="1" thickBot="1" x14ac:dyDescent="0.3">
      <c r="H530" s="250"/>
      <c r="I530" s="250"/>
      <c r="J530" s="250"/>
      <c r="K530" s="250"/>
      <c r="L530" s="250"/>
      <c r="M530" s="250"/>
      <c r="N530" s="250"/>
      <c r="O530" s="250"/>
      <c r="P530" s="250"/>
      <c r="Q530" s="250"/>
      <c r="R530" s="250"/>
      <c r="S530" s="250"/>
      <c r="T530" s="250"/>
      <c r="U530" s="250"/>
      <c r="V530" s="250"/>
      <c r="W530" s="250"/>
      <c r="X530" s="250"/>
      <c r="Y530" s="250"/>
      <c r="Z530" s="250"/>
      <c r="AA530" s="250"/>
      <c r="AB530" s="250"/>
      <c r="AC530" s="250"/>
      <c r="AD530" s="250"/>
      <c r="AE530" s="250"/>
      <c r="AF530" s="250"/>
      <c r="AG530" s="250"/>
      <c r="AH530" s="250"/>
      <c r="AI530" s="250"/>
      <c r="AJ530" s="250"/>
      <c r="AK530" s="250"/>
      <c r="AL530" s="250"/>
      <c r="AM530" s="250"/>
      <c r="AN530" s="250"/>
      <c r="AO530" s="250"/>
      <c r="AP530" s="250"/>
      <c r="AQ530" s="250"/>
      <c r="AR530" s="250"/>
      <c r="AS530" s="250"/>
      <c r="AT530" s="250"/>
      <c r="AU530" s="250"/>
      <c r="AV530" s="250"/>
      <c r="AW530" s="250"/>
      <c r="AX530" s="250"/>
      <c r="AY530" s="250"/>
      <c r="AZ530" s="250"/>
      <c r="BA530" s="250"/>
      <c r="BB530" s="250"/>
      <c r="BC530" s="250"/>
      <c r="BD530" s="250"/>
      <c r="BE530" s="250"/>
    </row>
    <row r="531" spans="2:57" s="36" customFormat="1" x14ac:dyDescent="0.25">
      <c r="B531" s="301" t="str">
        <f>B156</f>
        <v>LIGHT FUEL OIL</v>
      </c>
      <c r="C531" s="302"/>
      <c r="D531" s="302"/>
      <c r="E531" s="302"/>
      <c r="F531" s="302"/>
      <c r="G531" s="302"/>
      <c r="H531" s="302"/>
      <c r="I531" s="302"/>
      <c r="J531" s="302"/>
      <c r="K531" s="302"/>
      <c r="L531" s="302"/>
      <c r="M531" s="302"/>
      <c r="N531" s="302"/>
      <c r="O531" s="302"/>
      <c r="P531" s="302"/>
      <c r="Q531" s="302"/>
      <c r="R531" s="302"/>
      <c r="S531" s="302"/>
      <c r="T531" s="302"/>
      <c r="U531" s="302"/>
      <c r="V531" s="302"/>
      <c r="W531" s="302"/>
      <c r="X531" s="302"/>
      <c r="Y531" s="302"/>
      <c r="Z531" s="302"/>
      <c r="AA531" s="302"/>
      <c r="AB531" s="302"/>
      <c r="AC531" s="302"/>
      <c r="AD531" s="302"/>
      <c r="AE531" s="302"/>
      <c r="AF531" s="302"/>
      <c r="AG531" s="302"/>
      <c r="AH531" s="302"/>
      <c r="AI531" s="302"/>
      <c r="AJ531" s="302"/>
      <c r="AK531" s="302"/>
      <c r="AL531" s="302"/>
      <c r="AM531" s="302"/>
      <c r="AN531" s="302"/>
      <c r="AO531" s="302"/>
      <c r="AP531" s="302"/>
      <c r="AQ531" s="302"/>
      <c r="AR531" s="302"/>
      <c r="AS531" s="302"/>
      <c r="AT531" s="302"/>
      <c r="AU531" s="302"/>
      <c r="AV531" s="302"/>
      <c r="AW531" s="302"/>
      <c r="AX531" s="302"/>
      <c r="AY531" s="302"/>
      <c r="AZ531" s="302"/>
      <c r="BA531" s="302"/>
      <c r="BB531" s="302"/>
      <c r="BC531" s="302"/>
      <c r="BD531" s="302"/>
      <c r="BE531" s="303"/>
    </row>
    <row r="532" spans="2:57" x14ac:dyDescent="0.25">
      <c r="B532" s="304"/>
      <c r="C532" s="305"/>
      <c r="D532" s="305"/>
      <c r="E532" s="305"/>
      <c r="F532" s="305"/>
      <c r="G532" s="305"/>
      <c r="H532" s="305"/>
      <c r="I532" s="305"/>
      <c r="J532" s="305"/>
      <c r="K532" s="305"/>
      <c r="L532" s="305"/>
      <c r="M532" s="305"/>
      <c r="N532" s="305"/>
      <c r="O532" s="305"/>
      <c r="P532" s="305"/>
      <c r="Q532" s="305"/>
      <c r="R532" s="305"/>
      <c r="S532" s="305"/>
      <c r="T532" s="305"/>
      <c r="U532" s="305"/>
      <c r="V532" s="305"/>
      <c r="W532" s="305"/>
      <c r="X532" s="305"/>
      <c r="Y532" s="305"/>
      <c r="Z532" s="305"/>
      <c r="AA532" s="305"/>
      <c r="AB532" s="305"/>
      <c r="AC532" s="305"/>
      <c r="AD532" s="305"/>
      <c r="AE532" s="305"/>
      <c r="AF532" s="305"/>
      <c r="AG532" s="305"/>
      <c r="AH532" s="305"/>
      <c r="AI532" s="305"/>
      <c r="AJ532" s="305"/>
      <c r="AK532" s="305"/>
      <c r="AL532" s="305"/>
      <c r="AM532" s="305"/>
      <c r="AN532" s="305"/>
      <c r="AO532" s="305"/>
      <c r="AP532" s="305"/>
      <c r="AQ532" s="305"/>
      <c r="AR532" s="305"/>
      <c r="AS532" s="305"/>
      <c r="AT532" s="305"/>
      <c r="AU532" s="305"/>
      <c r="AV532" s="305"/>
      <c r="AW532" s="305"/>
      <c r="AX532" s="305"/>
      <c r="AY532" s="305"/>
      <c r="AZ532" s="305"/>
      <c r="BA532" s="305"/>
      <c r="BB532" s="305"/>
      <c r="BC532" s="305"/>
      <c r="BD532" s="305"/>
      <c r="BE532" s="306"/>
    </row>
    <row r="533" spans="2:57" x14ac:dyDescent="0.25">
      <c r="B533" s="316" t="s">
        <v>258</v>
      </c>
      <c r="C533" s="305"/>
      <c r="D533" s="305"/>
      <c r="E533" s="305"/>
      <c r="F533" s="305"/>
      <c r="G533" s="305"/>
      <c r="H533" s="305"/>
      <c r="I533" s="305"/>
      <c r="J533" s="305"/>
      <c r="K533" s="305"/>
      <c r="L533" s="305"/>
      <c r="M533" s="305"/>
      <c r="N533" s="305"/>
      <c r="O533" s="305"/>
      <c r="P533" s="305"/>
      <c r="Q533" s="305"/>
      <c r="R533" s="305"/>
      <c r="S533" s="305"/>
      <c r="T533" s="305"/>
      <c r="U533" s="305"/>
      <c r="V533" s="305"/>
      <c r="W533" s="305"/>
      <c r="X533" s="305"/>
      <c r="Y533" s="305"/>
      <c r="Z533" s="305"/>
      <c r="AA533" s="305"/>
      <c r="AB533" s="305"/>
      <c r="AC533" s="305"/>
      <c r="AD533" s="305"/>
      <c r="AE533" s="305"/>
      <c r="AF533" s="305"/>
      <c r="AG533" s="305"/>
      <c r="AH533" s="305"/>
      <c r="AI533" s="305"/>
      <c r="AJ533" s="305"/>
      <c r="AK533" s="305"/>
      <c r="AL533" s="305"/>
      <c r="AM533" s="305"/>
      <c r="AN533" s="305"/>
      <c r="AO533" s="305"/>
      <c r="AP533" s="305"/>
      <c r="AQ533" s="305"/>
      <c r="AR533" s="305"/>
      <c r="AS533" s="305"/>
      <c r="AT533" s="305"/>
      <c r="AU533" s="305"/>
      <c r="AV533" s="305"/>
      <c r="AW533" s="305"/>
      <c r="AX533" s="305"/>
      <c r="AY533" s="305"/>
      <c r="AZ533" s="305"/>
      <c r="BA533" s="305"/>
      <c r="BB533" s="305"/>
      <c r="BC533" s="305"/>
      <c r="BD533" s="305"/>
      <c r="BE533" s="306"/>
    </row>
    <row r="534" spans="2:57" x14ac:dyDescent="0.25">
      <c r="B534" s="304"/>
      <c r="C534" s="401" t="s">
        <v>68</v>
      </c>
      <c r="D534" s="308" t="s">
        <v>631</v>
      </c>
      <c r="E534" s="305"/>
      <c r="F534" s="305"/>
      <c r="G534" s="1268">
        <f>IF('II. Inputs, Baseline Energy Mix'!$Q$15&gt;0,('II. Inputs, Baseline Energy Mix'!$Q$16*'II. Inputs, Baseline Energy Mix'!$Q$17*'II. Inputs, Baseline Energy Mix'!$Q$30*'II. Inputs, Baseline Energy Mix'!$Q$32),0)</f>
        <v>0</v>
      </c>
      <c r="H534" s="305"/>
      <c r="I534" s="305"/>
      <c r="J534" s="305"/>
      <c r="K534" s="305"/>
      <c r="L534" s="305"/>
      <c r="M534" s="305"/>
      <c r="N534" s="305"/>
      <c r="O534" s="305"/>
      <c r="P534" s="305"/>
      <c r="Q534" s="305"/>
      <c r="R534" s="305"/>
      <c r="S534" s="305"/>
      <c r="T534" s="305"/>
      <c r="U534" s="305"/>
      <c r="V534" s="305"/>
      <c r="W534" s="305"/>
      <c r="X534" s="305"/>
      <c r="Y534" s="305"/>
      <c r="Z534" s="305"/>
      <c r="AA534" s="305"/>
      <c r="AB534" s="305"/>
      <c r="AC534" s="305"/>
      <c r="AD534" s="305"/>
      <c r="AE534" s="305"/>
      <c r="AF534" s="305"/>
      <c r="AG534" s="305"/>
      <c r="AH534" s="305"/>
      <c r="AI534" s="305"/>
      <c r="AJ534" s="305"/>
      <c r="AK534" s="305"/>
      <c r="AL534" s="305"/>
      <c r="AM534" s="305"/>
      <c r="AN534" s="305"/>
      <c r="AO534" s="305"/>
      <c r="AP534" s="305"/>
      <c r="AQ534" s="305"/>
      <c r="AR534" s="305"/>
      <c r="AS534" s="305"/>
      <c r="AT534" s="305"/>
      <c r="AU534" s="305"/>
      <c r="AV534" s="305"/>
      <c r="AW534" s="305"/>
      <c r="AX534" s="305"/>
      <c r="AY534" s="305"/>
      <c r="AZ534" s="305"/>
      <c r="BA534" s="305"/>
      <c r="BB534" s="305"/>
      <c r="BC534" s="305"/>
      <c r="BD534" s="305"/>
      <c r="BE534" s="306"/>
    </row>
    <row r="535" spans="2:57" x14ac:dyDescent="0.25">
      <c r="B535" s="304"/>
      <c r="C535" s="401" t="s">
        <v>69</v>
      </c>
      <c r="D535" s="308" t="s">
        <v>20</v>
      </c>
      <c r="E535" s="305"/>
      <c r="F535" s="305"/>
      <c r="G535" s="307">
        <f>SUM('II. Inputs, Baseline Energy Mix'!$Q$69)</f>
        <v>0</v>
      </c>
      <c r="H535" s="305"/>
      <c r="I535" s="305"/>
      <c r="J535" s="305"/>
      <c r="K535" s="305"/>
      <c r="L535" s="305"/>
      <c r="M535" s="305"/>
      <c r="N535" s="305"/>
      <c r="O535" s="305"/>
      <c r="P535" s="305"/>
      <c r="Q535" s="305"/>
      <c r="R535" s="305"/>
      <c r="S535" s="305"/>
      <c r="T535" s="305"/>
      <c r="U535" s="305"/>
      <c r="V535" s="305"/>
      <c r="W535" s="305"/>
      <c r="X535" s="305"/>
      <c r="Y535" s="305"/>
      <c r="Z535" s="305"/>
      <c r="AA535" s="305"/>
      <c r="AB535" s="305"/>
      <c r="AC535" s="305"/>
      <c r="AD535" s="305"/>
      <c r="AE535" s="305"/>
      <c r="AF535" s="305"/>
      <c r="AG535" s="305"/>
      <c r="AH535" s="305"/>
      <c r="AI535" s="305"/>
      <c r="AJ535" s="305"/>
      <c r="AK535" s="305"/>
      <c r="AL535" s="305"/>
      <c r="AM535" s="305"/>
      <c r="AN535" s="305"/>
      <c r="AO535" s="305"/>
      <c r="AP535" s="305"/>
      <c r="AQ535" s="305"/>
      <c r="AR535" s="305"/>
      <c r="AS535" s="305"/>
      <c r="AT535" s="305"/>
      <c r="AU535" s="305"/>
      <c r="AV535" s="305"/>
      <c r="AW535" s="305"/>
      <c r="AX535" s="305"/>
      <c r="AY535" s="305"/>
      <c r="AZ535" s="305"/>
      <c r="BA535" s="305"/>
      <c r="BB535" s="305"/>
      <c r="BC535" s="305"/>
      <c r="BD535" s="305"/>
      <c r="BE535" s="306"/>
    </row>
    <row r="536" spans="2:57" x14ac:dyDescent="0.25">
      <c r="B536" s="304"/>
      <c r="C536" s="401" t="s">
        <v>70</v>
      </c>
      <c r="D536" s="308" t="s">
        <v>16</v>
      </c>
      <c r="E536" s="305"/>
      <c r="F536" s="305"/>
      <c r="G536" s="402">
        <f>SUM('II. Inputs, Baseline Energy Mix'!$Q$68)</f>
        <v>0</v>
      </c>
      <c r="H536" s="305"/>
      <c r="I536" s="305"/>
      <c r="J536" s="305"/>
      <c r="K536" s="305"/>
      <c r="L536" s="305"/>
      <c r="M536" s="305"/>
      <c r="N536" s="305"/>
      <c r="O536" s="305"/>
      <c r="P536" s="305"/>
      <c r="Q536" s="305"/>
      <c r="R536" s="305"/>
      <c r="S536" s="305"/>
      <c r="T536" s="305"/>
      <c r="U536" s="305"/>
      <c r="V536" s="305"/>
      <c r="W536" s="305"/>
      <c r="X536" s="305"/>
      <c r="Y536" s="305"/>
      <c r="Z536" s="305"/>
      <c r="AA536" s="305"/>
      <c r="AB536" s="305"/>
      <c r="AC536" s="305"/>
      <c r="AD536" s="305"/>
      <c r="AE536" s="305"/>
      <c r="AF536" s="305"/>
      <c r="AG536" s="305"/>
      <c r="AH536" s="305"/>
      <c r="AI536" s="305"/>
      <c r="AJ536" s="305"/>
      <c r="AK536" s="305"/>
      <c r="AL536" s="305"/>
      <c r="AM536" s="305"/>
      <c r="AN536" s="305"/>
      <c r="AO536" s="305"/>
      <c r="AP536" s="305"/>
      <c r="AQ536" s="305"/>
      <c r="AR536" s="305"/>
      <c r="AS536" s="305"/>
      <c r="AT536" s="305"/>
      <c r="AU536" s="305"/>
      <c r="AV536" s="305"/>
      <c r="AW536" s="305"/>
      <c r="AX536" s="305"/>
      <c r="AY536" s="305"/>
      <c r="AZ536" s="305"/>
      <c r="BA536" s="305"/>
      <c r="BB536" s="305"/>
      <c r="BC536" s="305"/>
      <c r="BD536" s="305"/>
      <c r="BE536" s="306"/>
    </row>
    <row r="537" spans="2:57" x14ac:dyDescent="0.25">
      <c r="B537" s="304"/>
      <c r="C537" s="305"/>
      <c r="D537" s="305"/>
      <c r="E537" s="305"/>
      <c r="F537" s="305"/>
      <c r="G537" s="305"/>
      <c r="H537" s="305"/>
      <c r="I537" s="305"/>
      <c r="J537" s="305"/>
      <c r="K537" s="305"/>
      <c r="L537" s="305"/>
      <c r="M537" s="305"/>
      <c r="N537" s="305"/>
      <c r="O537" s="305"/>
      <c r="P537" s="305"/>
      <c r="Q537" s="305"/>
      <c r="R537" s="305"/>
      <c r="S537" s="305"/>
      <c r="T537" s="305"/>
      <c r="U537" s="305"/>
      <c r="V537" s="305"/>
      <c r="W537" s="305"/>
      <c r="X537" s="305"/>
      <c r="Y537" s="305"/>
      <c r="Z537" s="305"/>
      <c r="AA537" s="305"/>
      <c r="AB537" s="305"/>
      <c r="AC537" s="305"/>
      <c r="AD537" s="305"/>
      <c r="AE537" s="305"/>
      <c r="AF537" s="305"/>
      <c r="AG537" s="305"/>
      <c r="AH537" s="305"/>
      <c r="AI537" s="305"/>
      <c r="AJ537" s="305"/>
      <c r="AK537" s="305"/>
      <c r="AL537" s="305"/>
      <c r="AM537" s="305"/>
      <c r="AN537" s="305"/>
      <c r="AO537" s="305"/>
      <c r="AP537" s="305"/>
      <c r="AQ537" s="305"/>
      <c r="AR537" s="305"/>
      <c r="AS537" s="305"/>
      <c r="AT537" s="305"/>
      <c r="AU537" s="305"/>
      <c r="AV537" s="305"/>
      <c r="AW537" s="305"/>
      <c r="AX537" s="305"/>
      <c r="AY537" s="305"/>
      <c r="AZ537" s="305"/>
      <c r="BA537" s="305"/>
      <c r="BB537" s="305"/>
      <c r="BC537" s="305"/>
      <c r="BD537" s="305"/>
      <c r="BE537" s="306"/>
    </row>
    <row r="538" spans="2:57" x14ac:dyDescent="0.25">
      <c r="B538" s="304"/>
      <c r="C538" s="403" t="s">
        <v>67</v>
      </c>
      <c r="D538" s="305"/>
      <c r="E538" s="305"/>
      <c r="F538" s="305"/>
      <c r="G538" s="305"/>
      <c r="H538" s="305"/>
      <c r="I538" s="305"/>
      <c r="J538" s="305"/>
      <c r="K538" s="305"/>
      <c r="L538" s="305"/>
      <c r="M538" s="305"/>
      <c r="N538" s="305"/>
      <c r="O538" s="305"/>
      <c r="P538" s="305"/>
      <c r="Q538" s="305"/>
      <c r="R538" s="305"/>
      <c r="S538" s="305"/>
      <c r="T538" s="305"/>
      <c r="U538" s="305"/>
      <c r="V538" s="305"/>
      <c r="W538" s="305"/>
      <c r="X538" s="305"/>
      <c r="Y538" s="305"/>
      <c r="Z538" s="305"/>
      <c r="AA538" s="305"/>
      <c r="AB538" s="305"/>
      <c r="AC538" s="305"/>
      <c r="AD538" s="305"/>
      <c r="AE538" s="305"/>
      <c r="AF538" s="305"/>
      <c r="AG538" s="305"/>
      <c r="AH538" s="305"/>
      <c r="AI538" s="305"/>
      <c r="AJ538" s="305"/>
      <c r="AK538" s="305"/>
      <c r="AL538" s="305"/>
      <c r="AM538" s="305"/>
      <c r="AN538" s="305"/>
      <c r="AO538" s="305"/>
      <c r="AP538" s="305"/>
      <c r="AQ538" s="305"/>
      <c r="AR538" s="305"/>
      <c r="AS538" s="305"/>
      <c r="AT538" s="305"/>
      <c r="AU538" s="305"/>
      <c r="AV538" s="305"/>
      <c r="AW538" s="305"/>
      <c r="AX538" s="305"/>
      <c r="AY538" s="305"/>
      <c r="AZ538" s="305"/>
      <c r="BA538" s="305"/>
      <c r="BB538" s="305"/>
      <c r="BC538" s="305"/>
      <c r="BD538" s="305"/>
      <c r="BE538" s="306"/>
    </row>
    <row r="539" spans="2:57" x14ac:dyDescent="0.25">
      <c r="B539" s="304"/>
      <c r="C539" s="305" t="s">
        <v>73</v>
      </c>
      <c r="D539" s="305"/>
      <c r="E539" s="305"/>
      <c r="F539" s="305"/>
      <c r="G539" s="1268"/>
      <c r="H539" s="1268">
        <f>IF(H$299&gt;$G535,0,IPMT($G536,H$299,$G535,-$G534))</f>
        <v>0</v>
      </c>
      <c r="I539" s="1268">
        <f>IF(I$299&gt;$G535,0,IPMT($G536,I$299,$G535,-$G534))</f>
        <v>0</v>
      </c>
      <c r="J539" s="1268">
        <f>IF(J$299&gt;$G535,0,IPMT($G536,J$299,$G535,-$G534))</f>
        <v>0</v>
      </c>
      <c r="K539" s="1268">
        <f>IF(K$299&gt;$G535,0,IPMT($G536,K$299,$G535,-$G534))</f>
        <v>0</v>
      </c>
      <c r="L539" s="1268">
        <f t="shared" ref="L539:BE539" si="180">IF(L$299&gt;$G535,0,IPMT($G536,L$299,$G535,-$G534))</f>
        <v>0</v>
      </c>
      <c r="M539" s="1268">
        <f t="shared" si="180"/>
        <v>0</v>
      </c>
      <c r="N539" s="1268">
        <f t="shared" si="180"/>
        <v>0</v>
      </c>
      <c r="O539" s="1268">
        <f t="shared" si="180"/>
        <v>0</v>
      </c>
      <c r="P539" s="1268">
        <f t="shared" si="180"/>
        <v>0</v>
      </c>
      <c r="Q539" s="1268">
        <f t="shared" si="180"/>
        <v>0</v>
      </c>
      <c r="R539" s="1268">
        <f t="shared" si="180"/>
        <v>0</v>
      </c>
      <c r="S539" s="1268">
        <f t="shared" si="180"/>
        <v>0</v>
      </c>
      <c r="T539" s="1268">
        <f t="shared" si="180"/>
        <v>0</v>
      </c>
      <c r="U539" s="1268">
        <f t="shared" si="180"/>
        <v>0</v>
      </c>
      <c r="V539" s="1268">
        <f t="shared" si="180"/>
        <v>0</v>
      </c>
      <c r="W539" s="1268">
        <f t="shared" si="180"/>
        <v>0</v>
      </c>
      <c r="X539" s="1268">
        <f t="shared" si="180"/>
        <v>0</v>
      </c>
      <c r="Y539" s="1268">
        <f t="shared" si="180"/>
        <v>0</v>
      </c>
      <c r="Z539" s="1268">
        <f t="shared" si="180"/>
        <v>0</v>
      </c>
      <c r="AA539" s="1268">
        <f t="shared" si="180"/>
        <v>0</v>
      </c>
      <c r="AB539" s="1268">
        <f t="shared" si="180"/>
        <v>0</v>
      </c>
      <c r="AC539" s="1268">
        <f t="shared" si="180"/>
        <v>0</v>
      </c>
      <c r="AD539" s="1268">
        <f t="shared" si="180"/>
        <v>0</v>
      </c>
      <c r="AE539" s="1268">
        <f t="shared" si="180"/>
        <v>0</v>
      </c>
      <c r="AF539" s="1268">
        <f t="shared" si="180"/>
        <v>0</v>
      </c>
      <c r="AG539" s="1268">
        <f t="shared" si="180"/>
        <v>0</v>
      </c>
      <c r="AH539" s="1268">
        <f t="shared" si="180"/>
        <v>0</v>
      </c>
      <c r="AI539" s="1268">
        <f t="shared" si="180"/>
        <v>0</v>
      </c>
      <c r="AJ539" s="1268">
        <f t="shared" si="180"/>
        <v>0</v>
      </c>
      <c r="AK539" s="1268">
        <f t="shared" si="180"/>
        <v>0</v>
      </c>
      <c r="AL539" s="1268">
        <f t="shared" si="180"/>
        <v>0</v>
      </c>
      <c r="AM539" s="1268">
        <f t="shared" si="180"/>
        <v>0</v>
      </c>
      <c r="AN539" s="1268">
        <f t="shared" si="180"/>
        <v>0</v>
      </c>
      <c r="AO539" s="1268">
        <f t="shared" si="180"/>
        <v>0</v>
      </c>
      <c r="AP539" s="1268">
        <f t="shared" si="180"/>
        <v>0</v>
      </c>
      <c r="AQ539" s="1268">
        <f t="shared" si="180"/>
        <v>0</v>
      </c>
      <c r="AR539" s="1268">
        <f t="shared" si="180"/>
        <v>0</v>
      </c>
      <c r="AS539" s="1268">
        <f t="shared" si="180"/>
        <v>0</v>
      </c>
      <c r="AT539" s="1268">
        <f t="shared" si="180"/>
        <v>0</v>
      </c>
      <c r="AU539" s="1268">
        <f t="shared" si="180"/>
        <v>0</v>
      </c>
      <c r="AV539" s="1268">
        <f t="shared" si="180"/>
        <v>0</v>
      </c>
      <c r="AW539" s="1268">
        <f t="shared" si="180"/>
        <v>0</v>
      </c>
      <c r="AX539" s="1268">
        <f t="shared" si="180"/>
        <v>0</v>
      </c>
      <c r="AY539" s="1268">
        <f t="shared" si="180"/>
        <v>0</v>
      </c>
      <c r="AZ539" s="1268">
        <f t="shared" si="180"/>
        <v>0</v>
      </c>
      <c r="BA539" s="1268">
        <f t="shared" si="180"/>
        <v>0</v>
      </c>
      <c r="BB539" s="1268">
        <f t="shared" si="180"/>
        <v>0</v>
      </c>
      <c r="BC539" s="1268">
        <f t="shared" si="180"/>
        <v>0</v>
      </c>
      <c r="BD539" s="1268">
        <f t="shared" si="180"/>
        <v>0</v>
      </c>
      <c r="BE539" s="1269">
        <f t="shared" si="180"/>
        <v>0</v>
      </c>
    </row>
    <row r="540" spans="2:57" x14ac:dyDescent="0.25">
      <c r="B540" s="304"/>
      <c r="C540" s="312" t="s">
        <v>72</v>
      </c>
      <c r="D540" s="312"/>
      <c r="E540" s="312"/>
      <c r="F540" s="312"/>
      <c r="G540" s="1270"/>
      <c r="H540" s="1270">
        <f>IF(H$299&gt;$G535,0,PPMT($G536,H$299,$G535,-$G534))</f>
        <v>0</v>
      </c>
      <c r="I540" s="1270">
        <f>IF(I$299&gt;$G535,0,PPMT($G536,I$299,$G535,-$G534))</f>
        <v>0</v>
      </c>
      <c r="J540" s="1270">
        <f>IF(J$299&gt;$G535,0,PPMT($G536,J$299,$G535,-$G534))</f>
        <v>0</v>
      </c>
      <c r="K540" s="1270">
        <f>IF(K$299&gt;$G535,0,PPMT($G536,K$299,$G535,-$G534))</f>
        <v>0</v>
      </c>
      <c r="L540" s="1270">
        <f t="shared" ref="L540:BE540" si="181">IF(L$299&gt;$G535,0,PPMT($G536,L$299,$G535,-$G534))</f>
        <v>0</v>
      </c>
      <c r="M540" s="1270">
        <f t="shared" si="181"/>
        <v>0</v>
      </c>
      <c r="N540" s="1270">
        <f t="shared" si="181"/>
        <v>0</v>
      </c>
      <c r="O540" s="1270">
        <f t="shared" si="181"/>
        <v>0</v>
      </c>
      <c r="P540" s="1270">
        <f t="shared" si="181"/>
        <v>0</v>
      </c>
      <c r="Q540" s="1270">
        <f t="shared" si="181"/>
        <v>0</v>
      </c>
      <c r="R540" s="1270">
        <f t="shared" si="181"/>
        <v>0</v>
      </c>
      <c r="S540" s="1270">
        <f t="shared" si="181"/>
        <v>0</v>
      </c>
      <c r="T540" s="1270">
        <f t="shared" si="181"/>
        <v>0</v>
      </c>
      <c r="U540" s="1270">
        <f t="shared" si="181"/>
        <v>0</v>
      </c>
      <c r="V540" s="1270">
        <f t="shared" si="181"/>
        <v>0</v>
      </c>
      <c r="W540" s="1270">
        <f t="shared" si="181"/>
        <v>0</v>
      </c>
      <c r="X540" s="1270">
        <f t="shared" si="181"/>
        <v>0</v>
      </c>
      <c r="Y540" s="1270">
        <f t="shared" si="181"/>
        <v>0</v>
      </c>
      <c r="Z540" s="1270">
        <f t="shared" si="181"/>
        <v>0</v>
      </c>
      <c r="AA540" s="1270">
        <f t="shared" si="181"/>
        <v>0</v>
      </c>
      <c r="AB540" s="1270">
        <f t="shared" si="181"/>
        <v>0</v>
      </c>
      <c r="AC540" s="1270">
        <f t="shared" si="181"/>
        <v>0</v>
      </c>
      <c r="AD540" s="1270">
        <f t="shared" si="181"/>
        <v>0</v>
      </c>
      <c r="AE540" s="1270">
        <f t="shared" si="181"/>
        <v>0</v>
      </c>
      <c r="AF540" s="1270">
        <f t="shared" si="181"/>
        <v>0</v>
      </c>
      <c r="AG540" s="1270">
        <f t="shared" si="181"/>
        <v>0</v>
      </c>
      <c r="AH540" s="1270">
        <f t="shared" si="181"/>
        <v>0</v>
      </c>
      <c r="AI540" s="1270">
        <f t="shared" si="181"/>
        <v>0</v>
      </c>
      <c r="AJ540" s="1270">
        <f t="shared" si="181"/>
        <v>0</v>
      </c>
      <c r="AK540" s="1270">
        <f t="shared" si="181"/>
        <v>0</v>
      </c>
      <c r="AL540" s="1270">
        <f t="shared" si="181"/>
        <v>0</v>
      </c>
      <c r="AM540" s="1270">
        <f t="shared" si="181"/>
        <v>0</v>
      </c>
      <c r="AN540" s="1270">
        <f t="shared" si="181"/>
        <v>0</v>
      </c>
      <c r="AO540" s="1270">
        <f t="shared" si="181"/>
        <v>0</v>
      </c>
      <c r="AP540" s="1270">
        <f t="shared" si="181"/>
        <v>0</v>
      </c>
      <c r="AQ540" s="1270">
        <f t="shared" si="181"/>
        <v>0</v>
      </c>
      <c r="AR540" s="1270">
        <f t="shared" si="181"/>
        <v>0</v>
      </c>
      <c r="AS540" s="1270">
        <f t="shared" si="181"/>
        <v>0</v>
      </c>
      <c r="AT540" s="1270">
        <f t="shared" si="181"/>
        <v>0</v>
      </c>
      <c r="AU540" s="1270">
        <f t="shared" si="181"/>
        <v>0</v>
      </c>
      <c r="AV540" s="1270">
        <f t="shared" si="181"/>
        <v>0</v>
      </c>
      <c r="AW540" s="1270">
        <f t="shared" si="181"/>
        <v>0</v>
      </c>
      <c r="AX540" s="1270">
        <f t="shared" si="181"/>
        <v>0</v>
      </c>
      <c r="AY540" s="1270">
        <f t="shared" si="181"/>
        <v>0</v>
      </c>
      <c r="AZ540" s="1270">
        <f t="shared" si="181"/>
        <v>0</v>
      </c>
      <c r="BA540" s="1270">
        <f t="shared" si="181"/>
        <v>0</v>
      </c>
      <c r="BB540" s="1270">
        <f t="shared" si="181"/>
        <v>0</v>
      </c>
      <c r="BC540" s="1270">
        <f t="shared" si="181"/>
        <v>0</v>
      </c>
      <c r="BD540" s="1270">
        <f t="shared" si="181"/>
        <v>0</v>
      </c>
      <c r="BE540" s="1271">
        <f t="shared" si="181"/>
        <v>0</v>
      </c>
    </row>
    <row r="541" spans="2:57" x14ac:dyDescent="0.25">
      <c r="B541" s="304"/>
      <c r="C541" s="305" t="s">
        <v>74</v>
      </c>
      <c r="D541" s="305"/>
      <c r="E541" s="305"/>
      <c r="F541" s="305"/>
      <c r="G541" s="1268"/>
      <c r="H541" s="1268">
        <f>SUM(H539:H540)</f>
        <v>0</v>
      </c>
      <c r="I541" s="1268">
        <f t="shared" ref="I541:BE541" si="182">SUM(I539:I540)</f>
        <v>0</v>
      </c>
      <c r="J541" s="1268">
        <f t="shared" si="182"/>
        <v>0</v>
      </c>
      <c r="K541" s="1268">
        <f t="shared" si="182"/>
        <v>0</v>
      </c>
      <c r="L541" s="1268">
        <f t="shared" si="182"/>
        <v>0</v>
      </c>
      <c r="M541" s="1268">
        <f t="shared" si="182"/>
        <v>0</v>
      </c>
      <c r="N541" s="1268">
        <f t="shared" si="182"/>
        <v>0</v>
      </c>
      <c r="O541" s="1268">
        <f t="shared" si="182"/>
        <v>0</v>
      </c>
      <c r="P541" s="1268">
        <f t="shared" si="182"/>
        <v>0</v>
      </c>
      <c r="Q541" s="1268">
        <f t="shared" si="182"/>
        <v>0</v>
      </c>
      <c r="R541" s="1268">
        <f t="shared" si="182"/>
        <v>0</v>
      </c>
      <c r="S541" s="1268">
        <f t="shared" si="182"/>
        <v>0</v>
      </c>
      <c r="T541" s="1268">
        <f t="shared" si="182"/>
        <v>0</v>
      </c>
      <c r="U541" s="1268">
        <f t="shared" si="182"/>
        <v>0</v>
      </c>
      <c r="V541" s="1268">
        <f t="shared" si="182"/>
        <v>0</v>
      </c>
      <c r="W541" s="1268">
        <f t="shared" si="182"/>
        <v>0</v>
      </c>
      <c r="X541" s="1268">
        <f t="shared" si="182"/>
        <v>0</v>
      </c>
      <c r="Y541" s="1268">
        <f t="shared" si="182"/>
        <v>0</v>
      </c>
      <c r="Z541" s="1268">
        <f t="shared" si="182"/>
        <v>0</v>
      </c>
      <c r="AA541" s="1268">
        <f t="shared" si="182"/>
        <v>0</v>
      </c>
      <c r="AB541" s="1268">
        <f t="shared" si="182"/>
        <v>0</v>
      </c>
      <c r="AC541" s="1268">
        <f t="shared" si="182"/>
        <v>0</v>
      </c>
      <c r="AD541" s="1268">
        <f t="shared" si="182"/>
        <v>0</v>
      </c>
      <c r="AE541" s="1268">
        <f t="shared" si="182"/>
        <v>0</v>
      </c>
      <c r="AF541" s="1268">
        <f t="shared" si="182"/>
        <v>0</v>
      </c>
      <c r="AG541" s="1268">
        <f t="shared" si="182"/>
        <v>0</v>
      </c>
      <c r="AH541" s="1268">
        <f t="shared" si="182"/>
        <v>0</v>
      </c>
      <c r="AI541" s="1268">
        <f t="shared" si="182"/>
        <v>0</v>
      </c>
      <c r="AJ541" s="1268">
        <f t="shared" si="182"/>
        <v>0</v>
      </c>
      <c r="AK541" s="1268">
        <f t="shared" si="182"/>
        <v>0</v>
      </c>
      <c r="AL541" s="1268">
        <f t="shared" si="182"/>
        <v>0</v>
      </c>
      <c r="AM541" s="1268">
        <f t="shared" si="182"/>
        <v>0</v>
      </c>
      <c r="AN541" s="1268">
        <f t="shared" si="182"/>
        <v>0</v>
      </c>
      <c r="AO541" s="1268">
        <f t="shared" si="182"/>
        <v>0</v>
      </c>
      <c r="AP541" s="1268">
        <f t="shared" si="182"/>
        <v>0</v>
      </c>
      <c r="AQ541" s="1268">
        <f t="shared" si="182"/>
        <v>0</v>
      </c>
      <c r="AR541" s="1268">
        <f t="shared" si="182"/>
        <v>0</v>
      </c>
      <c r="AS541" s="1268">
        <f t="shared" si="182"/>
        <v>0</v>
      </c>
      <c r="AT541" s="1268">
        <f t="shared" si="182"/>
        <v>0</v>
      </c>
      <c r="AU541" s="1268">
        <f t="shared" si="182"/>
        <v>0</v>
      </c>
      <c r="AV541" s="1268">
        <f t="shared" si="182"/>
        <v>0</v>
      </c>
      <c r="AW541" s="1268">
        <f t="shared" si="182"/>
        <v>0</v>
      </c>
      <c r="AX541" s="1268">
        <f t="shared" si="182"/>
        <v>0</v>
      </c>
      <c r="AY541" s="1268">
        <f t="shared" si="182"/>
        <v>0</v>
      </c>
      <c r="AZ541" s="1268">
        <f t="shared" si="182"/>
        <v>0</v>
      </c>
      <c r="BA541" s="1268">
        <f t="shared" si="182"/>
        <v>0</v>
      </c>
      <c r="BB541" s="1268">
        <f t="shared" si="182"/>
        <v>0</v>
      </c>
      <c r="BC541" s="1268">
        <f t="shared" si="182"/>
        <v>0</v>
      </c>
      <c r="BD541" s="1268">
        <f t="shared" si="182"/>
        <v>0</v>
      </c>
      <c r="BE541" s="1269">
        <f t="shared" si="182"/>
        <v>0</v>
      </c>
    </row>
    <row r="542" spans="2:57" x14ac:dyDescent="0.25">
      <c r="B542" s="304"/>
      <c r="C542" s="305"/>
      <c r="D542" s="305"/>
      <c r="E542" s="305"/>
      <c r="F542" s="305"/>
      <c r="G542" s="1268"/>
      <c r="H542" s="1268"/>
      <c r="I542" s="1268"/>
      <c r="J542" s="1268"/>
      <c r="K542" s="1268"/>
      <c r="L542" s="1268"/>
      <c r="M542" s="1268"/>
      <c r="N542" s="1268"/>
      <c r="O542" s="1268"/>
      <c r="P542" s="1268"/>
      <c r="Q542" s="1268"/>
      <c r="R542" s="1268"/>
      <c r="S542" s="1268"/>
      <c r="T542" s="1268"/>
      <c r="U542" s="1268"/>
      <c r="V542" s="1268"/>
      <c r="W542" s="1268"/>
      <c r="X542" s="1268"/>
      <c r="Y542" s="1268"/>
      <c r="Z542" s="1268"/>
      <c r="AA542" s="1268"/>
      <c r="AB542" s="1268"/>
      <c r="AC542" s="1268"/>
      <c r="AD542" s="1268"/>
      <c r="AE542" s="1268"/>
      <c r="AF542" s="1268"/>
      <c r="AG542" s="1268"/>
      <c r="AH542" s="1268"/>
      <c r="AI542" s="1268"/>
      <c r="AJ542" s="1268"/>
      <c r="AK542" s="1268"/>
      <c r="AL542" s="1268"/>
      <c r="AM542" s="1268"/>
      <c r="AN542" s="1268"/>
      <c r="AO542" s="1268"/>
      <c r="AP542" s="1268"/>
      <c r="AQ542" s="1268"/>
      <c r="AR542" s="1268"/>
      <c r="AS542" s="1268"/>
      <c r="AT542" s="1268"/>
      <c r="AU542" s="1268"/>
      <c r="AV542" s="1268"/>
      <c r="AW542" s="1268"/>
      <c r="AX542" s="1268"/>
      <c r="AY542" s="1268"/>
      <c r="AZ542" s="1268"/>
      <c r="BA542" s="1268"/>
      <c r="BB542" s="1268"/>
      <c r="BC542" s="1268"/>
      <c r="BD542" s="1268"/>
      <c r="BE542" s="1269"/>
    </row>
    <row r="543" spans="2:57" x14ac:dyDescent="0.25">
      <c r="B543" s="304"/>
      <c r="C543" s="404" t="s">
        <v>65</v>
      </c>
      <c r="D543" s="305"/>
      <c r="E543" s="305"/>
      <c r="F543" s="305"/>
      <c r="G543" s="1268"/>
      <c r="H543" s="1268"/>
      <c r="I543" s="1268"/>
      <c r="J543" s="1268"/>
      <c r="K543" s="1268"/>
      <c r="L543" s="1268"/>
      <c r="M543" s="1268"/>
      <c r="N543" s="1268"/>
      <c r="O543" s="1268"/>
      <c r="P543" s="1268"/>
      <c r="Q543" s="1268"/>
      <c r="R543" s="1268"/>
      <c r="S543" s="1268"/>
      <c r="T543" s="1268"/>
      <c r="U543" s="1268"/>
      <c r="V543" s="1268"/>
      <c r="W543" s="1268"/>
      <c r="X543" s="1268"/>
      <c r="Y543" s="1268"/>
      <c r="Z543" s="1268"/>
      <c r="AA543" s="1268"/>
      <c r="AB543" s="1268"/>
      <c r="AC543" s="1268"/>
      <c r="AD543" s="1268"/>
      <c r="AE543" s="1268"/>
      <c r="AF543" s="1268"/>
      <c r="AG543" s="1268"/>
      <c r="AH543" s="1268"/>
      <c r="AI543" s="1268"/>
      <c r="AJ543" s="1268"/>
      <c r="AK543" s="1268"/>
      <c r="AL543" s="1268"/>
      <c r="AM543" s="1268"/>
      <c r="AN543" s="1268"/>
      <c r="AO543" s="1268"/>
      <c r="AP543" s="1268"/>
      <c r="AQ543" s="1268"/>
      <c r="AR543" s="1268"/>
      <c r="AS543" s="1268"/>
      <c r="AT543" s="1268"/>
      <c r="AU543" s="1268"/>
      <c r="AV543" s="1268"/>
      <c r="AW543" s="1268"/>
      <c r="AX543" s="1268"/>
      <c r="AY543" s="1268"/>
      <c r="AZ543" s="1268"/>
      <c r="BA543" s="1268"/>
      <c r="BB543" s="1268"/>
      <c r="BC543" s="1268"/>
      <c r="BD543" s="1268"/>
      <c r="BE543" s="1269"/>
    </row>
    <row r="544" spans="2:57" x14ac:dyDescent="0.25">
      <c r="B544" s="304"/>
      <c r="C544" s="305" t="s">
        <v>75</v>
      </c>
      <c r="D544" s="305"/>
      <c r="E544" s="305"/>
      <c r="F544" s="305"/>
      <c r="G544" s="1268">
        <v>0</v>
      </c>
      <c r="H544" s="1268">
        <f t="shared" ref="H544:AM544" si="183">G547</f>
        <v>0</v>
      </c>
      <c r="I544" s="1268">
        <f t="shared" si="183"/>
        <v>0</v>
      </c>
      <c r="J544" s="1268">
        <f t="shared" si="183"/>
        <v>0</v>
      </c>
      <c r="K544" s="1268">
        <f t="shared" si="183"/>
        <v>0</v>
      </c>
      <c r="L544" s="1268">
        <f t="shared" si="183"/>
        <v>0</v>
      </c>
      <c r="M544" s="1268">
        <f t="shared" si="183"/>
        <v>0</v>
      </c>
      <c r="N544" s="1268">
        <f t="shared" si="183"/>
        <v>0</v>
      </c>
      <c r="O544" s="1268">
        <f t="shared" si="183"/>
        <v>0</v>
      </c>
      <c r="P544" s="1268">
        <f t="shared" si="183"/>
        <v>0</v>
      </c>
      <c r="Q544" s="1268">
        <f t="shared" si="183"/>
        <v>0</v>
      </c>
      <c r="R544" s="1268">
        <f t="shared" si="183"/>
        <v>0</v>
      </c>
      <c r="S544" s="1268">
        <f t="shared" si="183"/>
        <v>0</v>
      </c>
      <c r="T544" s="1268">
        <f t="shared" si="183"/>
        <v>0</v>
      </c>
      <c r="U544" s="1268">
        <f t="shared" si="183"/>
        <v>0</v>
      </c>
      <c r="V544" s="1268">
        <f t="shared" si="183"/>
        <v>0</v>
      </c>
      <c r="W544" s="1268">
        <f t="shared" si="183"/>
        <v>0</v>
      </c>
      <c r="X544" s="1268">
        <f t="shared" si="183"/>
        <v>0</v>
      </c>
      <c r="Y544" s="1268">
        <f t="shared" si="183"/>
        <v>0</v>
      </c>
      <c r="Z544" s="1268">
        <f t="shared" si="183"/>
        <v>0</v>
      </c>
      <c r="AA544" s="1268">
        <f t="shared" si="183"/>
        <v>0</v>
      </c>
      <c r="AB544" s="1268">
        <f t="shared" si="183"/>
        <v>0</v>
      </c>
      <c r="AC544" s="1268">
        <f t="shared" si="183"/>
        <v>0</v>
      </c>
      <c r="AD544" s="1268">
        <f t="shared" si="183"/>
        <v>0</v>
      </c>
      <c r="AE544" s="1268">
        <f t="shared" si="183"/>
        <v>0</v>
      </c>
      <c r="AF544" s="1268">
        <f t="shared" si="183"/>
        <v>0</v>
      </c>
      <c r="AG544" s="1268">
        <f t="shared" si="183"/>
        <v>0</v>
      </c>
      <c r="AH544" s="1268">
        <f t="shared" si="183"/>
        <v>0</v>
      </c>
      <c r="AI544" s="1268">
        <f t="shared" si="183"/>
        <v>0</v>
      </c>
      <c r="AJ544" s="1268">
        <f t="shared" si="183"/>
        <v>0</v>
      </c>
      <c r="AK544" s="1268">
        <f t="shared" si="183"/>
        <v>0</v>
      </c>
      <c r="AL544" s="1268">
        <f t="shared" si="183"/>
        <v>0</v>
      </c>
      <c r="AM544" s="1268">
        <f t="shared" si="183"/>
        <v>0</v>
      </c>
      <c r="AN544" s="1268">
        <f t="shared" ref="AN544:BE544" si="184">AM547</f>
        <v>0</v>
      </c>
      <c r="AO544" s="1268">
        <f t="shared" si="184"/>
        <v>0</v>
      </c>
      <c r="AP544" s="1268">
        <f t="shared" si="184"/>
        <v>0</v>
      </c>
      <c r="AQ544" s="1268">
        <f t="shared" si="184"/>
        <v>0</v>
      </c>
      <c r="AR544" s="1268">
        <f t="shared" si="184"/>
        <v>0</v>
      </c>
      <c r="AS544" s="1268">
        <f t="shared" si="184"/>
        <v>0</v>
      </c>
      <c r="AT544" s="1268">
        <f t="shared" si="184"/>
        <v>0</v>
      </c>
      <c r="AU544" s="1268">
        <f t="shared" si="184"/>
        <v>0</v>
      </c>
      <c r="AV544" s="1268">
        <f t="shared" si="184"/>
        <v>0</v>
      </c>
      <c r="AW544" s="1268">
        <f t="shared" si="184"/>
        <v>0</v>
      </c>
      <c r="AX544" s="1268">
        <f t="shared" si="184"/>
        <v>0</v>
      </c>
      <c r="AY544" s="1268">
        <f t="shared" si="184"/>
        <v>0</v>
      </c>
      <c r="AZ544" s="1268">
        <f t="shared" si="184"/>
        <v>0</v>
      </c>
      <c r="BA544" s="1268">
        <f t="shared" si="184"/>
        <v>0</v>
      </c>
      <c r="BB544" s="1268">
        <f t="shared" si="184"/>
        <v>0</v>
      </c>
      <c r="BC544" s="1268">
        <f t="shared" si="184"/>
        <v>0</v>
      </c>
      <c r="BD544" s="1268">
        <f t="shared" si="184"/>
        <v>0</v>
      </c>
      <c r="BE544" s="1269">
        <f t="shared" si="184"/>
        <v>0</v>
      </c>
    </row>
    <row r="545" spans="2:57" x14ac:dyDescent="0.25">
      <c r="B545" s="304"/>
      <c r="C545" s="305" t="s">
        <v>76</v>
      </c>
      <c r="D545" s="305"/>
      <c r="E545" s="305"/>
      <c r="F545" s="305"/>
      <c r="G545" s="1268">
        <f>G534</f>
        <v>0</v>
      </c>
      <c r="H545" s="1268">
        <v>0</v>
      </c>
      <c r="I545" s="1268">
        <v>0</v>
      </c>
      <c r="J545" s="1268">
        <v>0</v>
      </c>
      <c r="K545" s="1268">
        <v>0</v>
      </c>
      <c r="L545" s="1268">
        <v>0</v>
      </c>
      <c r="M545" s="1268">
        <v>0</v>
      </c>
      <c r="N545" s="1268">
        <v>0</v>
      </c>
      <c r="O545" s="1268">
        <v>0</v>
      </c>
      <c r="P545" s="1268">
        <v>0</v>
      </c>
      <c r="Q545" s="1268">
        <v>0</v>
      </c>
      <c r="R545" s="1268">
        <v>0</v>
      </c>
      <c r="S545" s="1268">
        <v>0</v>
      </c>
      <c r="T545" s="1268">
        <v>0</v>
      </c>
      <c r="U545" s="1268">
        <v>0</v>
      </c>
      <c r="V545" s="1268">
        <v>0</v>
      </c>
      <c r="W545" s="1268">
        <v>0</v>
      </c>
      <c r="X545" s="1268">
        <v>0</v>
      </c>
      <c r="Y545" s="1268">
        <v>0</v>
      </c>
      <c r="Z545" s="1268">
        <v>0</v>
      </c>
      <c r="AA545" s="1268">
        <v>0</v>
      </c>
      <c r="AB545" s="1268">
        <v>0</v>
      </c>
      <c r="AC545" s="1268">
        <v>0</v>
      </c>
      <c r="AD545" s="1268">
        <v>0</v>
      </c>
      <c r="AE545" s="1268">
        <v>0</v>
      </c>
      <c r="AF545" s="1268">
        <v>0</v>
      </c>
      <c r="AG545" s="1268">
        <v>0</v>
      </c>
      <c r="AH545" s="1268">
        <v>0</v>
      </c>
      <c r="AI545" s="1268">
        <v>0</v>
      </c>
      <c r="AJ545" s="1268">
        <v>0</v>
      </c>
      <c r="AK545" s="1268">
        <v>0</v>
      </c>
      <c r="AL545" s="1268">
        <v>0</v>
      </c>
      <c r="AM545" s="1268">
        <v>0</v>
      </c>
      <c r="AN545" s="1268">
        <v>0</v>
      </c>
      <c r="AO545" s="1268">
        <v>0</v>
      </c>
      <c r="AP545" s="1268">
        <v>0</v>
      </c>
      <c r="AQ545" s="1268">
        <v>0</v>
      </c>
      <c r="AR545" s="1268">
        <v>0</v>
      </c>
      <c r="AS545" s="1268">
        <v>0</v>
      </c>
      <c r="AT545" s="1268">
        <v>0</v>
      </c>
      <c r="AU545" s="1268">
        <v>0</v>
      </c>
      <c r="AV545" s="1268">
        <v>0</v>
      </c>
      <c r="AW545" s="1268">
        <v>0</v>
      </c>
      <c r="AX545" s="1268">
        <v>0</v>
      </c>
      <c r="AY545" s="1268">
        <v>0</v>
      </c>
      <c r="AZ545" s="1268">
        <v>0</v>
      </c>
      <c r="BA545" s="1268">
        <v>0</v>
      </c>
      <c r="BB545" s="1268">
        <v>0</v>
      </c>
      <c r="BC545" s="1268">
        <v>0</v>
      </c>
      <c r="BD545" s="1268">
        <v>0</v>
      </c>
      <c r="BE545" s="1269">
        <v>0</v>
      </c>
    </row>
    <row r="546" spans="2:57" x14ac:dyDescent="0.25">
      <c r="B546" s="304"/>
      <c r="C546" s="312" t="s">
        <v>77</v>
      </c>
      <c r="D546" s="312"/>
      <c r="E546" s="312"/>
      <c r="F546" s="312"/>
      <c r="G546" s="1270">
        <v>0</v>
      </c>
      <c r="H546" s="1270">
        <f t="shared" ref="H546:BE546" si="185">-H540</f>
        <v>0</v>
      </c>
      <c r="I546" s="1270">
        <f t="shared" si="185"/>
        <v>0</v>
      </c>
      <c r="J546" s="1270">
        <f t="shared" si="185"/>
        <v>0</v>
      </c>
      <c r="K546" s="1270">
        <f t="shared" si="185"/>
        <v>0</v>
      </c>
      <c r="L546" s="1270">
        <f t="shared" si="185"/>
        <v>0</v>
      </c>
      <c r="M546" s="1270">
        <f t="shared" si="185"/>
        <v>0</v>
      </c>
      <c r="N546" s="1270">
        <f t="shared" si="185"/>
        <v>0</v>
      </c>
      <c r="O546" s="1270">
        <f t="shared" si="185"/>
        <v>0</v>
      </c>
      <c r="P546" s="1270">
        <f t="shared" si="185"/>
        <v>0</v>
      </c>
      <c r="Q546" s="1270">
        <f t="shared" si="185"/>
        <v>0</v>
      </c>
      <c r="R546" s="1270">
        <f t="shared" si="185"/>
        <v>0</v>
      </c>
      <c r="S546" s="1270">
        <f t="shared" si="185"/>
        <v>0</v>
      </c>
      <c r="T546" s="1270">
        <f t="shared" si="185"/>
        <v>0</v>
      </c>
      <c r="U546" s="1270">
        <f t="shared" si="185"/>
        <v>0</v>
      </c>
      <c r="V546" s="1270">
        <f t="shared" si="185"/>
        <v>0</v>
      </c>
      <c r="W546" s="1270">
        <f t="shared" si="185"/>
        <v>0</v>
      </c>
      <c r="X546" s="1270">
        <f t="shared" si="185"/>
        <v>0</v>
      </c>
      <c r="Y546" s="1270">
        <f t="shared" si="185"/>
        <v>0</v>
      </c>
      <c r="Z546" s="1270">
        <f t="shared" si="185"/>
        <v>0</v>
      </c>
      <c r="AA546" s="1270">
        <f t="shared" si="185"/>
        <v>0</v>
      </c>
      <c r="AB546" s="1270">
        <f t="shared" si="185"/>
        <v>0</v>
      </c>
      <c r="AC546" s="1270">
        <f t="shared" si="185"/>
        <v>0</v>
      </c>
      <c r="AD546" s="1270">
        <f t="shared" si="185"/>
        <v>0</v>
      </c>
      <c r="AE546" s="1270">
        <f t="shared" si="185"/>
        <v>0</v>
      </c>
      <c r="AF546" s="1270">
        <f t="shared" si="185"/>
        <v>0</v>
      </c>
      <c r="AG546" s="1270">
        <f t="shared" si="185"/>
        <v>0</v>
      </c>
      <c r="AH546" s="1270">
        <f t="shared" si="185"/>
        <v>0</v>
      </c>
      <c r="AI546" s="1270">
        <f t="shared" si="185"/>
        <v>0</v>
      </c>
      <c r="AJ546" s="1270">
        <f t="shared" si="185"/>
        <v>0</v>
      </c>
      <c r="AK546" s="1270">
        <f t="shared" si="185"/>
        <v>0</v>
      </c>
      <c r="AL546" s="1270">
        <f t="shared" si="185"/>
        <v>0</v>
      </c>
      <c r="AM546" s="1270">
        <f t="shared" si="185"/>
        <v>0</v>
      </c>
      <c r="AN546" s="1270">
        <f t="shared" si="185"/>
        <v>0</v>
      </c>
      <c r="AO546" s="1270">
        <f t="shared" si="185"/>
        <v>0</v>
      </c>
      <c r="AP546" s="1270">
        <f t="shared" si="185"/>
        <v>0</v>
      </c>
      <c r="AQ546" s="1270">
        <f t="shared" si="185"/>
        <v>0</v>
      </c>
      <c r="AR546" s="1270">
        <f t="shared" si="185"/>
        <v>0</v>
      </c>
      <c r="AS546" s="1270">
        <f t="shared" si="185"/>
        <v>0</v>
      </c>
      <c r="AT546" s="1270">
        <f t="shared" si="185"/>
        <v>0</v>
      </c>
      <c r="AU546" s="1270">
        <f t="shared" si="185"/>
        <v>0</v>
      </c>
      <c r="AV546" s="1270">
        <f t="shared" si="185"/>
        <v>0</v>
      </c>
      <c r="AW546" s="1270">
        <f t="shared" si="185"/>
        <v>0</v>
      </c>
      <c r="AX546" s="1270">
        <f t="shared" si="185"/>
        <v>0</v>
      </c>
      <c r="AY546" s="1270">
        <f t="shared" si="185"/>
        <v>0</v>
      </c>
      <c r="AZ546" s="1270">
        <f t="shared" si="185"/>
        <v>0</v>
      </c>
      <c r="BA546" s="1270">
        <f t="shared" si="185"/>
        <v>0</v>
      </c>
      <c r="BB546" s="1270">
        <f t="shared" si="185"/>
        <v>0</v>
      </c>
      <c r="BC546" s="1270">
        <f t="shared" si="185"/>
        <v>0</v>
      </c>
      <c r="BD546" s="1270">
        <f t="shared" si="185"/>
        <v>0</v>
      </c>
      <c r="BE546" s="1271">
        <f t="shared" si="185"/>
        <v>0</v>
      </c>
    </row>
    <row r="547" spans="2:57" x14ac:dyDescent="0.25">
      <c r="B547" s="304"/>
      <c r="C547" s="305" t="s">
        <v>66</v>
      </c>
      <c r="D547" s="305"/>
      <c r="E547" s="305"/>
      <c r="F547" s="305"/>
      <c r="G547" s="1268">
        <f t="shared" ref="G547:BE547" si="186">SUM(G544:G546)</f>
        <v>0</v>
      </c>
      <c r="H547" s="1268">
        <f t="shared" si="186"/>
        <v>0</v>
      </c>
      <c r="I547" s="1268">
        <f t="shared" si="186"/>
        <v>0</v>
      </c>
      <c r="J547" s="1268">
        <f t="shared" si="186"/>
        <v>0</v>
      </c>
      <c r="K547" s="1268">
        <f t="shared" si="186"/>
        <v>0</v>
      </c>
      <c r="L547" s="1268">
        <f t="shared" si="186"/>
        <v>0</v>
      </c>
      <c r="M547" s="1268">
        <f t="shared" si="186"/>
        <v>0</v>
      </c>
      <c r="N547" s="1268">
        <f t="shared" si="186"/>
        <v>0</v>
      </c>
      <c r="O547" s="1268">
        <f t="shared" si="186"/>
        <v>0</v>
      </c>
      <c r="P547" s="1268">
        <f t="shared" si="186"/>
        <v>0</v>
      </c>
      <c r="Q547" s="1268">
        <f t="shared" si="186"/>
        <v>0</v>
      </c>
      <c r="R547" s="1268">
        <f t="shared" si="186"/>
        <v>0</v>
      </c>
      <c r="S547" s="1268">
        <f t="shared" si="186"/>
        <v>0</v>
      </c>
      <c r="T547" s="1268">
        <f t="shared" si="186"/>
        <v>0</v>
      </c>
      <c r="U547" s="1268">
        <f t="shared" si="186"/>
        <v>0</v>
      </c>
      <c r="V547" s="1268">
        <f t="shared" si="186"/>
        <v>0</v>
      </c>
      <c r="W547" s="1268">
        <f t="shared" si="186"/>
        <v>0</v>
      </c>
      <c r="X547" s="1268">
        <f t="shared" si="186"/>
        <v>0</v>
      </c>
      <c r="Y547" s="1268">
        <f t="shared" si="186"/>
        <v>0</v>
      </c>
      <c r="Z547" s="1268">
        <f t="shared" si="186"/>
        <v>0</v>
      </c>
      <c r="AA547" s="1268">
        <f t="shared" si="186"/>
        <v>0</v>
      </c>
      <c r="AB547" s="1268">
        <f t="shared" si="186"/>
        <v>0</v>
      </c>
      <c r="AC547" s="1268">
        <f t="shared" si="186"/>
        <v>0</v>
      </c>
      <c r="AD547" s="1268">
        <f t="shared" si="186"/>
        <v>0</v>
      </c>
      <c r="AE547" s="1268">
        <f t="shared" si="186"/>
        <v>0</v>
      </c>
      <c r="AF547" s="1268">
        <f t="shared" si="186"/>
        <v>0</v>
      </c>
      <c r="AG547" s="1268">
        <f t="shared" si="186"/>
        <v>0</v>
      </c>
      <c r="AH547" s="1268">
        <f t="shared" si="186"/>
        <v>0</v>
      </c>
      <c r="AI547" s="1268">
        <f t="shared" si="186"/>
        <v>0</v>
      </c>
      <c r="AJ547" s="1268">
        <f t="shared" si="186"/>
        <v>0</v>
      </c>
      <c r="AK547" s="1268">
        <f t="shared" si="186"/>
        <v>0</v>
      </c>
      <c r="AL547" s="1268">
        <f t="shared" si="186"/>
        <v>0</v>
      </c>
      <c r="AM547" s="1268">
        <f t="shared" si="186"/>
        <v>0</v>
      </c>
      <c r="AN547" s="1268">
        <f t="shared" si="186"/>
        <v>0</v>
      </c>
      <c r="AO547" s="1268">
        <f t="shared" si="186"/>
        <v>0</v>
      </c>
      <c r="AP547" s="1268">
        <f t="shared" si="186"/>
        <v>0</v>
      </c>
      <c r="AQ547" s="1268">
        <f t="shared" si="186"/>
        <v>0</v>
      </c>
      <c r="AR547" s="1268">
        <f t="shared" si="186"/>
        <v>0</v>
      </c>
      <c r="AS547" s="1268">
        <f t="shared" si="186"/>
        <v>0</v>
      </c>
      <c r="AT547" s="1268">
        <f t="shared" si="186"/>
        <v>0</v>
      </c>
      <c r="AU547" s="1268">
        <f t="shared" si="186"/>
        <v>0</v>
      </c>
      <c r="AV547" s="1268">
        <f t="shared" si="186"/>
        <v>0</v>
      </c>
      <c r="AW547" s="1268">
        <f t="shared" si="186"/>
        <v>0</v>
      </c>
      <c r="AX547" s="1268">
        <f t="shared" si="186"/>
        <v>0</v>
      </c>
      <c r="AY547" s="1268">
        <f t="shared" si="186"/>
        <v>0</v>
      </c>
      <c r="AZ547" s="1268">
        <f t="shared" si="186"/>
        <v>0</v>
      </c>
      <c r="BA547" s="1268">
        <f t="shared" si="186"/>
        <v>0</v>
      </c>
      <c r="BB547" s="1268">
        <f t="shared" si="186"/>
        <v>0</v>
      </c>
      <c r="BC547" s="1268">
        <f t="shared" si="186"/>
        <v>0</v>
      </c>
      <c r="BD547" s="1268">
        <f t="shared" si="186"/>
        <v>0</v>
      </c>
      <c r="BE547" s="1269">
        <f t="shared" si="186"/>
        <v>0</v>
      </c>
    </row>
    <row r="548" spans="2:57" x14ac:dyDescent="0.25">
      <c r="B548" s="304"/>
      <c r="C548" s="305"/>
      <c r="D548" s="305"/>
      <c r="E548" s="305"/>
      <c r="F548" s="305"/>
      <c r="G548" s="1268"/>
      <c r="H548" s="1268"/>
      <c r="I548" s="1268"/>
      <c r="J548" s="1268"/>
      <c r="K548" s="1268"/>
      <c r="L548" s="1268"/>
      <c r="M548" s="1268"/>
      <c r="N548" s="1268"/>
      <c r="O548" s="1268"/>
      <c r="P548" s="1268"/>
      <c r="Q548" s="1268"/>
      <c r="R548" s="1268"/>
      <c r="S548" s="1268"/>
      <c r="T548" s="1268"/>
      <c r="U548" s="1268"/>
      <c r="V548" s="1268"/>
      <c r="W548" s="1268"/>
      <c r="X548" s="1268"/>
      <c r="Y548" s="1268"/>
      <c r="Z548" s="1268"/>
      <c r="AA548" s="1268"/>
      <c r="AB548" s="1268"/>
      <c r="AC548" s="1268"/>
      <c r="AD548" s="1268"/>
      <c r="AE548" s="1268"/>
      <c r="AF548" s="1268"/>
      <c r="AG548" s="1268"/>
      <c r="AH548" s="1268"/>
      <c r="AI548" s="1268"/>
      <c r="AJ548" s="1268"/>
      <c r="AK548" s="1268"/>
      <c r="AL548" s="1268"/>
      <c r="AM548" s="1268"/>
      <c r="AN548" s="1268"/>
      <c r="AO548" s="1268"/>
      <c r="AP548" s="1268"/>
      <c r="AQ548" s="1268"/>
      <c r="AR548" s="1268"/>
      <c r="AS548" s="1268"/>
      <c r="AT548" s="1268"/>
      <c r="AU548" s="1268"/>
      <c r="AV548" s="1268"/>
      <c r="AW548" s="1268"/>
      <c r="AX548" s="1268"/>
      <c r="AY548" s="1268"/>
      <c r="AZ548" s="1268"/>
      <c r="BA548" s="1268"/>
      <c r="BB548" s="1268"/>
      <c r="BC548" s="1268"/>
      <c r="BD548" s="1268"/>
      <c r="BE548" s="1269"/>
    </row>
    <row r="549" spans="2:57" x14ac:dyDescent="0.25">
      <c r="B549" s="304"/>
      <c r="C549" s="404" t="s">
        <v>71</v>
      </c>
      <c r="D549" s="305"/>
      <c r="E549" s="305"/>
      <c r="F549" s="305"/>
      <c r="G549" s="1268"/>
      <c r="H549" s="1268"/>
      <c r="I549" s="1268"/>
      <c r="J549" s="1268"/>
      <c r="K549" s="1268"/>
      <c r="L549" s="1268"/>
      <c r="M549" s="1268"/>
      <c r="N549" s="1268"/>
      <c r="O549" s="1268"/>
      <c r="P549" s="1268"/>
      <c r="Q549" s="1268"/>
      <c r="R549" s="1268"/>
      <c r="S549" s="1268"/>
      <c r="T549" s="1268"/>
      <c r="U549" s="1268"/>
      <c r="V549" s="1268"/>
      <c r="W549" s="1268"/>
      <c r="X549" s="1268"/>
      <c r="Y549" s="1268"/>
      <c r="Z549" s="1268"/>
      <c r="AA549" s="1268"/>
      <c r="AB549" s="1268"/>
      <c r="AC549" s="1268"/>
      <c r="AD549" s="1268"/>
      <c r="AE549" s="1268"/>
      <c r="AF549" s="1268"/>
      <c r="AG549" s="1268"/>
      <c r="AH549" s="1268"/>
      <c r="AI549" s="1268"/>
      <c r="AJ549" s="1268"/>
      <c r="AK549" s="1268"/>
      <c r="AL549" s="1268"/>
      <c r="AM549" s="1268"/>
      <c r="AN549" s="1268"/>
      <c r="AO549" s="1268"/>
      <c r="AP549" s="1268"/>
      <c r="AQ549" s="1268"/>
      <c r="AR549" s="1268"/>
      <c r="AS549" s="1268"/>
      <c r="AT549" s="1268"/>
      <c r="AU549" s="1268"/>
      <c r="AV549" s="1268"/>
      <c r="AW549" s="1268"/>
      <c r="AX549" s="1268"/>
      <c r="AY549" s="1268"/>
      <c r="AZ549" s="1268"/>
      <c r="BA549" s="1268"/>
      <c r="BB549" s="1268"/>
      <c r="BC549" s="1268"/>
      <c r="BD549" s="1268"/>
      <c r="BE549" s="1269"/>
    </row>
    <row r="550" spans="2:57" x14ac:dyDescent="0.25">
      <c r="B550" s="304"/>
      <c r="C550" s="305" t="str">
        <f>'II. Inputs, Baseline Energy Mix'!$E$70</f>
        <v>Front-end Fee</v>
      </c>
      <c r="D550" s="305"/>
      <c r="E550" s="305"/>
      <c r="F550" s="305"/>
      <c r="G550" s="1268"/>
      <c r="H550" s="1268">
        <f>IF($G534&gt;0, G534*'II. Inputs, Baseline Energy Mix'!$Q$70/10000,0)</f>
        <v>0</v>
      </c>
      <c r="I550" s="1268">
        <v>0</v>
      </c>
      <c r="J550" s="1268">
        <v>0</v>
      </c>
      <c r="K550" s="1268">
        <v>0</v>
      </c>
      <c r="L550" s="1268">
        <v>0</v>
      </c>
      <c r="M550" s="1268">
        <v>0</v>
      </c>
      <c r="N550" s="1268">
        <v>0</v>
      </c>
      <c r="O550" s="1268">
        <v>0</v>
      </c>
      <c r="P550" s="1268">
        <v>0</v>
      </c>
      <c r="Q550" s="1268">
        <v>0</v>
      </c>
      <c r="R550" s="1268">
        <v>0</v>
      </c>
      <c r="S550" s="1268">
        <v>0</v>
      </c>
      <c r="T550" s="1268">
        <v>0</v>
      </c>
      <c r="U550" s="1268">
        <v>0</v>
      </c>
      <c r="V550" s="1268">
        <v>0</v>
      </c>
      <c r="W550" s="1268">
        <v>0</v>
      </c>
      <c r="X550" s="1268">
        <v>0</v>
      </c>
      <c r="Y550" s="1268">
        <v>0</v>
      </c>
      <c r="Z550" s="1268">
        <v>0</v>
      </c>
      <c r="AA550" s="1268">
        <v>0</v>
      </c>
      <c r="AB550" s="1268">
        <v>0</v>
      </c>
      <c r="AC550" s="1268">
        <v>0</v>
      </c>
      <c r="AD550" s="1268">
        <v>0</v>
      </c>
      <c r="AE550" s="1268">
        <v>0</v>
      </c>
      <c r="AF550" s="1268">
        <v>0</v>
      </c>
      <c r="AG550" s="1268">
        <v>0</v>
      </c>
      <c r="AH550" s="1268">
        <v>0</v>
      </c>
      <c r="AI550" s="1268">
        <v>0</v>
      </c>
      <c r="AJ550" s="1268">
        <v>0</v>
      </c>
      <c r="AK550" s="1268">
        <v>0</v>
      </c>
      <c r="AL550" s="1268">
        <v>0</v>
      </c>
      <c r="AM550" s="1268">
        <v>0</v>
      </c>
      <c r="AN550" s="1268">
        <v>0</v>
      </c>
      <c r="AO550" s="1268">
        <v>0</v>
      </c>
      <c r="AP550" s="1268">
        <v>0</v>
      </c>
      <c r="AQ550" s="1268">
        <v>0</v>
      </c>
      <c r="AR550" s="1268">
        <v>0</v>
      </c>
      <c r="AS550" s="1268">
        <v>0</v>
      </c>
      <c r="AT550" s="1268">
        <v>0</v>
      </c>
      <c r="AU550" s="1268">
        <v>0</v>
      </c>
      <c r="AV550" s="1268">
        <v>0</v>
      </c>
      <c r="AW550" s="1268">
        <v>0</v>
      </c>
      <c r="AX550" s="1268">
        <v>0</v>
      </c>
      <c r="AY550" s="1268">
        <v>0</v>
      </c>
      <c r="AZ550" s="1268">
        <v>0</v>
      </c>
      <c r="BA550" s="1268">
        <v>0</v>
      </c>
      <c r="BB550" s="1268">
        <v>0</v>
      </c>
      <c r="BC550" s="1268">
        <v>0</v>
      </c>
      <c r="BD550" s="1268">
        <v>0</v>
      </c>
      <c r="BE550" s="1269">
        <v>0</v>
      </c>
    </row>
    <row r="551" spans="2:57" x14ac:dyDescent="0.25">
      <c r="B551" s="304"/>
      <c r="C551" s="305"/>
      <c r="D551" s="305"/>
      <c r="E551" s="305"/>
      <c r="F551" s="305"/>
      <c r="G551" s="305"/>
      <c r="H551" s="305"/>
      <c r="I551" s="305"/>
      <c r="J551" s="305"/>
      <c r="K551" s="305"/>
      <c r="L551" s="305"/>
      <c r="M551" s="305"/>
      <c r="N551" s="305"/>
      <c r="O551" s="305"/>
      <c r="P551" s="305"/>
      <c r="Q551" s="305"/>
      <c r="R551" s="305"/>
      <c r="S551" s="305"/>
      <c r="T551" s="305"/>
      <c r="U551" s="305"/>
      <c r="V551" s="305"/>
      <c r="W551" s="305"/>
      <c r="X551" s="305"/>
      <c r="Y551" s="305"/>
      <c r="Z551" s="305"/>
      <c r="AA551" s="305"/>
      <c r="AB551" s="305"/>
      <c r="AC551" s="305"/>
      <c r="AD551" s="305"/>
      <c r="AE551" s="305"/>
      <c r="AF551" s="305"/>
      <c r="AG551" s="305"/>
      <c r="AH551" s="305"/>
      <c r="AI551" s="305"/>
      <c r="AJ551" s="305"/>
      <c r="AK551" s="305"/>
      <c r="AL551" s="305"/>
      <c r="AM551" s="305"/>
      <c r="AN551" s="305"/>
      <c r="AO551" s="305"/>
      <c r="AP551" s="305"/>
      <c r="AQ551" s="305"/>
      <c r="AR551" s="305"/>
      <c r="AS551" s="305"/>
      <c r="AT551" s="305"/>
      <c r="AU551" s="305"/>
      <c r="AV551" s="305"/>
      <c r="AW551" s="305"/>
      <c r="AX551" s="305"/>
      <c r="AY551" s="305"/>
      <c r="AZ551" s="305"/>
      <c r="BA551" s="305"/>
      <c r="BB551" s="305"/>
      <c r="BC551" s="305"/>
      <c r="BD551" s="305"/>
      <c r="BE551" s="306"/>
    </row>
    <row r="552" spans="2:57" x14ac:dyDescent="0.25">
      <c r="B552" s="316" t="s">
        <v>180</v>
      </c>
      <c r="C552" s="305"/>
      <c r="D552" s="305"/>
      <c r="E552" s="305"/>
      <c r="F552" s="305"/>
      <c r="G552" s="305"/>
      <c r="H552" s="305"/>
      <c r="I552" s="305"/>
      <c r="J552" s="305"/>
      <c r="K552" s="305"/>
      <c r="L552" s="305"/>
      <c r="M552" s="305"/>
      <c r="N552" s="305"/>
      <c r="O552" s="305"/>
      <c r="P552" s="305"/>
      <c r="Q552" s="305"/>
      <c r="R552" s="305"/>
      <c r="S552" s="305"/>
      <c r="T552" s="305"/>
      <c r="U552" s="305"/>
      <c r="V552" s="305"/>
      <c r="W552" s="305"/>
      <c r="X552" s="305"/>
      <c r="Y552" s="305"/>
      <c r="Z552" s="305"/>
      <c r="AA552" s="305"/>
      <c r="AB552" s="305"/>
      <c r="AC552" s="305"/>
      <c r="AD552" s="305"/>
      <c r="AE552" s="305"/>
      <c r="AF552" s="305"/>
      <c r="AG552" s="305"/>
      <c r="AH552" s="305"/>
      <c r="AI552" s="305"/>
      <c r="AJ552" s="305"/>
      <c r="AK552" s="305"/>
      <c r="AL552" s="305"/>
      <c r="AM552" s="305"/>
      <c r="AN552" s="305"/>
      <c r="AO552" s="305"/>
      <c r="AP552" s="305"/>
      <c r="AQ552" s="305"/>
      <c r="AR552" s="305"/>
      <c r="AS552" s="305"/>
      <c r="AT552" s="305"/>
      <c r="AU552" s="305"/>
      <c r="AV552" s="305"/>
      <c r="AW552" s="305"/>
      <c r="AX552" s="305"/>
      <c r="AY552" s="305"/>
      <c r="AZ552" s="305"/>
      <c r="BA552" s="305"/>
      <c r="BB552" s="305"/>
      <c r="BC552" s="305"/>
      <c r="BD552" s="305"/>
      <c r="BE552" s="306"/>
    </row>
    <row r="553" spans="2:57" x14ac:dyDescent="0.25">
      <c r="B553" s="304"/>
      <c r="C553" s="401" t="s">
        <v>68</v>
      </c>
      <c r="D553" s="308" t="s">
        <v>631</v>
      </c>
      <c r="E553" s="305"/>
      <c r="F553" s="305"/>
      <c r="G553" s="1268">
        <f>IF('II. Inputs, Baseline Energy Mix'!$Q$15&gt;0,('II. Inputs, Baseline Energy Mix'!$Q$16*'II. Inputs, Baseline Energy Mix'!$Q$17*'II. Inputs, Baseline Energy Mix'!$Q$30*'II. Inputs, Baseline Energy Mix'!$Q$33),0)</f>
        <v>0</v>
      </c>
      <c r="H553" s="305"/>
      <c r="I553" s="305"/>
      <c r="J553" s="305"/>
      <c r="K553" s="305"/>
      <c r="L553" s="305"/>
      <c r="M553" s="305"/>
      <c r="N553" s="305"/>
      <c r="O553" s="305"/>
      <c r="P553" s="305"/>
      <c r="Q553" s="305"/>
      <c r="R553" s="305"/>
      <c r="S553" s="305"/>
      <c r="T553" s="305"/>
      <c r="U553" s="305"/>
      <c r="V553" s="305"/>
      <c r="W553" s="305"/>
      <c r="X553" s="305"/>
      <c r="Y553" s="305"/>
      <c r="Z553" s="305"/>
      <c r="AA553" s="305"/>
      <c r="AB553" s="305"/>
      <c r="AC553" s="305"/>
      <c r="AD553" s="305"/>
      <c r="AE553" s="305"/>
      <c r="AF553" s="305"/>
      <c r="AG553" s="305"/>
      <c r="AH553" s="305"/>
      <c r="AI553" s="305"/>
      <c r="AJ553" s="305"/>
      <c r="AK553" s="305"/>
      <c r="AL553" s="305"/>
      <c r="AM553" s="305"/>
      <c r="AN553" s="305"/>
      <c r="AO553" s="305"/>
      <c r="AP553" s="305"/>
      <c r="AQ553" s="305"/>
      <c r="AR553" s="305"/>
      <c r="AS553" s="305"/>
      <c r="AT553" s="305"/>
      <c r="AU553" s="305"/>
      <c r="AV553" s="305"/>
      <c r="AW553" s="305"/>
      <c r="AX553" s="305"/>
      <c r="AY553" s="305"/>
      <c r="AZ553" s="305"/>
      <c r="BA553" s="305"/>
      <c r="BB553" s="305"/>
      <c r="BC553" s="305"/>
      <c r="BD553" s="305"/>
      <c r="BE553" s="306"/>
    </row>
    <row r="554" spans="2:57" x14ac:dyDescent="0.25">
      <c r="B554" s="304"/>
      <c r="C554" s="401" t="s">
        <v>69</v>
      </c>
      <c r="D554" s="308" t="s">
        <v>20</v>
      </c>
      <c r="E554" s="305"/>
      <c r="F554" s="305"/>
      <c r="G554" s="307">
        <f>SUM('II. Inputs, Baseline Energy Mix'!$Q$73)</f>
        <v>0</v>
      </c>
      <c r="H554" s="305"/>
      <c r="I554" s="305"/>
      <c r="J554" s="305"/>
      <c r="K554" s="305"/>
      <c r="L554" s="305"/>
      <c r="M554" s="305"/>
      <c r="N554" s="305"/>
      <c r="O554" s="305"/>
      <c r="P554" s="305"/>
      <c r="Q554" s="305"/>
      <c r="R554" s="305"/>
      <c r="S554" s="305"/>
      <c r="T554" s="305"/>
      <c r="U554" s="305"/>
      <c r="V554" s="305"/>
      <c r="W554" s="305"/>
      <c r="X554" s="305"/>
      <c r="Y554" s="305"/>
      <c r="Z554" s="305"/>
      <c r="AA554" s="305"/>
      <c r="AB554" s="305"/>
      <c r="AC554" s="305"/>
      <c r="AD554" s="305"/>
      <c r="AE554" s="305"/>
      <c r="AF554" s="305"/>
      <c r="AG554" s="305"/>
      <c r="AH554" s="305"/>
      <c r="AI554" s="305"/>
      <c r="AJ554" s="305"/>
      <c r="AK554" s="305"/>
      <c r="AL554" s="305"/>
      <c r="AM554" s="305"/>
      <c r="AN554" s="305"/>
      <c r="AO554" s="305"/>
      <c r="AP554" s="305"/>
      <c r="AQ554" s="305"/>
      <c r="AR554" s="305"/>
      <c r="AS554" s="305"/>
      <c r="AT554" s="305"/>
      <c r="AU554" s="305"/>
      <c r="AV554" s="305"/>
      <c r="AW554" s="305"/>
      <c r="AX554" s="305"/>
      <c r="AY554" s="305"/>
      <c r="AZ554" s="305"/>
      <c r="BA554" s="305"/>
      <c r="BB554" s="305"/>
      <c r="BC554" s="305"/>
      <c r="BD554" s="305"/>
      <c r="BE554" s="306"/>
    </row>
    <row r="555" spans="2:57" x14ac:dyDescent="0.25">
      <c r="B555" s="304"/>
      <c r="C555" s="401" t="s">
        <v>70</v>
      </c>
      <c r="D555" s="308" t="s">
        <v>16</v>
      </c>
      <c r="E555" s="305"/>
      <c r="F555" s="305"/>
      <c r="G555" s="402">
        <f>SUM('II. Inputs, Baseline Energy Mix'!$Q$72)</f>
        <v>0</v>
      </c>
      <c r="H555" s="305"/>
      <c r="I555" s="305"/>
      <c r="J555" s="305"/>
      <c r="K555" s="305"/>
      <c r="L555" s="305"/>
      <c r="M555" s="305"/>
      <c r="N555" s="305"/>
      <c r="O555" s="305"/>
      <c r="P555" s="305"/>
      <c r="Q555" s="305"/>
      <c r="R555" s="305"/>
      <c r="S555" s="305"/>
      <c r="T555" s="305"/>
      <c r="U555" s="305"/>
      <c r="V555" s="305"/>
      <c r="W555" s="305"/>
      <c r="X555" s="305"/>
      <c r="Y555" s="305"/>
      <c r="Z555" s="305"/>
      <c r="AA555" s="305"/>
      <c r="AB555" s="305"/>
      <c r="AC555" s="305"/>
      <c r="AD555" s="305"/>
      <c r="AE555" s="305"/>
      <c r="AF555" s="305"/>
      <c r="AG555" s="305"/>
      <c r="AH555" s="305"/>
      <c r="AI555" s="305"/>
      <c r="AJ555" s="305"/>
      <c r="AK555" s="305"/>
      <c r="AL555" s="305"/>
      <c r="AM555" s="305"/>
      <c r="AN555" s="305"/>
      <c r="AO555" s="305"/>
      <c r="AP555" s="305"/>
      <c r="AQ555" s="305"/>
      <c r="AR555" s="305"/>
      <c r="AS555" s="305"/>
      <c r="AT555" s="305"/>
      <c r="AU555" s="305"/>
      <c r="AV555" s="305"/>
      <c r="AW555" s="305"/>
      <c r="AX555" s="305"/>
      <c r="AY555" s="305"/>
      <c r="AZ555" s="305"/>
      <c r="BA555" s="305"/>
      <c r="BB555" s="305"/>
      <c r="BC555" s="305"/>
      <c r="BD555" s="305"/>
      <c r="BE555" s="306"/>
    </row>
    <row r="556" spans="2:57" x14ac:dyDescent="0.25">
      <c r="B556" s="304"/>
      <c r="C556" s="401" t="str">
        <f>'II. Inputs, Baseline Energy Mix'!$E$75</f>
        <v>Guarantee Coverage, as a % of Commercial Loan Value</v>
      </c>
      <c r="D556" s="308" t="s">
        <v>16</v>
      </c>
      <c r="E556" s="305"/>
      <c r="F556" s="305"/>
      <c r="G556" s="405">
        <f>SUM('II. Inputs, Baseline Energy Mix'!$Q$75)</f>
        <v>0</v>
      </c>
      <c r="H556" s="305"/>
      <c r="I556" s="305"/>
      <c r="J556" s="305"/>
      <c r="K556" s="305"/>
      <c r="L556" s="305"/>
      <c r="M556" s="305"/>
      <c r="N556" s="305"/>
      <c r="O556" s="305"/>
      <c r="P556" s="305"/>
      <c r="Q556" s="305"/>
      <c r="R556" s="305"/>
      <c r="S556" s="305"/>
      <c r="T556" s="305"/>
      <c r="U556" s="305"/>
      <c r="V556" s="305"/>
      <c r="W556" s="305"/>
      <c r="X556" s="305"/>
      <c r="Y556" s="305"/>
      <c r="Z556" s="305"/>
      <c r="AA556" s="305"/>
      <c r="AB556" s="305"/>
      <c r="AC556" s="305"/>
      <c r="AD556" s="305"/>
      <c r="AE556" s="305"/>
      <c r="AF556" s="305"/>
      <c r="AG556" s="305"/>
      <c r="AH556" s="305"/>
      <c r="AI556" s="305"/>
      <c r="AJ556" s="305"/>
      <c r="AK556" s="305"/>
      <c r="AL556" s="305"/>
      <c r="AM556" s="305"/>
      <c r="AN556" s="305"/>
      <c r="AO556" s="305"/>
      <c r="AP556" s="305"/>
      <c r="AQ556" s="305"/>
      <c r="AR556" s="305"/>
      <c r="AS556" s="305"/>
      <c r="AT556" s="305"/>
      <c r="AU556" s="305"/>
      <c r="AV556" s="305"/>
      <c r="AW556" s="305"/>
      <c r="AX556" s="305"/>
      <c r="AY556" s="305"/>
      <c r="AZ556" s="305"/>
      <c r="BA556" s="305"/>
      <c r="BB556" s="305"/>
      <c r="BC556" s="305"/>
      <c r="BD556" s="305"/>
      <c r="BE556" s="306"/>
    </row>
    <row r="557" spans="2:57" x14ac:dyDescent="0.25">
      <c r="B557" s="304"/>
      <c r="C557" s="401" t="str">
        <f>'II. Inputs, Baseline Energy Mix'!$E$76</f>
        <v xml:space="preserve">Term of Public Guarantee Coverage </v>
      </c>
      <c r="D557" s="308" t="s">
        <v>20</v>
      </c>
      <c r="E557" s="305"/>
      <c r="F557" s="305"/>
      <c r="G557" s="307">
        <f>'II. Inputs, Baseline Energy Mix'!$Q$76</f>
        <v>0</v>
      </c>
      <c r="H557" s="305"/>
      <c r="I557" s="305"/>
      <c r="J557" s="305"/>
      <c r="K557" s="305"/>
      <c r="L557" s="305"/>
      <c r="M557" s="305"/>
      <c r="N557" s="305"/>
      <c r="O557" s="305"/>
      <c r="P557" s="305"/>
      <c r="Q557" s="305"/>
      <c r="R557" s="305"/>
      <c r="S557" s="305"/>
      <c r="T557" s="305"/>
      <c r="U557" s="305"/>
      <c r="V557" s="305"/>
      <c r="W557" s="305"/>
      <c r="X557" s="305"/>
      <c r="Y557" s="305"/>
      <c r="Z557" s="305"/>
      <c r="AA557" s="305"/>
      <c r="AB557" s="305"/>
      <c r="AC557" s="305"/>
      <c r="AD557" s="305"/>
      <c r="AE557" s="305"/>
      <c r="AF557" s="305"/>
      <c r="AG557" s="305"/>
      <c r="AH557" s="305"/>
      <c r="AI557" s="305"/>
      <c r="AJ557" s="305"/>
      <c r="AK557" s="305"/>
      <c r="AL557" s="305"/>
      <c r="AM557" s="305"/>
      <c r="AN557" s="305"/>
      <c r="AO557" s="305"/>
      <c r="AP557" s="305"/>
      <c r="AQ557" s="305"/>
      <c r="AR557" s="305"/>
      <c r="AS557" s="305"/>
      <c r="AT557" s="305"/>
      <c r="AU557" s="305"/>
      <c r="AV557" s="305"/>
      <c r="AW557" s="305"/>
      <c r="AX557" s="305"/>
      <c r="AY557" s="305"/>
      <c r="AZ557" s="305"/>
      <c r="BA557" s="305"/>
      <c r="BB557" s="305"/>
      <c r="BC557" s="305"/>
      <c r="BD557" s="305"/>
      <c r="BE557" s="306"/>
    </row>
    <row r="558" spans="2:57" x14ac:dyDescent="0.25">
      <c r="B558" s="304"/>
      <c r="C558" s="305"/>
      <c r="D558" s="305"/>
      <c r="E558" s="305"/>
      <c r="F558" s="305"/>
      <c r="G558" s="305"/>
      <c r="H558" s="305"/>
      <c r="I558" s="305"/>
      <c r="J558" s="305"/>
      <c r="K558" s="305"/>
      <c r="L558" s="305"/>
      <c r="M558" s="305"/>
      <c r="N558" s="305"/>
      <c r="O558" s="305"/>
      <c r="P558" s="305"/>
      <c r="Q558" s="305"/>
      <c r="R558" s="305"/>
      <c r="S558" s="305"/>
      <c r="T558" s="305"/>
      <c r="U558" s="305"/>
      <c r="V558" s="305"/>
      <c r="W558" s="305"/>
      <c r="X558" s="305"/>
      <c r="Y558" s="305"/>
      <c r="Z558" s="305"/>
      <c r="AA558" s="305"/>
      <c r="AB558" s="305"/>
      <c r="AC558" s="305"/>
      <c r="AD558" s="305"/>
      <c r="AE558" s="305"/>
      <c r="AF558" s="305"/>
      <c r="AG558" s="305"/>
      <c r="AH558" s="305"/>
      <c r="AI558" s="305"/>
      <c r="AJ558" s="305"/>
      <c r="AK558" s="305"/>
      <c r="AL558" s="305"/>
      <c r="AM558" s="305"/>
      <c r="AN558" s="305"/>
      <c r="AO558" s="305"/>
      <c r="AP558" s="305"/>
      <c r="AQ558" s="305"/>
      <c r="AR558" s="305"/>
      <c r="AS558" s="305"/>
      <c r="AT558" s="305"/>
      <c r="AU558" s="305"/>
      <c r="AV558" s="305"/>
      <c r="AW558" s="305"/>
      <c r="AX558" s="305"/>
      <c r="AY558" s="305"/>
      <c r="AZ558" s="305"/>
      <c r="BA558" s="305"/>
      <c r="BB558" s="305"/>
      <c r="BC558" s="305"/>
      <c r="BD558" s="305"/>
      <c r="BE558" s="306"/>
    </row>
    <row r="559" spans="2:57" x14ac:dyDescent="0.25">
      <c r="B559" s="304"/>
      <c r="C559" s="403" t="s">
        <v>67</v>
      </c>
      <c r="D559" s="305"/>
      <c r="E559" s="305"/>
      <c r="F559" s="305"/>
      <c r="G559" s="305"/>
      <c r="H559" s="305"/>
      <c r="I559" s="305"/>
      <c r="J559" s="305"/>
      <c r="K559" s="305"/>
      <c r="L559" s="305"/>
      <c r="M559" s="305"/>
      <c r="N559" s="305"/>
      <c r="O559" s="305"/>
      <c r="P559" s="305"/>
      <c r="Q559" s="305"/>
      <c r="R559" s="305"/>
      <c r="S559" s="305"/>
      <c r="T559" s="305"/>
      <c r="U559" s="305"/>
      <c r="V559" s="305"/>
      <c r="W559" s="305"/>
      <c r="X559" s="305"/>
      <c r="Y559" s="305"/>
      <c r="Z559" s="305"/>
      <c r="AA559" s="305"/>
      <c r="AB559" s="305"/>
      <c r="AC559" s="305"/>
      <c r="AD559" s="305"/>
      <c r="AE559" s="305"/>
      <c r="AF559" s="305"/>
      <c r="AG559" s="305"/>
      <c r="AH559" s="305"/>
      <c r="AI559" s="305"/>
      <c r="AJ559" s="305"/>
      <c r="AK559" s="305"/>
      <c r="AL559" s="305"/>
      <c r="AM559" s="305"/>
      <c r="AN559" s="305"/>
      <c r="AO559" s="305"/>
      <c r="AP559" s="305"/>
      <c r="AQ559" s="305"/>
      <c r="AR559" s="305"/>
      <c r="AS559" s="305"/>
      <c r="AT559" s="305"/>
      <c r="AU559" s="305"/>
      <c r="AV559" s="305"/>
      <c r="AW559" s="305"/>
      <c r="AX559" s="305"/>
      <c r="AY559" s="305"/>
      <c r="AZ559" s="305"/>
      <c r="BA559" s="305"/>
      <c r="BB559" s="305"/>
      <c r="BC559" s="305"/>
      <c r="BD559" s="305"/>
      <c r="BE559" s="306"/>
    </row>
    <row r="560" spans="2:57" x14ac:dyDescent="0.25">
      <c r="B560" s="304"/>
      <c r="C560" s="305" t="s">
        <v>73</v>
      </c>
      <c r="D560" s="305"/>
      <c r="E560" s="305"/>
      <c r="F560" s="305"/>
      <c r="G560" s="1268"/>
      <c r="H560" s="1268">
        <f>IF(H$299&gt;$G554,0,IPMT($G555,H$299,$G554,-$G553))</f>
        <v>0</v>
      </c>
      <c r="I560" s="1268">
        <f t="shared" ref="I560:BE560" si="187">IF(I$299&gt;$G554,0,IPMT($G555,I$299,$G554,-$G553))</f>
        <v>0</v>
      </c>
      <c r="J560" s="1268">
        <f t="shared" si="187"/>
        <v>0</v>
      </c>
      <c r="K560" s="1268">
        <f t="shared" si="187"/>
        <v>0</v>
      </c>
      <c r="L560" s="1268">
        <f t="shared" si="187"/>
        <v>0</v>
      </c>
      <c r="M560" s="1268">
        <f t="shared" si="187"/>
        <v>0</v>
      </c>
      <c r="N560" s="1268">
        <f t="shared" si="187"/>
        <v>0</v>
      </c>
      <c r="O560" s="1268">
        <f t="shared" si="187"/>
        <v>0</v>
      </c>
      <c r="P560" s="1268">
        <f t="shared" si="187"/>
        <v>0</v>
      </c>
      <c r="Q560" s="1268">
        <f t="shared" si="187"/>
        <v>0</v>
      </c>
      <c r="R560" s="1268">
        <f t="shared" si="187"/>
        <v>0</v>
      </c>
      <c r="S560" s="1268">
        <f t="shared" si="187"/>
        <v>0</v>
      </c>
      <c r="T560" s="1268">
        <f t="shared" si="187"/>
        <v>0</v>
      </c>
      <c r="U560" s="1268">
        <f t="shared" si="187"/>
        <v>0</v>
      </c>
      <c r="V560" s="1268">
        <f t="shared" si="187"/>
        <v>0</v>
      </c>
      <c r="W560" s="1268">
        <f t="shared" si="187"/>
        <v>0</v>
      </c>
      <c r="X560" s="1268">
        <f t="shared" si="187"/>
        <v>0</v>
      </c>
      <c r="Y560" s="1268">
        <f t="shared" si="187"/>
        <v>0</v>
      </c>
      <c r="Z560" s="1268">
        <f t="shared" si="187"/>
        <v>0</v>
      </c>
      <c r="AA560" s="1268">
        <f t="shared" si="187"/>
        <v>0</v>
      </c>
      <c r="AB560" s="1268">
        <f t="shared" si="187"/>
        <v>0</v>
      </c>
      <c r="AC560" s="1268">
        <f t="shared" si="187"/>
        <v>0</v>
      </c>
      <c r="AD560" s="1268">
        <f t="shared" si="187"/>
        <v>0</v>
      </c>
      <c r="AE560" s="1268">
        <f t="shared" si="187"/>
        <v>0</v>
      </c>
      <c r="AF560" s="1268">
        <f t="shared" si="187"/>
        <v>0</v>
      </c>
      <c r="AG560" s="1268">
        <f t="shared" si="187"/>
        <v>0</v>
      </c>
      <c r="AH560" s="1268">
        <f t="shared" si="187"/>
        <v>0</v>
      </c>
      <c r="AI560" s="1268">
        <f t="shared" si="187"/>
        <v>0</v>
      </c>
      <c r="AJ560" s="1268">
        <f t="shared" si="187"/>
        <v>0</v>
      </c>
      <c r="AK560" s="1268">
        <f t="shared" si="187"/>
        <v>0</v>
      </c>
      <c r="AL560" s="1268">
        <f t="shared" si="187"/>
        <v>0</v>
      </c>
      <c r="AM560" s="1268">
        <f t="shared" si="187"/>
        <v>0</v>
      </c>
      <c r="AN560" s="1268">
        <f t="shared" si="187"/>
        <v>0</v>
      </c>
      <c r="AO560" s="1268">
        <f t="shared" si="187"/>
        <v>0</v>
      </c>
      <c r="AP560" s="1268">
        <f t="shared" si="187"/>
        <v>0</v>
      </c>
      <c r="AQ560" s="1268">
        <f t="shared" si="187"/>
        <v>0</v>
      </c>
      <c r="AR560" s="1268">
        <f t="shared" si="187"/>
        <v>0</v>
      </c>
      <c r="AS560" s="1268">
        <f t="shared" si="187"/>
        <v>0</v>
      </c>
      <c r="AT560" s="1268">
        <f t="shared" si="187"/>
        <v>0</v>
      </c>
      <c r="AU560" s="1268">
        <f t="shared" si="187"/>
        <v>0</v>
      </c>
      <c r="AV560" s="1268">
        <f t="shared" si="187"/>
        <v>0</v>
      </c>
      <c r="AW560" s="1268">
        <f t="shared" si="187"/>
        <v>0</v>
      </c>
      <c r="AX560" s="1268">
        <f t="shared" si="187"/>
        <v>0</v>
      </c>
      <c r="AY560" s="1268">
        <f t="shared" si="187"/>
        <v>0</v>
      </c>
      <c r="AZ560" s="1268">
        <f t="shared" si="187"/>
        <v>0</v>
      </c>
      <c r="BA560" s="1268">
        <f t="shared" si="187"/>
        <v>0</v>
      </c>
      <c r="BB560" s="1268">
        <f t="shared" si="187"/>
        <v>0</v>
      </c>
      <c r="BC560" s="1268">
        <f t="shared" si="187"/>
        <v>0</v>
      </c>
      <c r="BD560" s="1268">
        <f t="shared" si="187"/>
        <v>0</v>
      </c>
      <c r="BE560" s="1269">
        <f t="shared" si="187"/>
        <v>0</v>
      </c>
    </row>
    <row r="561" spans="2:57" x14ac:dyDescent="0.25">
      <c r="B561" s="304"/>
      <c r="C561" s="312" t="s">
        <v>72</v>
      </c>
      <c r="D561" s="312"/>
      <c r="E561" s="312"/>
      <c r="F561" s="312"/>
      <c r="G561" s="1270"/>
      <c r="H561" s="1270">
        <f>IF(H$299&gt;$G554,0,PPMT($G555,H$299,$G554,-$G553))</f>
        <v>0</v>
      </c>
      <c r="I561" s="1270">
        <f t="shared" ref="I561:BE561" si="188">IF(I$299&gt;$G554,0,PPMT($G555,I$299,$G554,-$G553))</f>
        <v>0</v>
      </c>
      <c r="J561" s="1270">
        <f t="shared" si="188"/>
        <v>0</v>
      </c>
      <c r="K561" s="1270">
        <f t="shared" si="188"/>
        <v>0</v>
      </c>
      <c r="L561" s="1270">
        <f t="shared" si="188"/>
        <v>0</v>
      </c>
      <c r="M561" s="1270">
        <f t="shared" si="188"/>
        <v>0</v>
      </c>
      <c r="N561" s="1270">
        <f t="shared" si="188"/>
        <v>0</v>
      </c>
      <c r="O561" s="1270">
        <f t="shared" si="188"/>
        <v>0</v>
      </c>
      <c r="P561" s="1270">
        <f t="shared" si="188"/>
        <v>0</v>
      </c>
      <c r="Q561" s="1270">
        <f t="shared" si="188"/>
        <v>0</v>
      </c>
      <c r="R561" s="1270">
        <f t="shared" si="188"/>
        <v>0</v>
      </c>
      <c r="S561" s="1270">
        <f t="shared" si="188"/>
        <v>0</v>
      </c>
      <c r="T561" s="1270">
        <f t="shared" si="188"/>
        <v>0</v>
      </c>
      <c r="U561" s="1270">
        <f t="shared" si="188"/>
        <v>0</v>
      </c>
      <c r="V561" s="1270">
        <f t="shared" si="188"/>
        <v>0</v>
      </c>
      <c r="W561" s="1270">
        <f t="shared" si="188"/>
        <v>0</v>
      </c>
      <c r="X561" s="1270">
        <f t="shared" si="188"/>
        <v>0</v>
      </c>
      <c r="Y561" s="1270">
        <f t="shared" si="188"/>
        <v>0</v>
      </c>
      <c r="Z561" s="1270">
        <f t="shared" si="188"/>
        <v>0</v>
      </c>
      <c r="AA561" s="1270">
        <f t="shared" si="188"/>
        <v>0</v>
      </c>
      <c r="AB561" s="1270">
        <f t="shared" si="188"/>
        <v>0</v>
      </c>
      <c r="AC561" s="1270">
        <f t="shared" si="188"/>
        <v>0</v>
      </c>
      <c r="AD561" s="1270">
        <f t="shared" si="188"/>
        <v>0</v>
      </c>
      <c r="AE561" s="1270">
        <f t="shared" si="188"/>
        <v>0</v>
      </c>
      <c r="AF561" s="1270">
        <f t="shared" si="188"/>
        <v>0</v>
      </c>
      <c r="AG561" s="1270">
        <f t="shared" si="188"/>
        <v>0</v>
      </c>
      <c r="AH561" s="1270">
        <f t="shared" si="188"/>
        <v>0</v>
      </c>
      <c r="AI561" s="1270">
        <f t="shared" si="188"/>
        <v>0</v>
      </c>
      <c r="AJ561" s="1270">
        <f t="shared" si="188"/>
        <v>0</v>
      </c>
      <c r="AK561" s="1270">
        <f t="shared" si="188"/>
        <v>0</v>
      </c>
      <c r="AL561" s="1270">
        <f t="shared" si="188"/>
        <v>0</v>
      </c>
      <c r="AM561" s="1270">
        <f t="shared" si="188"/>
        <v>0</v>
      </c>
      <c r="AN561" s="1270">
        <f t="shared" si="188"/>
        <v>0</v>
      </c>
      <c r="AO561" s="1270">
        <f t="shared" si="188"/>
        <v>0</v>
      </c>
      <c r="AP561" s="1270">
        <f t="shared" si="188"/>
        <v>0</v>
      </c>
      <c r="AQ561" s="1270">
        <f t="shared" si="188"/>
        <v>0</v>
      </c>
      <c r="AR561" s="1270">
        <f t="shared" si="188"/>
        <v>0</v>
      </c>
      <c r="AS561" s="1270">
        <f t="shared" si="188"/>
        <v>0</v>
      </c>
      <c r="AT561" s="1270">
        <f t="shared" si="188"/>
        <v>0</v>
      </c>
      <c r="AU561" s="1270">
        <f t="shared" si="188"/>
        <v>0</v>
      </c>
      <c r="AV561" s="1270">
        <f t="shared" si="188"/>
        <v>0</v>
      </c>
      <c r="AW561" s="1270">
        <f t="shared" si="188"/>
        <v>0</v>
      </c>
      <c r="AX561" s="1270">
        <f t="shared" si="188"/>
        <v>0</v>
      </c>
      <c r="AY561" s="1270">
        <f t="shared" si="188"/>
        <v>0</v>
      </c>
      <c r="AZ561" s="1270">
        <f t="shared" si="188"/>
        <v>0</v>
      </c>
      <c r="BA561" s="1270">
        <f t="shared" si="188"/>
        <v>0</v>
      </c>
      <c r="BB561" s="1270">
        <f t="shared" si="188"/>
        <v>0</v>
      </c>
      <c r="BC561" s="1270">
        <f t="shared" si="188"/>
        <v>0</v>
      </c>
      <c r="BD561" s="1270">
        <f t="shared" si="188"/>
        <v>0</v>
      </c>
      <c r="BE561" s="1271">
        <f t="shared" si="188"/>
        <v>0</v>
      </c>
    </row>
    <row r="562" spans="2:57" x14ac:dyDescent="0.25">
      <c r="B562" s="304"/>
      <c r="C562" s="305" t="s">
        <v>74</v>
      </c>
      <c r="D562" s="305"/>
      <c r="E562" s="305"/>
      <c r="F562" s="305"/>
      <c r="G562" s="1268"/>
      <c r="H562" s="1268">
        <f>SUM(H560:H561)</f>
        <v>0</v>
      </c>
      <c r="I562" s="1268">
        <f t="shared" ref="I562:BE562" si="189">SUM(I560:I561)</f>
        <v>0</v>
      </c>
      <c r="J562" s="1268">
        <f t="shared" si="189"/>
        <v>0</v>
      </c>
      <c r="K562" s="1268">
        <f t="shared" si="189"/>
        <v>0</v>
      </c>
      <c r="L562" s="1268">
        <f t="shared" si="189"/>
        <v>0</v>
      </c>
      <c r="M562" s="1268">
        <f t="shared" si="189"/>
        <v>0</v>
      </c>
      <c r="N562" s="1268">
        <f t="shared" si="189"/>
        <v>0</v>
      </c>
      <c r="O562" s="1268">
        <f t="shared" si="189"/>
        <v>0</v>
      </c>
      <c r="P562" s="1268">
        <f t="shared" si="189"/>
        <v>0</v>
      </c>
      <c r="Q562" s="1268">
        <f t="shared" si="189"/>
        <v>0</v>
      </c>
      <c r="R562" s="1268">
        <f t="shared" si="189"/>
        <v>0</v>
      </c>
      <c r="S562" s="1268">
        <f t="shared" si="189"/>
        <v>0</v>
      </c>
      <c r="T562" s="1268">
        <f t="shared" si="189"/>
        <v>0</v>
      </c>
      <c r="U562" s="1268">
        <f t="shared" si="189"/>
        <v>0</v>
      </c>
      <c r="V562" s="1268">
        <f t="shared" si="189"/>
        <v>0</v>
      </c>
      <c r="W562" s="1268">
        <f t="shared" si="189"/>
        <v>0</v>
      </c>
      <c r="X562" s="1268">
        <f t="shared" si="189"/>
        <v>0</v>
      </c>
      <c r="Y562" s="1268">
        <f t="shared" si="189"/>
        <v>0</v>
      </c>
      <c r="Z562" s="1268">
        <f t="shared" si="189"/>
        <v>0</v>
      </c>
      <c r="AA562" s="1268">
        <f t="shared" si="189"/>
        <v>0</v>
      </c>
      <c r="AB562" s="1268">
        <f t="shared" si="189"/>
        <v>0</v>
      </c>
      <c r="AC562" s="1268">
        <f t="shared" si="189"/>
        <v>0</v>
      </c>
      <c r="AD562" s="1268">
        <f t="shared" si="189"/>
        <v>0</v>
      </c>
      <c r="AE562" s="1268">
        <f t="shared" si="189"/>
        <v>0</v>
      </c>
      <c r="AF562" s="1268">
        <f t="shared" si="189"/>
        <v>0</v>
      </c>
      <c r="AG562" s="1268">
        <f t="shared" si="189"/>
        <v>0</v>
      </c>
      <c r="AH562" s="1268">
        <f t="shared" si="189"/>
        <v>0</v>
      </c>
      <c r="AI562" s="1268">
        <f t="shared" si="189"/>
        <v>0</v>
      </c>
      <c r="AJ562" s="1268">
        <f t="shared" si="189"/>
        <v>0</v>
      </c>
      <c r="AK562" s="1268">
        <f t="shared" si="189"/>
        <v>0</v>
      </c>
      <c r="AL562" s="1268">
        <f t="shared" si="189"/>
        <v>0</v>
      </c>
      <c r="AM562" s="1268">
        <f t="shared" si="189"/>
        <v>0</v>
      </c>
      <c r="AN562" s="1268">
        <f t="shared" si="189"/>
        <v>0</v>
      </c>
      <c r="AO562" s="1268">
        <f t="shared" si="189"/>
        <v>0</v>
      </c>
      <c r="AP562" s="1268">
        <f t="shared" si="189"/>
        <v>0</v>
      </c>
      <c r="AQ562" s="1268">
        <f t="shared" si="189"/>
        <v>0</v>
      </c>
      <c r="AR562" s="1268">
        <f t="shared" si="189"/>
        <v>0</v>
      </c>
      <c r="AS562" s="1268">
        <f t="shared" si="189"/>
        <v>0</v>
      </c>
      <c r="AT562" s="1268">
        <f t="shared" si="189"/>
        <v>0</v>
      </c>
      <c r="AU562" s="1268">
        <f t="shared" si="189"/>
        <v>0</v>
      </c>
      <c r="AV562" s="1268">
        <f t="shared" si="189"/>
        <v>0</v>
      </c>
      <c r="AW562" s="1268">
        <f t="shared" si="189"/>
        <v>0</v>
      </c>
      <c r="AX562" s="1268">
        <f t="shared" si="189"/>
        <v>0</v>
      </c>
      <c r="AY562" s="1268">
        <f t="shared" si="189"/>
        <v>0</v>
      </c>
      <c r="AZ562" s="1268">
        <f t="shared" si="189"/>
        <v>0</v>
      </c>
      <c r="BA562" s="1268">
        <f t="shared" si="189"/>
        <v>0</v>
      </c>
      <c r="BB562" s="1268">
        <f t="shared" si="189"/>
        <v>0</v>
      </c>
      <c r="BC562" s="1268">
        <f t="shared" si="189"/>
        <v>0</v>
      </c>
      <c r="BD562" s="1268">
        <f t="shared" si="189"/>
        <v>0</v>
      </c>
      <c r="BE562" s="1269">
        <f t="shared" si="189"/>
        <v>0</v>
      </c>
    </row>
    <row r="563" spans="2:57" x14ac:dyDescent="0.25">
      <c r="B563" s="304"/>
      <c r="C563" s="305"/>
      <c r="D563" s="305"/>
      <c r="E563" s="305"/>
      <c r="F563" s="305"/>
      <c r="G563" s="1268"/>
      <c r="H563" s="1268"/>
      <c r="I563" s="1268"/>
      <c r="J563" s="1268"/>
      <c r="K563" s="1268"/>
      <c r="L563" s="1268"/>
      <c r="M563" s="1268"/>
      <c r="N563" s="1268"/>
      <c r="O563" s="1268"/>
      <c r="P563" s="1268"/>
      <c r="Q563" s="1268"/>
      <c r="R563" s="1268"/>
      <c r="S563" s="1268"/>
      <c r="T563" s="1268"/>
      <c r="U563" s="1268"/>
      <c r="V563" s="1268"/>
      <c r="W563" s="1268"/>
      <c r="X563" s="1268"/>
      <c r="Y563" s="1268"/>
      <c r="Z563" s="1268"/>
      <c r="AA563" s="1268"/>
      <c r="AB563" s="1268"/>
      <c r="AC563" s="1268"/>
      <c r="AD563" s="1268"/>
      <c r="AE563" s="1268"/>
      <c r="AF563" s="1268"/>
      <c r="AG563" s="1268"/>
      <c r="AH563" s="1268"/>
      <c r="AI563" s="1268"/>
      <c r="AJ563" s="1268"/>
      <c r="AK563" s="1268"/>
      <c r="AL563" s="1268"/>
      <c r="AM563" s="1268"/>
      <c r="AN563" s="1268"/>
      <c r="AO563" s="1268"/>
      <c r="AP563" s="1268"/>
      <c r="AQ563" s="1268"/>
      <c r="AR563" s="1268"/>
      <c r="AS563" s="1268"/>
      <c r="AT563" s="1268"/>
      <c r="AU563" s="1268"/>
      <c r="AV563" s="1268"/>
      <c r="AW563" s="1268"/>
      <c r="AX563" s="1268"/>
      <c r="AY563" s="1268"/>
      <c r="AZ563" s="1268"/>
      <c r="BA563" s="1268"/>
      <c r="BB563" s="1268"/>
      <c r="BC563" s="1268"/>
      <c r="BD563" s="1268"/>
      <c r="BE563" s="1269"/>
    </row>
    <row r="564" spans="2:57" x14ac:dyDescent="0.25">
      <c r="B564" s="304"/>
      <c r="C564" s="404" t="s">
        <v>65</v>
      </c>
      <c r="D564" s="305"/>
      <c r="E564" s="305"/>
      <c r="F564" s="305"/>
      <c r="G564" s="1268"/>
      <c r="H564" s="1268"/>
      <c r="I564" s="1268"/>
      <c r="J564" s="1268"/>
      <c r="K564" s="1268"/>
      <c r="L564" s="1268"/>
      <c r="M564" s="1268"/>
      <c r="N564" s="1268"/>
      <c r="O564" s="1268"/>
      <c r="P564" s="1268"/>
      <c r="Q564" s="1268"/>
      <c r="R564" s="1268"/>
      <c r="S564" s="1268"/>
      <c r="T564" s="1268"/>
      <c r="U564" s="1268"/>
      <c r="V564" s="1268"/>
      <c r="W564" s="1268"/>
      <c r="X564" s="1268"/>
      <c r="Y564" s="1268"/>
      <c r="Z564" s="1268"/>
      <c r="AA564" s="1268"/>
      <c r="AB564" s="1268"/>
      <c r="AC564" s="1268"/>
      <c r="AD564" s="1268"/>
      <c r="AE564" s="1268"/>
      <c r="AF564" s="1268"/>
      <c r="AG564" s="1268"/>
      <c r="AH564" s="1268"/>
      <c r="AI564" s="1268"/>
      <c r="AJ564" s="1268"/>
      <c r="AK564" s="1268"/>
      <c r="AL564" s="1268"/>
      <c r="AM564" s="1268"/>
      <c r="AN564" s="1268"/>
      <c r="AO564" s="1268"/>
      <c r="AP564" s="1268"/>
      <c r="AQ564" s="1268"/>
      <c r="AR564" s="1268"/>
      <c r="AS564" s="1268"/>
      <c r="AT564" s="1268"/>
      <c r="AU564" s="1268"/>
      <c r="AV564" s="1268"/>
      <c r="AW564" s="1268"/>
      <c r="AX564" s="1268"/>
      <c r="AY564" s="1268"/>
      <c r="AZ564" s="1268"/>
      <c r="BA564" s="1268"/>
      <c r="BB564" s="1268"/>
      <c r="BC564" s="1268"/>
      <c r="BD564" s="1268"/>
      <c r="BE564" s="1269"/>
    </row>
    <row r="565" spans="2:57" x14ac:dyDescent="0.25">
      <c r="B565" s="304"/>
      <c r="C565" s="305" t="s">
        <v>75</v>
      </c>
      <c r="D565" s="305"/>
      <c r="E565" s="305"/>
      <c r="F565" s="305"/>
      <c r="G565" s="1268">
        <v>0</v>
      </c>
      <c r="H565" s="1268">
        <f t="shared" ref="H565:AM565" si="190">G568</f>
        <v>0</v>
      </c>
      <c r="I565" s="1268">
        <f t="shared" si="190"/>
        <v>0</v>
      </c>
      <c r="J565" s="1268">
        <f t="shared" si="190"/>
        <v>0</v>
      </c>
      <c r="K565" s="1268">
        <f t="shared" si="190"/>
        <v>0</v>
      </c>
      <c r="L565" s="1268">
        <f t="shared" si="190"/>
        <v>0</v>
      </c>
      <c r="M565" s="1268">
        <f t="shared" si="190"/>
        <v>0</v>
      </c>
      <c r="N565" s="1268">
        <f t="shared" si="190"/>
        <v>0</v>
      </c>
      <c r="O565" s="1268">
        <f t="shared" si="190"/>
        <v>0</v>
      </c>
      <c r="P565" s="1268">
        <f t="shared" si="190"/>
        <v>0</v>
      </c>
      <c r="Q565" s="1268">
        <f t="shared" si="190"/>
        <v>0</v>
      </c>
      <c r="R565" s="1268">
        <f t="shared" si="190"/>
        <v>0</v>
      </c>
      <c r="S565" s="1268">
        <f t="shared" si="190"/>
        <v>0</v>
      </c>
      <c r="T565" s="1268">
        <f t="shared" si="190"/>
        <v>0</v>
      </c>
      <c r="U565" s="1268">
        <f t="shared" si="190"/>
        <v>0</v>
      </c>
      <c r="V565" s="1268">
        <f t="shared" si="190"/>
        <v>0</v>
      </c>
      <c r="W565" s="1268">
        <f t="shared" si="190"/>
        <v>0</v>
      </c>
      <c r="X565" s="1268">
        <f t="shared" si="190"/>
        <v>0</v>
      </c>
      <c r="Y565" s="1268">
        <f t="shared" si="190"/>
        <v>0</v>
      </c>
      <c r="Z565" s="1268">
        <f t="shared" si="190"/>
        <v>0</v>
      </c>
      <c r="AA565" s="1268">
        <f t="shared" si="190"/>
        <v>0</v>
      </c>
      <c r="AB565" s="1268">
        <f t="shared" si="190"/>
        <v>0</v>
      </c>
      <c r="AC565" s="1268">
        <f t="shared" si="190"/>
        <v>0</v>
      </c>
      <c r="AD565" s="1268">
        <f t="shared" si="190"/>
        <v>0</v>
      </c>
      <c r="AE565" s="1268">
        <f t="shared" si="190"/>
        <v>0</v>
      </c>
      <c r="AF565" s="1268">
        <f t="shared" si="190"/>
        <v>0</v>
      </c>
      <c r="AG565" s="1268">
        <f t="shared" si="190"/>
        <v>0</v>
      </c>
      <c r="AH565" s="1268">
        <f t="shared" si="190"/>
        <v>0</v>
      </c>
      <c r="AI565" s="1268">
        <f t="shared" si="190"/>
        <v>0</v>
      </c>
      <c r="AJ565" s="1268">
        <f t="shared" si="190"/>
        <v>0</v>
      </c>
      <c r="AK565" s="1268">
        <f t="shared" si="190"/>
        <v>0</v>
      </c>
      <c r="AL565" s="1268">
        <f t="shared" si="190"/>
        <v>0</v>
      </c>
      <c r="AM565" s="1268">
        <f t="shared" si="190"/>
        <v>0</v>
      </c>
      <c r="AN565" s="1268">
        <f t="shared" ref="AN565:BE565" si="191">AM568</f>
        <v>0</v>
      </c>
      <c r="AO565" s="1268">
        <f t="shared" si="191"/>
        <v>0</v>
      </c>
      <c r="AP565" s="1268">
        <f t="shared" si="191"/>
        <v>0</v>
      </c>
      <c r="AQ565" s="1268">
        <f t="shared" si="191"/>
        <v>0</v>
      </c>
      <c r="AR565" s="1268">
        <f t="shared" si="191"/>
        <v>0</v>
      </c>
      <c r="AS565" s="1268">
        <f t="shared" si="191"/>
        <v>0</v>
      </c>
      <c r="AT565" s="1268">
        <f t="shared" si="191"/>
        <v>0</v>
      </c>
      <c r="AU565" s="1268">
        <f t="shared" si="191"/>
        <v>0</v>
      </c>
      <c r="AV565" s="1268">
        <f t="shared" si="191"/>
        <v>0</v>
      </c>
      <c r="AW565" s="1268">
        <f t="shared" si="191"/>
        <v>0</v>
      </c>
      <c r="AX565" s="1268">
        <f t="shared" si="191"/>
        <v>0</v>
      </c>
      <c r="AY565" s="1268">
        <f t="shared" si="191"/>
        <v>0</v>
      </c>
      <c r="AZ565" s="1268">
        <f t="shared" si="191"/>
        <v>0</v>
      </c>
      <c r="BA565" s="1268">
        <f t="shared" si="191"/>
        <v>0</v>
      </c>
      <c r="BB565" s="1268">
        <f t="shared" si="191"/>
        <v>0</v>
      </c>
      <c r="BC565" s="1268">
        <f t="shared" si="191"/>
        <v>0</v>
      </c>
      <c r="BD565" s="1268">
        <f t="shared" si="191"/>
        <v>0</v>
      </c>
      <c r="BE565" s="1269">
        <f t="shared" si="191"/>
        <v>0</v>
      </c>
    </row>
    <row r="566" spans="2:57" x14ac:dyDescent="0.25">
      <c r="B566" s="304"/>
      <c r="C566" s="305" t="s">
        <v>76</v>
      </c>
      <c r="D566" s="305"/>
      <c r="E566" s="305"/>
      <c r="F566" s="305"/>
      <c r="G566" s="1268">
        <f>G553</f>
        <v>0</v>
      </c>
      <c r="H566" s="1268">
        <v>0</v>
      </c>
      <c r="I566" s="1268">
        <v>0</v>
      </c>
      <c r="J566" s="1268">
        <v>0</v>
      </c>
      <c r="K566" s="1268">
        <v>0</v>
      </c>
      <c r="L566" s="1268">
        <v>0</v>
      </c>
      <c r="M566" s="1268">
        <v>0</v>
      </c>
      <c r="N566" s="1268">
        <v>0</v>
      </c>
      <c r="O566" s="1268">
        <v>0</v>
      </c>
      <c r="P566" s="1268">
        <v>0</v>
      </c>
      <c r="Q566" s="1268">
        <v>0</v>
      </c>
      <c r="R566" s="1268">
        <v>0</v>
      </c>
      <c r="S566" s="1268">
        <v>0</v>
      </c>
      <c r="T566" s="1268">
        <v>0</v>
      </c>
      <c r="U566" s="1268">
        <v>0</v>
      </c>
      <c r="V566" s="1268">
        <v>0</v>
      </c>
      <c r="W566" s="1268">
        <v>0</v>
      </c>
      <c r="X566" s="1268">
        <v>0</v>
      </c>
      <c r="Y566" s="1268">
        <v>0</v>
      </c>
      <c r="Z566" s="1268">
        <v>0</v>
      </c>
      <c r="AA566" s="1268">
        <v>0</v>
      </c>
      <c r="AB566" s="1268">
        <v>0</v>
      </c>
      <c r="AC566" s="1268">
        <v>0</v>
      </c>
      <c r="AD566" s="1268">
        <v>0</v>
      </c>
      <c r="AE566" s="1268">
        <v>0</v>
      </c>
      <c r="AF566" s="1268">
        <v>0</v>
      </c>
      <c r="AG566" s="1268">
        <v>0</v>
      </c>
      <c r="AH566" s="1268">
        <v>0</v>
      </c>
      <c r="AI566" s="1268">
        <v>0</v>
      </c>
      <c r="AJ566" s="1268">
        <v>0</v>
      </c>
      <c r="AK566" s="1268">
        <v>0</v>
      </c>
      <c r="AL566" s="1268">
        <v>0</v>
      </c>
      <c r="AM566" s="1268">
        <v>0</v>
      </c>
      <c r="AN566" s="1268">
        <v>0</v>
      </c>
      <c r="AO566" s="1268">
        <v>0</v>
      </c>
      <c r="AP566" s="1268">
        <v>0</v>
      </c>
      <c r="AQ566" s="1268">
        <v>0</v>
      </c>
      <c r="AR566" s="1268">
        <v>0</v>
      </c>
      <c r="AS566" s="1268">
        <v>0</v>
      </c>
      <c r="AT566" s="1268">
        <v>0</v>
      </c>
      <c r="AU566" s="1268">
        <v>0</v>
      </c>
      <c r="AV566" s="1268">
        <v>0</v>
      </c>
      <c r="AW566" s="1268">
        <v>0</v>
      </c>
      <c r="AX566" s="1268">
        <v>0</v>
      </c>
      <c r="AY566" s="1268">
        <v>0</v>
      </c>
      <c r="AZ566" s="1268">
        <v>0</v>
      </c>
      <c r="BA566" s="1268">
        <v>0</v>
      </c>
      <c r="BB566" s="1268">
        <v>0</v>
      </c>
      <c r="BC566" s="1268">
        <v>0</v>
      </c>
      <c r="BD566" s="1268">
        <v>0</v>
      </c>
      <c r="BE566" s="1269">
        <v>0</v>
      </c>
    </row>
    <row r="567" spans="2:57" x14ac:dyDescent="0.25">
      <c r="B567" s="304"/>
      <c r="C567" s="312" t="s">
        <v>77</v>
      </c>
      <c r="D567" s="312"/>
      <c r="E567" s="312"/>
      <c r="F567" s="312"/>
      <c r="G567" s="1270">
        <v>0</v>
      </c>
      <c r="H567" s="1270">
        <f>-H561</f>
        <v>0</v>
      </c>
      <c r="I567" s="1270">
        <f t="shared" ref="I567:BE567" si="192">-I561</f>
        <v>0</v>
      </c>
      <c r="J567" s="1270">
        <f t="shared" si="192"/>
        <v>0</v>
      </c>
      <c r="K567" s="1270">
        <f t="shared" si="192"/>
        <v>0</v>
      </c>
      <c r="L567" s="1270">
        <f t="shared" si="192"/>
        <v>0</v>
      </c>
      <c r="M567" s="1270">
        <f t="shared" si="192"/>
        <v>0</v>
      </c>
      <c r="N567" s="1270">
        <f t="shared" si="192"/>
        <v>0</v>
      </c>
      <c r="O567" s="1270">
        <f t="shared" si="192"/>
        <v>0</v>
      </c>
      <c r="P567" s="1270">
        <f t="shared" si="192"/>
        <v>0</v>
      </c>
      <c r="Q567" s="1270">
        <f t="shared" si="192"/>
        <v>0</v>
      </c>
      <c r="R567" s="1270">
        <f t="shared" si="192"/>
        <v>0</v>
      </c>
      <c r="S567" s="1270">
        <f t="shared" si="192"/>
        <v>0</v>
      </c>
      <c r="T567" s="1270">
        <f t="shared" si="192"/>
        <v>0</v>
      </c>
      <c r="U567" s="1270">
        <f t="shared" si="192"/>
        <v>0</v>
      </c>
      <c r="V567" s="1270">
        <f t="shared" si="192"/>
        <v>0</v>
      </c>
      <c r="W567" s="1270">
        <f t="shared" si="192"/>
        <v>0</v>
      </c>
      <c r="X567" s="1270">
        <f t="shared" si="192"/>
        <v>0</v>
      </c>
      <c r="Y567" s="1270">
        <f t="shared" si="192"/>
        <v>0</v>
      </c>
      <c r="Z567" s="1270">
        <f t="shared" si="192"/>
        <v>0</v>
      </c>
      <c r="AA567" s="1270">
        <f t="shared" si="192"/>
        <v>0</v>
      </c>
      <c r="AB567" s="1270">
        <f t="shared" si="192"/>
        <v>0</v>
      </c>
      <c r="AC567" s="1270">
        <f t="shared" si="192"/>
        <v>0</v>
      </c>
      <c r="AD567" s="1270">
        <f t="shared" si="192"/>
        <v>0</v>
      </c>
      <c r="AE567" s="1270">
        <f t="shared" si="192"/>
        <v>0</v>
      </c>
      <c r="AF567" s="1270">
        <f t="shared" si="192"/>
        <v>0</v>
      </c>
      <c r="AG567" s="1270">
        <f t="shared" si="192"/>
        <v>0</v>
      </c>
      <c r="AH567" s="1270">
        <f t="shared" si="192"/>
        <v>0</v>
      </c>
      <c r="AI567" s="1270">
        <f t="shared" si="192"/>
        <v>0</v>
      </c>
      <c r="AJ567" s="1270">
        <f t="shared" si="192"/>
        <v>0</v>
      </c>
      <c r="AK567" s="1270">
        <f t="shared" si="192"/>
        <v>0</v>
      </c>
      <c r="AL567" s="1270">
        <f t="shared" si="192"/>
        <v>0</v>
      </c>
      <c r="AM567" s="1270">
        <f t="shared" si="192"/>
        <v>0</v>
      </c>
      <c r="AN567" s="1270">
        <f t="shared" si="192"/>
        <v>0</v>
      </c>
      <c r="AO567" s="1270">
        <f t="shared" si="192"/>
        <v>0</v>
      </c>
      <c r="AP567" s="1270">
        <f t="shared" si="192"/>
        <v>0</v>
      </c>
      <c r="AQ567" s="1270">
        <f t="shared" si="192"/>
        <v>0</v>
      </c>
      <c r="AR567" s="1270">
        <f t="shared" si="192"/>
        <v>0</v>
      </c>
      <c r="AS567" s="1270">
        <f t="shared" si="192"/>
        <v>0</v>
      </c>
      <c r="AT567" s="1270">
        <f t="shared" si="192"/>
        <v>0</v>
      </c>
      <c r="AU567" s="1270">
        <f t="shared" si="192"/>
        <v>0</v>
      </c>
      <c r="AV567" s="1270">
        <f t="shared" si="192"/>
        <v>0</v>
      </c>
      <c r="AW567" s="1270">
        <f t="shared" si="192"/>
        <v>0</v>
      </c>
      <c r="AX567" s="1270">
        <f t="shared" si="192"/>
        <v>0</v>
      </c>
      <c r="AY567" s="1270">
        <f t="shared" si="192"/>
        <v>0</v>
      </c>
      <c r="AZ567" s="1270">
        <f t="shared" si="192"/>
        <v>0</v>
      </c>
      <c r="BA567" s="1270">
        <f t="shared" si="192"/>
        <v>0</v>
      </c>
      <c r="BB567" s="1270">
        <f t="shared" si="192"/>
        <v>0</v>
      </c>
      <c r="BC567" s="1270">
        <f t="shared" si="192"/>
        <v>0</v>
      </c>
      <c r="BD567" s="1270">
        <f t="shared" si="192"/>
        <v>0</v>
      </c>
      <c r="BE567" s="1271">
        <f t="shared" si="192"/>
        <v>0</v>
      </c>
    </row>
    <row r="568" spans="2:57" x14ac:dyDescent="0.25">
      <c r="B568" s="304"/>
      <c r="C568" s="305" t="s">
        <v>66</v>
      </c>
      <c r="D568" s="305"/>
      <c r="E568" s="305"/>
      <c r="F568" s="305"/>
      <c r="G568" s="1268">
        <f>SUM(G565:G567)</f>
        <v>0</v>
      </c>
      <c r="H568" s="1268">
        <f>SUM(H565:H567)</f>
        <v>0</v>
      </c>
      <c r="I568" s="1268">
        <f t="shared" ref="I568:BE568" si="193">SUM(I565:I567)</f>
        <v>0</v>
      </c>
      <c r="J568" s="1268">
        <f t="shared" si="193"/>
        <v>0</v>
      </c>
      <c r="K568" s="1268">
        <f t="shared" si="193"/>
        <v>0</v>
      </c>
      <c r="L568" s="1268">
        <f t="shared" si="193"/>
        <v>0</v>
      </c>
      <c r="M568" s="1268">
        <f t="shared" si="193"/>
        <v>0</v>
      </c>
      <c r="N568" s="1268">
        <f t="shared" si="193"/>
        <v>0</v>
      </c>
      <c r="O568" s="1268">
        <f t="shared" si="193"/>
        <v>0</v>
      </c>
      <c r="P568" s="1268">
        <f t="shared" si="193"/>
        <v>0</v>
      </c>
      <c r="Q568" s="1268">
        <f t="shared" si="193"/>
        <v>0</v>
      </c>
      <c r="R568" s="1268">
        <f t="shared" si="193"/>
        <v>0</v>
      </c>
      <c r="S568" s="1268">
        <f t="shared" si="193"/>
        <v>0</v>
      </c>
      <c r="T568" s="1268">
        <f t="shared" si="193"/>
        <v>0</v>
      </c>
      <c r="U568" s="1268">
        <f t="shared" si="193"/>
        <v>0</v>
      </c>
      <c r="V568" s="1268">
        <f t="shared" si="193"/>
        <v>0</v>
      </c>
      <c r="W568" s="1268">
        <f t="shared" si="193"/>
        <v>0</v>
      </c>
      <c r="X568" s="1268">
        <f t="shared" si="193"/>
        <v>0</v>
      </c>
      <c r="Y568" s="1268">
        <f t="shared" si="193"/>
        <v>0</v>
      </c>
      <c r="Z568" s="1268">
        <f t="shared" si="193"/>
        <v>0</v>
      </c>
      <c r="AA568" s="1268">
        <f t="shared" si="193"/>
        <v>0</v>
      </c>
      <c r="AB568" s="1268">
        <f t="shared" si="193"/>
        <v>0</v>
      </c>
      <c r="AC568" s="1268">
        <f t="shared" si="193"/>
        <v>0</v>
      </c>
      <c r="AD568" s="1268">
        <f t="shared" si="193"/>
        <v>0</v>
      </c>
      <c r="AE568" s="1268">
        <f t="shared" si="193"/>
        <v>0</v>
      </c>
      <c r="AF568" s="1268">
        <f t="shared" si="193"/>
        <v>0</v>
      </c>
      <c r="AG568" s="1268">
        <f t="shared" si="193"/>
        <v>0</v>
      </c>
      <c r="AH568" s="1268">
        <f t="shared" si="193"/>
        <v>0</v>
      </c>
      <c r="AI568" s="1268">
        <f t="shared" si="193"/>
        <v>0</v>
      </c>
      <c r="AJ568" s="1268">
        <f t="shared" si="193"/>
        <v>0</v>
      </c>
      <c r="AK568" s="1268">
        <f t="shared" si="193"/>
        <v>0</v>
      </c>
      <c r="AL568" s="1268">
        <f t="shared" si="193"/>
        <v>0</v>
      </c>
      <c r="AM568" s="1268">
        <f t="shared" si="193"/>
        <v>0</v>
      </c>
      <c r="AN568" s="1268">
        <f t="shared" si="193"/>
        <v>0</v>
      </c>
      <c r="AO568" s="1268">
        <f t="shared" si="193"/>
        <v>0</v>
      </c>
      <c r="AP568" s="1268">
        <f t="shared" si="193"/>
        <v>0</v>
      </c>
      <c r="AQ568" s="1268">
        <f t="shared" si="193"/>
        <v>0</v>
      </c>
      <c r="AR568" s="1268">
        <f t="shared" si="193"/>
        <v>0</v>
      </c>
      <c r="AS568" s="1268">
        <f t="shared" si="193"/>
        <v>0</v>
      </c>
      <c r="AT568" s="1268">
        <f t="shared" si="193"/>
        <v>0</v>
      </c>
      <c r="AU568" s="1268">
        <f t="shared" si="193"/>
        <v>0</v>
      </c>
      <c r="AV568" s="1268">
        <f t="shared" si="193"/>
        <v>0</v>
      </c>
      <c r="AW568" s="1268">
        <f t="shared" si="193"/>
        <v>0</v>
      </c>
      <c r="AX568" s="1268">
        <f t="shared" si="193"/>
        <v>0</v>
      </c>
      <c r="AY568" s="1268">
        <f t="shared" si="193"/>
        <v>0</v>
      </c>
      <c r="AZ568" s="1268">
        <f t="shared" si="193"/>
        <v>0</v>
      </c>
      <c r="BA568" s="1268">
        <f t="shared" si="193"/>
        <v>0</v>
      </c>
      <c r="BB568" s="1268">
        <f t="shared" si="193"/>
        <v>0</v>
      </c>
      <c r="BC568" s="1268">
        <f t="shared" si="193"/>
        <v>0</v>
      </c>
      <c r="BD568" s="1268">
        <f t="shared" si="193"/>
        <v>0</v>
      </c>
      <c r="BE568" s="1269">
        <f t="shared" si="193"/>
        <v>0</v>
      </c>
    </row>
    <row r="569" spans="2:57" x14ac:dyDescent="0.25">
      <c r="B569" s="304"/>
      <c r="C569" s="305"/>
      <c r="D569" s="305"/>
      <c r="E569" s="305"/>
      <c r="F569" s="305"/>
      <c r="G569" s="1268"/>
      <c r="H569" s="1268"/>
      <c r="I569" s="1268"/>
      <c r="J569" s="1268"/>
      <c r="K569" s="1268"/>
      <c r="L569" s="1268"/>
      <c r="M569" s="1268"/>
      <c r="N569" s="1268"/>
      <c r="O569" s="1268"/>
      <c r="P569" s="1268"/>
      <c r="Q569" s="1268"/>
      <c r="R569" s="1268"/>
      <c r="S569" s="1268"/>
      <c r="T569" s="1268"/>
      <c r="U569" s="1268"/>
      <c r="V569" s="1268"/>
      <c r="W569" s="1268"/>
      <c r="X569" s="1268"/>
      <c r="Y569" s="1268"/>
      <c r="Z569" s="1268"/>
      <c r="AA569" s="1268"/>
      <c r="AB569" s="1268"/>
      <c r="AC569" s="1268"/>
      <c r="AD569" s="1268"/>
      <c r="AE569" s="1268"/>
      <c r="AF569" s="1268"/>
      <c r="AG569" s="1268"/>
      <c r="AH569" s="1268"/>
      <c r="AI569" s="1268"/>
      <c r="AJ569" s="1268"/>
      <c r="AK569" s="1268"/>
      <c r="AL569" s="1268"/>
      <c r="AM569" s="1268"/>
      <c r="AN569" s="1268"/>
      <c r="AO569" s="1268"/>
      <c r="AP569" s="1268"/>
      <c r="AQ569" s="1268"/>
      <c r="AR569" s="1268"/>
      <c r="AS569" s="1268"/>
      <c r="AT569" s="1268"/>
      <c r="AU569" s="1268"/>
      <c r="AV569" s="1268"/>
      <c r="AW569" s="1268"/>
      <c r="AX569" s="1268"/>
      <c r="AY569" s="1268"/>
      <c r="AZ569" s="1268"/>
      <c r="BA569" s="1268"/>
      <c r="BB569" s="1268"/>
      <c r="BC569" s="1268"/>
      <c r="BD569" s="1268"/>
      <c r="BE569" s="1269"/>
    </row>
    <row r="570" spans="2:57" x14ac:dyDescent="0.25">
      <c r="B570" s="304"/>
      <c r="C570" s="404" t="s">
        <v>71</v>
      </c>
      <c r="D570" s="305"/>
      <c r="E570" s="305"/>
      <c r="F570" s="305"/>
      <c r="G570" s="1268"/>
      <c r="H570" s="1268"/>
      <c r="I570" s="1268"/>
      <c r="J570" s="1268"/>
      <c r="K570" s="1268"/>
      <c r="L570" s="1268"/>
      <c r="M570" s="1268"/>
      <c r="N570" s="1268"/>
      <c r="O570" s="1268"/>
      <c r="P570" s="1268"/>
      <c r="Q570" s="1268"/>
      <c r="R570" s="1268"/>
      <c r="S570" s="1268"/>
      <c r="T570" s="1268"/>
      <c r="U570" s="1268"/>
      <c r="V570" s="1268"/>
      <c r="W570" s="1268"/>
      <c r="X570" s="1268"/>
      <c r="Y570" s="1268"/>
      <c r="Z570" s="1268"/>
      <c r="AA570" s="1268"/>
      <c r="AB570" s="1268"/>
      <c r="AC570" s="1268"/>
      <c r="AD570" s="1268"/>
      <c r="AE570" s="1268"/>
      <c r="AF570" s="1268"/>
      <c r="AG570" s="1268"/>
      <c r="AH570" s="1268"/>
      <c r="AI570" s="1268"/>
      <c r="AJ570" s="1268"/>
      <c r="AK570" s="1268"/>
      <c r="AL570" s="1268"/>
      <c r="AM570" s="1268"/>
      <c r="AN570" s="1268"/>
      <c r="AO570" s="1268"/>
      <c r="AP570" s="1268"/>
      <c r="AQ570" s="1268"/>
      <c r="AR570" s="1268"/>
      <c r="AS570" s="1268"/>
      <c r="AT570" s="1268"/>
      <c r="AU570" s="1268"/>
      <c r="AV570" s="1268"/>
      <c r="AW570" s="1268"/>
      <c r="AX570" s="1268"/>
      <c r="AY570" s="1268"/>
      <c r="AZ570" s="1268"/>
      <c r="BA570" s="1268"/>
      <c r="BB570" s="1268"/>
      <c r="BC570" s="1268"/>
      <c r="BD570" s="1268"/>
      <c r="BE570" s="1269"/>
    </row>
    <row r="571" spans="2:57" x14ac:dyDescent="0.25">
      <c r="B571" s="304"/>
      <c r="C571" s="305" t="s">
        <v>234</v>
      </c>
      <c r="D571" s="305"/>
      <c r="E571" s="305"/>
      <c r="F571" s="305"/>
      <c r="G571" s="1268"/>
      <c r="H571" s="1268">
        <f>IF($G553&gt;0, $G553*'II. Inputs, Baseline Energy Mix'!$Q$74/10000,0)</f>
        <v>0</v>
      </c>
      <c r="I571" s="1268">
        <v>0</v>
      </c>
      <c r="J571" s="1268">
        <v>0</v>
      </c>
      <c r="K571" s="1268">
        <v>0</v>
      </c>
      <c r="L571" s="1268">
        <v>0</v>
      </c>
      <c r="M571" s="1268">
        <v>0</v>
      </c>
      <c r="N571" s="1268">
        <v>0</v>
      </c>
      <c r="O571" s="1268">
        <v>0</v>
      </c>
      <c r="P571" s="1268">
        <v>0</v>
      </c>
      <c r="Q571" s="1268">
        <v>0</v>
      </c>
      <c r="R571" s="1268">
        <v>0</v>
      </c>
      <c r="S571" s="1268">
        <v>0</v>
      </c>
      <c r="T571" s="1268">
        <v>0</v>
      </c>
      <c r="U571" s="1268">
        <v>0</v>
      </c>
      <c r="V571" s="1268">
        <v>0</v>
      </c>
      <c r="W571" s="1268">
        <v>0</v>
      </c>
      <c r="X571" s="1268">
        <v>0</v>
      </c>
      <c r="Y571" s="1268">
        <v>0</v>
      </c>
      <c r="Z571" s="1268">
        <v>0</v>
      </c>
      <c r="AA571" s="1268">
        <v>0</v>
      </c>
      <c r="AB571" s="1268">
        <v>0</v>
      </c>
      <c r="AC571" s="1268">
        <v>0</v>
      </c>
      <c r="AD571" s="1268">
        <v>0</v>
      </c>
      <c r="AE571" s="1268">
        <v>0</v>
      </c>
      <c r="AF571" s="1268">
        <v>0</v>
      </c>
      <c r="AG571" s="1268">
        <v>0</v>
      </c>
      <c r="AH571" s="1268">
        <v>0</v>
      </c>
      <c r="AI571" s="1268">
        <v>0</v>
      </c>
      <c r="AJ571" s="1268">
        <v>0</v>
      </c>
      <c r="AK571" s="1268">
        <v>0</v>
      </c>
      <c r="AL571" s="1268">
        <v>0</v>
      </c>
      <c r="AM571" s="1268">
        <v>0</v>
      </c>
      <c r="AN571" s="1268">
        <v>0</v>
      </c>
      <c r="AO571" s="1268">
        <v>0</v>
      </c>
      <c r="AP571" s="1268">
        <v>0</v>
      </c>
      <c r="AQ571" s="1268">
        <v>0</v>
      </c>
      <c r="AR571" s="1268">
        <v>0</v>
      </c>
      <c r="AS571" s="1268">
        <v>0</v>
      </c>
      <c r="AT571" s="1268">
        <v>0</v>
      </c>
      <c r="AU571" s="1268">
        <v>0</v>
      </c>
      <c r="AV571" s="1268">
        <v>0</v>
      </c>
      <c r="AW571" s="1268">
        <v>0</v>
      </c>
      <c r="AX571" s="1268">
        <v>0</v>
      </c>
      <c r="AY571" s="1268">
        <v>0</v>
      </c>
      <c r="AZ571" s="1268">
        <v>0</v>
      </c>
      <c r="BA571" s="1268">
        <v>0</v>
      </c>
      <c r="BB571" s="1268">
        <v>0</v>
      </c>
      <c r="BC571" s="1268">
        <v>0</v>
      </c>
      <c r="BD571" s="1268">
        <v>0</v>
      </c>
      <c r="BE571" s="1269">
        <v>0</v>
      </c>
    </row>
    <row r="572" spans="2:57" x14ac:dyDescent="0.25">
      <c r="B572" s="304"/>
      <c r="C572" s="305" t="str">
        <f>'II. Inputs, Baseline Energy Mix'!$E$77</f>
        <v>Front-end Fee, Public Guarantee</v>
      </c>
      <c r="D572" s="305"/>
      <c r="E572" s="305"/>
      <c r="F572" s="305"/>
      <c r="G572" s="1268"/>
      <c r="H572" s="1268">
        <f>IF($G553&gt;0, $G553*$G556*'II. Inputs, Baseline Energy Mix'!$Q$77/10000,0)</f>
        <v>0</v>
      </c>
      <c r="I572" s="1268">
        <v>0</v>
      </c>
      <c r="J572" s="1268">
        <v>0</v>
      </c>
      <c r="K572" s="1268">
        <v>0</v>
      </c>
      <c r="L572" s="1268">
        <v>0</v>
      </c>
      <c r="M572" s="1268">
        <v>0</v>
      </c>
      <c r="N572" s="1268">
        <v>0</v>
      </c>
      <c r="O572" s="1268">
        <v>0</v>
      </c>
      <c r="P572" s="1268">
        <v>0</v>
      </c>
      <c r="Q572" s="1268">
        <v>0</v>
      </c>
      <c r="R572" s="1268">
        <v>0</v>
      </c>
      <c r="S572" s="1268">
        <v>0</v>
      </c>
      <c r="T572" s="1268">
        <v>0</v>
      </c>
      <c r="U572" s="1268">
        <v>0</v>
      </c>
      <c r="V572" s="1268">
        <v>0</v>
      </c>
      <c r="W572" s="1268">
        <v>0</v>
      </c>
      <c r="X572" s="1268">
        <v>0</v>
      </c>
      <c r="Y572" s="1268">
        <v>0</v>
      </c>
      <c r="Z572" s="1268">
        <v>0</v>
      </c>
      <c r="AA572" s="1268">
        <v>0</v>
      </c>
      <c r="AB572" s="1268">
        <v>0</v>
      </c>
      <c r="AC572" s="1268">
        <v>0</v>
      </c>
      <c r="AD572" s="1268">
        <v>0</v>
      </c>
      <c r="AE572" s="1268">
        <v>0</v>
      </c>
      <c r="AF572" s="1268">
        <v>0</v>
      </c>
      <c r="AG572" s="1268">
        <v>0</v>
      </c>
      <c r="AH572" s="1268">
        <v>0</v>
      </c>
      <c r="AI572" s="1268">
        <v>0</v>
      </c>
      <c r="AJ572" s="1268">
        <v>0</v>
      </c>
      <c r="AK572" s="1268">
        <v>0</v>
      </c>
      <c r="AL572" s="1268">
        <v>0</v>
      </c>
      <c r="AM572" s="1268">
        <v>0</v>
      </c>
      <c r="AN572" s="1268">
        <v>0</v>
      </c>
      <c r="AO572" s="1268">
        <v>0</v>
      </c>
      <c r="AP572" s="1268">
        <v>0</v>
      </c>
      <c r="AQ572" s="1268">
        <v>0</v>
      </c>
      <c r="AR572" s="1268">
        <v>0</v>
      </c>
      <c r="AS572" s="1268">
        <v>0</v>
      </c>
      <c r="AT572" s="1268">
        <v>0</v>
      </c>
      <c r="AU572" s="1268">
        <v>0</v>
      </c>
      <c r="AV572" s="1268">
        <v>0</v>
      </c>
      <c r="AW572" s="1268">
        <v>0</v>
      </c>
      <c r="AX572" s="1268">
        <v>0</v>
      </c>
      <c r="AY572" s="1268">
        <v>0</v>
      </c>
      <c r="AZ572" s="1268">
        <v>0</v>
      </c>
      <c r="BA572" s="1268">
        <v>0</v>
      </c>
      <c r="BB572" s="1268">
        <v>0</v>
      </c>
      <c r="BC572" s="1268">
        <v>0</v>
      </c>
      <c r="BD572" s="1268">
        <v>0</v>
      </c>
      <c r="BE572" s="1269">
        <v>0</v>
      </c>
    </row>
    <row r="573" spans="2:57" x14ac:dyDescent="0.25">
      <c r="B573" s="304"/>
      <c r="C573" s="305" t="str">
        <f>'II. Inputs, Baseline Energy Mix'!$E$78</f>
        <v xml:space="preserve">Annual Public Guarantee Fee </v>
      </c>
      <c r="D573" s="305"/>
      <c r="E573" s="305"/>
      <c r="F573" s="305"/>
      <c r="G573" s="1268"/>
      <c r="H573" s="1268">
        <f>IF(H$299&gt;$G557,0,((H565+H568)/2)*$G556*'II. Inputs, Baseline Energy Mix'!$Q$78/10000)</f>
        <v>0</v>
      </c>
      <c r="I573" s="1268">
        <f>IF(I$299&gt;$G557,0,((I565+I568)/2)*$G556*'II. Inputs, Baseline Energy Mix'!$Q$78/10000)</f>
        <v>0</v>
      </c>
      <c r="J573" s="1268">
        <f>IF(J$299&gt;$G557,0,((J565+J568)/2)*$G556*'II. Inputs, Baseline Energy Mix'!$Q$78/10000)</f>
        <v>0</v>
      </c>
      <c r="K573" s="1268">
        <f>IF(K$299&gt;$G557,0,((K565+K568)/2)*$G556*'II. Inputs, Baseline Energy Mix'!$Q$78/10000)</f>
        <v>0</v>
      </c>
      <c r="L573" s="1268">
        <f>IF(L$299&gt;$G557,0,((L565+L568)/2)*$G556*'II. Inputs, Baseline Energy Mix'!$Q$78/10000)</f>
        <v>0</v>
      </c>
      <c r="M573" s="1268">
        <f>IF(M$299&gt;$G557,0,((M565+M568)/2)*$G556*'II. Inputs, Baseline Energy Mix'!$Q$78/10000)</f>
        <v>0</v>
      </c>
      <c r="N573" s="1268">
        <f>IF(N$299&gt;$G557,0,((N565+N568)/2)*$G556*'II. Inputs, Baseline Energy Mix'!$Q$78/10000)</f>
        <v>0</v>
      </c>
      <c r="O573" s="1268">
        <f>IF(O$299&gt;$G557,0,((O565+O568)/2)*$G556*'II. Inputs, Baseline Energy Mix'!$Q$78/10000)</f>
        <v>0</v>
      </c>
      <c r="P573" s="1268">
        <f>IF(P$299&gt;$G557,0,((P565+P568)/2)*$G556*'II. Inputs, Baseline Energy Mix'!$Q$78/10000)</f>
        <v>0</v>
      </c>
      <c r="Q573" s="1268">
        <f>IF(Q$299&gt;$G557,0,((Q565+Q568)/2)*$G556*'II. Inputs, Baseline Energy Mix'!$Q$78/10000)</f>
        <v>0</v>
      </c>
      <c r="R573" s="1268">
        <f>IF(R$299&gt;$G557,0,((R565+R568)/2)*$G556*'II. Inputs, Baseline Energy Mix'!$Q$78/10000)</f>
        <v>0</v>
      </c>
      <c r="S573" s="1268">
        <f>IF(S$299&gt;$G557,0,((S565+S568)/2)*$G556*'II. Inputs, Baseline Energy Mix'!$Q$78/10000)</f>
        <v>0</v>
      </c>
      <c r="T573" s="1268">
        <f>IF(T$299&gt;$G557,0,((T565+T568)/2)*$G556*'II. Inputs, Baseline Energy Mix'!$Q$78/10000)</f>
        <v>0</v>
      </c>
      <c r="U573" s="1268">
        <f>IF(U$299&gt;$G557,0,((U565+U568)/2)*$G556*'II. Inputs, Baseline Energy Mix'!$Q$78/10000)</f>
        <v>0</v>
      </c>
      <c r="V573" s="1268">
        <f>IF(V$299&gt;$G557,0,((V565+V568)/2)*$G556*'II. Inputs, Baseline Energy Mix'!$Q$78/10000)</f>
        <v>0</v>
      </c>
      <c r="W573" s="1268">
        <f>IF(W$299&gt;$G557,0,((W565+W568)/2)*$G556*'II. Inputs, Baseline Energy Mix'!$Q$78/10000)</f>
        <v>0</v>
      </c>
      <c r="X573" s="1268">
        <f>IF(X$299&gt;$G557,0,((X565+X568)/2)*$G556*'II. Inputs, Baseline Energy Mix'!$Q$78/10000)</f>
        <v>0</v>
      </c>
      <c r="Y573" s="1268">
        <f>IF(Y$299&gt;$G557,0,((Y565+Y568)/2)*$G556*'II. Inputs, Baseline Energy Mix'!$Q$78/10000)</f>
        <v>0</v>
      </c>
      <c r="Z573" s="1268">
        <f>IF(Z$299&gt;$G557,0,((Z565+Z568)/2)*$G556*'II. Inputs, Baseline Energy Mix'!$Q$78/10000)</f>
        <v>0</v>
      </c>
      <c r="AA573" s="1268">
        <f>IF(AA$299&gt;$G557,0,((AA565+AA568)/2)*$G556*'II. Inputs, Baseline Energy Mix'!$Q$78/10000)</f>
        <v>0</v>
      </c>
      <c r="AB573" s="1268">
        <f>IF(AB$299&gt;$G557,0,((AB565+AB568)/2)*$G556*'II. Inputs, Baseline Energy Mix'!$Q$78/10000)</f>
        <v>0</v>
      </c>
      <c r="AC573" s="1268">
        <f>IF(AC$299&gt;$G557,0,((AC565+AC568)/2)*$G556*'II. Inputs, Baseline Energy Mix'!$Q$78/10000)</f>
        <v>0</v>
      </c>
      <c r="AD573" s="1268">
        <f>IF(AD$299&gt;$G557,0,((AD565+AD568)/2)*$G556*'II. Inputs, Baseline Energy Mix'!$Q$78/10000)</f>
        <v>0</v>
      </c>
      <c r="AE573" s="1268">
        <f>IF(AE$299&gt;$G557,0,((AE565+AE568)/2)*$G556*'II. Inputs, Baseline Energy Mix'!$Q$78/10000)</f>
        <v>0</v>
      </c>
      <c r="AF573" s="1268">
        <f>IF(AF$299&gt;$G557,0,((AF565+AF568)/2)*$G556*'II. Inputs, Baseline Energy Mix'!$Q$78/10000)</f>
        <v>0</v>
      </c>
      <c r="AG573" s="1268">
        <f>IF(AG$299&gt;$G557,0,((AG565+AG568)/2)*$G556*'II. Inputs, Baseline Energy Mix'!$Q$78/10000)</f>
        <v>0</v>
      </c>
      <c r="AH573" s="1268">
        <f>IF(AH$299&gt;$G557,0,((AH565+AH568)/2)*$G556*'II. Inputs, Baseline Energy Mix'!$Q$78/10000)</f>
        <v>0</v>
      </c>
      <c r="AI573" s="1268">
        <f>IF(AI$299&gt;$G557,0,((AI565+AI568)/2)*$G556*'II. Inputs, Baseline Energy Mix'!$Q$78/10000)</f>
        <v>0</v>
      </c>
      <c r="AJ573" s="1268">
        <f>IF(AJ$299&gt;$G557,0,((AJ565+AJ568)/2)*$G556*'II. Inputs, Baseline Energy Mix'!$Q$78/10000)</f>
        <v>0</v>
      </c>
      <c r="AK573" s="1268">
        <f>IF(AK$299&gt;$G557,0,((AK565+AK568)/2)*$G556*'II. Inputs, Baseline Energy Mix'!$Q$78/10000)</f>
        <v>0</v>
      </c>
      <c r="AL573" s="1268">
        <f>IF(AL$299&gt;$G557,0,((AL565+AL568)/2)*$G556*'II. Inputs, Baseline Energy Mix'!$Q$78/10000)</f>
        <v>0</v>
      </c>
      <c r="AM573" s="1268">
        <f>IF(AM$299&gt;$G557,0,((AM565+AM568)/2)*$G556*'II. Inputs, Baseline Energy Mix'!$Q$78/10000)</f>
        <v>0</v>
      </c>
      <c r="AN573" s="1268">
        <f>IF(AN$299&gt;$G557,0,((AN565+AN568)/2)*$G556*'II. Inputs, Baseline Energy Mix'!$Q$78/10000)</f>
        <v>0</v>
      </c>
      <c r="AO573" s="1268">
        <f>IF(AO$299&gt;$G557,0,((AO565+AO568)/2)*$G556*'II. Inputs, Baseline Energy Mix'!$Q$78/10000)</f>
        <v>0</v>
      </c>
      <c r="AP573" s="1268">
        <f>IF(AP$299&gt;$G557,0,((AP565+AP568)/2)*$G556*'II. Inputs, Baseline Energy Mix'!$Q$78/10000)</f>
        <v>0</v>
      </c>
      <c r="AQ573" s="1268">
        <f>IF(AQ$299&gt;$G557,0,((AQ565+AQ568)/2)*$G556*'II. Inputs, Baseline Energy Mix'!$Q$78/10000)</f>
        <v>0</v>
      </c>
      <c r="AR573" s="1268">
        <f>IF(AR$299&gt;$G557,0,((AR565+AR568)/2)*$G556*'II. Inputs, Baseline Energy Mix'!$Q$78/10000)</f>
        <v>0</v>
      </c>
      <c r="AS573" s="1268">
        <f>IF(AS$299&gt;$G557,0,((AS565+AS568)/2)*$G556*'II. Inputs, Baseline Energy Mix'!$Q$78/10000)</f>
        <v>0</v>
      </c>
      <c r="AT573" s="1268">
        <f>IF(AT$299&gt;$G557,0,((AT565+AT568)/2)*$G556*'II. Inputs, Baseline Energy Mix'!$Q$78/10000)</f>
        <v>0</v>
      </c>
      <c r="AU573" s="1268">
        <f>IF(AU$299&gt;$G557,0,((AU565+AU568)/2)*$G556*'II. Inputs, Baseline Energy Mix'!$Q$78/10000)</f>
        <v>0</v>
      </c>
      <c r="AV573" s="1268">
        <f>IF(AV$299&gt;$G557,0,((AV565+AV568)/2)*$G556*'II. Inputs, Baseline Energy Mix'!$Q$78/10000)</f>
        <v>0</v>
      </c>
      <c r="AW573" s="1268">
        <f>IF(AW$299&gt;$G557,0,((AW565+AW568)/2)*$G556*'II. Inputs, Baseline Energy Mix'!$Q$78/10000)</f>
        <v>0</v>
      </c>
      <c r="AX573" s="1268">
        <f>IF(AX$299&gt;$G557,0,((AX565+AX568)/2)*$G556*'II. Inputs, Baseline Energy Mix'!$Q$78/10000)</f>
        <v>0</v>
      </c>
      <c r="AY573" s="1268">
        <f>IF(AY$299&gt;$G557,0,((AY565+AY568)/2)*$G556*'II. Inputs, Baseline Energy Mix'!$Q$78/10000)</f>
        <v>0</v>
      </c>
      <c r="AZ573" s="1268">
        <f>IF(AZ$299&gt;$G557,0,((AZ565+AZ568)/2)*$G556*'II. Inputs, Baseline Energy Mix'!$Q$78/10000)</f>
        <v>0</v>
      </c>
      <c r="BA573" s="1268">
        <f>IF(BA$299&gt;$G557,0,((BA565+BA568)/2)*$G556*'II. Inputs, Baseline Energy Mix'!$Q$78/10000)</f>
        <v>0</v>
      </c>
      <c r="BB573" s="1268">
        <f>IF(BB$299&gt;$G557,0,((BB565+BB568)/2)*$G556*'II. Inputs, Baseline Energy Mix'!$Q$78/10000)</f>
        <v>0</v>
      </c>
      <c r="BC573" s="1268">
        <f>IF(BC$299&gt;$G557,0,((BC565+BC568)/2)*$G556*'II. Inputs, Baseline Energy Mix'!$Q$78/10000)</f>
        <v>0</v>
      </c>
      <c r="BD573" s="1268">
        <f>IF(BD$299&gt;$G557,0,((BD565+BD568)/2)*$G556*'II. Inputs, Baseline Energy Mix'!$Q$78/10000)</f>
        <v>0</v>
      </c>
      <c r="BE573" s="1269">
        <f>IF(BE$299&gt;$G557,0,((BE565+BE568)/2)*$G556*'II. Inputs, Baseline Energy Mix'!$Q$78/10000)</f>
        <v>0</v>
      </c>
    </row>
    <row r="574" spans="2:57" x14ac:dyDescent="0.25">
      <c r="B574" s="304"/>
      <c r="C574" s="305"/>
      <c r="D574" s="305"/>
      <c r="E574" s="305"/>
      <c r="F574" s="305"/>
      <c r="G574" s="305"/>
      <c r="H574" s="305"/>
      <c r="I574" s="305"/>
      <c r="J574" s="305"/>
      <c r="K574" s="305"/>
      <c r="L574" s="305"/>
      <c r="M574" s="305"/>
      <c r="N574" s="305"/>
      <c r="O574" s="305"/>
      <c r="P574" s="305"/>
      <c r="Q574" s="305"/>
      <c r="R574" s="305"/>
      <c r="S574" s="305"/>
      <c r="T574" s="305"/>
      <c r="U574" s="305"/>
      <c r="V574" s="305"/>
      <c r="W574" s="305"/>
      <c r="X574" s="305"/>
      <c r="Y574" s="305"/>
      <c r="Z574" s="305"/>
      <c r="AA574" s="305"/>
      <c r="AB574" s="305"/>
      <c r="AC574" s="305"/>
      <c r="AD574" s="305"/>
      <c r="AE574" s="305"/>
      <c r="AF574" s="305"/>
      <c r="AG574" s="305"/>
      <c r="AH574" s="305"/>
      <c r="AI574" s="305"/>
      <c r="AJ574" s="305"/>
      <c r="AK574" s="305"/>
      <c r="AL574" s="305"/>
      <c r="AM574" s="305"/>
      <c r="AN574" s="305"/>
      <c r="AO574" s="305"/>
      <c r="AP574" s="305"/>
      <c r="AQ574" s="305"/>
      <c r="AR574" s="305"/>
      <c r="AS574" s="305"/>
      <c r="AT574" s="305"/>
      <c r="AU574" s="305"/>
      <c r="AV574" s="305"/>
      <c r="AW574" s="305"/>
      <c r="AX574" s="305"/>
      <c r="AY574" s="305"/>
      <c r="AZ574" s="305"/>
      <c r="BA574" s="305"/>
      <c r="BB574" s="305"/>
      <c r="BC574" s="305"/>
      <c r="BD574" s="305"/>
      <c r="BE574" s="306"/>
    </row>
    <row r="575" spans="2:57" x14ac:dyDescent="0.25">
      <c r="B575" s="316" t="s">
        <v>181</v>
      </c>
      <c r="C575" s="305"/>
      <c r="D575" s="305"/>
      <c r="E575" s="305"/>
      <c r="F575" s="305"/>
      <c r="G575" s="305"/>
      <c r="H575" s="305"/>
      <c r="I575" s="305"/>
      <c r="J575" s="305"/>
      <c r="K575" s="305"/>
      <c r="L575" s="305"/>
      <c r="M575" s="305"/>
      <c r="N575" s="305"/>
      <c r="O575" s="305"/>
      <c r="P575" s="305"/>
      <c r="Q575" s="305"/>
      <c r="R575" s="305"/>
      <c r="S575" s="305"/>
      <c r="T575" s="305"/>
      <c r="U575" s="305"/>
      <c r="V575" s="305"/>
      <c r="W575" s="305"/>
      <c r="X575" s="305"/>
      <c r="Y575" s="305"/>
      <c r="Z575" s="305"/>
      <c r="AA575" s="305"/>
      <c r="AB575" s="305"/>
      <c r="AC575" s="305"/>
      <c r="AD575" s="305"/>
      <c r="AE575" s="305"/>
      <c r="AF575" s="305"/>
      <c r="AG575" s="305"/>
      <c r="AH575" s="305"/>
      <c r="AI575" s="305"/>
      <c r="AJ575" s="305"/>
      <c r="AK575" s="305"/>
      <c r="AL575" s="305"/>
      <c r="AM575" s="305"/>
      <c r="AN575" s="305"/>
      <c r="AO575" s="305"/>
      <c r="AP575" s="305"/>
      <c r="AQ575" s="305"/>
      <c r="AR575" s="305"/>
      <c r="AS575" s="305"/>
      <c r="AT575" s="305"/>
      <c r="AU575" s="305"/>
      <c r="AV575" s="305"/>
      <c r="AW575" s="305"/>
      <c r="AX575" s="305"/>
      <c r="AY575" s="305"/>
      <c r="AZ575" s="305"/>
      <c r="BA575" s="305"/>
      <c r="BB575" s="305"/>
      <c r="BC575" s="305"/>
      <c r="BD575" s="305"/>
      <c r="BE575" s="306"/>
    </row>
    <row r="576" spans="2:57" x14ac:dyDescent="0.25">
      <c r="B576" s="304"/>
      <c r="C576" s="401" t="s">
        <v>68</v>
      </c>
      <c r="D576" s="305"/>
      <c r="E576" s="305"/>
      <c r="F576" s="305"/>
      <c r="G576" s="1268">
        <f>IF('II. Inputs, Baseline Energy Mix'!$Q$15&gt;0,('II. Inputs, Baseline Energy Mix'!$Q$16*'II. Inputs, Baseline Energy Mix'!$Q$17*'II. Inputs, Baseline Energy Mix'!$Q$30*'II. Inputs, Baseline Energy Mix'!$Q$34),0)</f>
        <v>0</v>
      </c>
      <c r="H576" s="305"/>
      <c r="I576" s="305"/>
      <c r="J576" s="305"/>
      <c r="K576" s="305"/>
      <c r="L576" s="305"/>
      <c r="M576" s="305"/>
      <c r="N576" s="305"/>
      <c r="O576" s="305"/>
      <c r="P576" s="305"/>
      <c r="Q576" s="305"/>
      <c r="R576" s="305"/>
      <c r="S576" s="305"/>
      <c r="T576" s="305"/>
      <c r="U576" s="305"/>
      <c r="V576" s="305"/>
      <c r="W576" s="305"/>
      <c r="X576" s="305"/>
      <c r="Y576" s="305"/>
      <c r="Z576" s="305"/>
      <c r="AA576" s="305"/>
      <c r="AB576" s="305"/>
      <c r="AC576" s="305"/>
      <c r="AD576" s="305"/>
      <c r="AE576" s="305"/>
      <c r="AF576" s="305"/>
      <c r="AG576" s="305"/>
      <c r="AH576" s="305"/>
      <c r="AI576" s="305"/>
      <c r="AJ576" s="305"/>
      <c r="AK576" s="305"/>
      <c r="AL576" s="305"/>
      <c r="AM576" s="305"/>
      <c r="AN576" s="305"/>
      <c r="AO576" s="305"/>
      <c r="AP576" s="305"/>
      <c r="AQ576" s="305"/>
      <c r="AR576" s="305"/>
      <c r="AS576" s="305"/>
      <c r="AT576" s="305"/>
      <c r="AU576" s="305"/>
      <c r="AV576" s="305"/>
      <c r="AW576" s="305"/>
      <c r="AX576" s="305"/>
      <c r="AY576" s="305"/>
      <c r="AZ576" s="305"/>
      <c r="BA576" s="305"/>
      <c r="BB576" s="305"/>
      <c r="BC576" s="305"/>
      <c r="BD576" s="305"/>
      <c r="BE576" s="306"/>
    </row>
    <row r="577" spans="2:57" x14ac:dyDescent="0.25">
      <c r="B577" s="304"/>
      <c r="C577" s="401" t="s">
        <v>69</v>
      </c>
      <c r="D577" s="305"/>
      <c r="E577" s="305"/>
      <c r="F577" s="305"/>
      <c r="G577" s="307">
        <f>SUM('II. Inputs, Baseline Energy Mix'!$Q$46)</f>
        <v>0</v>
      </c>
      <c r="H577" s="305"/>
      <c r="I577" s="305"/>
      <c r="J577" s="305"/>
      <c r="K577" s="305"/>
      <c r="L577" s="305"/>
      <c r="M577" s="305"/>
      <c r="N577" s="305"/>
      <c r="O577" s="305"/>
      <c r="P577" s="305"/>
      <c r="Q577" s="305"/>
      <c r="R577" s="305"/>
      <c r="S577" s="305"/>
      <c r="T577" s="305"/>
      <c r="U577" s="305"/>
      <c r="V577" s="305"/>
      <c r="W577" s="305"/>
      <c r="X577" s="305"/>
      <c r="Y577" s="305"/>
      <c r="Z577" s="305"/>
      <c r="AA577" s="305"/>
      <c r="AB577" s="305"/>
      <c r="AC577" s="305"/>
      <c r="AD577" s="305"/>
      <c r="AE577" s="305"/>
      <c r="AF577" s="305"/>
      <c r="AG577" s="305"/>
      <c r="AH577" s="305"/>
      <c r="AI577" s="305"/>
      <c r="AJ577" s="305"/>
      <c r="AK577" s="305"/>
      <c r="AL577" s="305"/>
      <c r="AM577" s="305"/>
      <c r="AN577" s="305"/>
      <c r="AO577" s="305"/>
      <c r="AP577" s="305"/>
      <c r="AQ577" s="305"/>
      <c r="AR577" s="305"/>
      <c r="AS577" s="305"/>
      <c r="AT577" s="305"/>
      <c r="AU577" s="305"/>
      <c r="AV577" s="305"/>
      <c r="AW577" s="305"/>
      <c r="AX577" s="305"/>
      <c r="AY577" s="305"/>
      <c r="AZ577" s="305"/>
      <c r="BA577" s="305"/>
      <c r="BB577" s="305"/>
      <c r="BC577" s="305"/>
      <c r="BD577" s="305"/>
      <c r="BE577" s="306"/>
    </row>
    <row r="578" spans="2:57" x14ac:dyDescent="0.25">
      <c r="B578" s="304"/>
      <c r="C578" s="401" t="s">
        <v>70</v>
      </c>
      <c r="D578" s="305"/>
      <c r="E578" s="305"/>
      <c r="F578" s="305"/>
      <c r="G578" s="405">
        <f>SUM('II. Inputs, Baseline Energy Mix'!$Q$41)</f>
        <v>0</v>
      </c>
      <c r="H578" s="305"/>
      <c r="I578" s="305"/>
      <c r="J578" s="305"/>
      <c r="K578" s="305"/>
      <c r="L578" s="305"/>
      <c r="M578" s="305"/>
      <c r="N578" s="305"/>
      <c r="O578" s="305"/>
      <c r="P578" s="305"/>
      <c r="Q578" s="305"/>
      <c r="R578" s="305"/>
      <c r="S578" s="305"/>
      <c r="T578" s="305"/>
      <c r="U578" s="305"/>
      <c r="V578" s="305"/>
      <c r="W578" s="305"/>
      <c r="X578" s="305"/>
      <c r="Y578" s="305"/>
      <c r="Z578" s="305"/>
      <c r="AA578" s="305"/>
      <c r="AB578" s="305"/>
      <c r="AC578" s="305"/>
      <c r="AD578" s="305"/>
      <c r="AE578" s="305"/>
      <c r="AF578" s="305"/>
      <c r="AG578" s="305"/>
      <c r="AH578" s="305"/>
      <c r="AI578" s="305"/>
      <c r="AJ578" s="305"/>
      <c r="AK578" s="305"/>
      <c r="AL578" s="305"/>
      <c r="AM578" s="305"/>
      <c r="AN578" s="305"/>
      <c r="AO578" s="305"/>
      <c r="AP578" s="305"/>
      <c r="AQ578" s="305"/>
      <c r="AR578" s="305"/>
      <c r="AS578" s="305"/>
      <c r="AT578" s="305"/>
      <c r="AU578" s="305"/>
      <c r="AV578" s="305"/>
      <c r="AW578" s="305"/>
      <c r="AX578" s="305"/>
      <c r="AY578" s="305"/>
      <c r="AZ578" s="305"/>
      <c r="BA578" s="305"/>
      <c r="BB578" s="305"/>
      <c r="BC578" s="305"/>
      <c r="BD578" s="305"/>
      <c r="BE578" s="306"/>
    </row>
    <row r="579" spans="2:57" x14ac:dyDescent="0.25">
      <c r="B579" s="304"/>
      <c r="C579" s="305"/>
      <c r="D579" s="305"/>
      <c r="E579" s="305"/>
      <c r="F579" s="305"/>
      <c r="G579" s="305"/>
      <c r="H579" s="305"/>
      <c r="I579" s="305"/>
      <c r="J579" s="305"/>
      <c r="K579" s="305"/>
      <c r="L579" s="305"/>
      <c r="M579" s="305"/>
      <c r="N579" s="305"/>
      <c r="O579" s="305"/>
      <c r="P579" s="305"/>
      <c r="Q579" s="305"/>
      <c r="R579" s="305"/>
      <c r="S579" s="305"/>
      <c r="T579" s="305"/>
      <c r="U579" s="305"/>
      <c r="V579" s="305"/>
      <c r="W579" s="305"/>
      <c r="X579" s="305"/>
      <c r="Y579" s="305"/>
      <c r="Z579" s="305"/>
      <c r="AA579" s="305"/>
      <c r="AB579" s="305"/>
      <c r="AC579" s="305"/>
      <c r="AD579" s="305"/>
      <c r="AE579" s="305"/>
      <c r="AF579" s="305"/>
      <c r="AG579" s="305"/>
      <c r="AH579" s="305"/>
      <c r="AI579" s="305"/>
      <c r="AJ579" s="305"/>
      <c r="AK579" s="305"/>
      <c r="AL579" s="305"/>
      <c r="AM579" s="305"/>
      <c r="AN579" s="305"/>
      <c r="AO579" s="305"/>
      <c r="AP579" s="305"/>
      <c r="AQ579" s="305"/>
      <c r="AR579" s="305"/>
      <c r="AS579" s="305"/>
      <c r="AT579" s="305"/>
      <c r="AU579" s="305"/>
      <c r="AV579" s="305"/>
      <c r="AW579" s="305"/>
      <c r="AX579" s="305"/>
      <c r="AY579" s="305"/>
      <c r="AZ579" s="305"/>
      <c r="BA579" s="305"/>
      <c r="BB579" s="305"/>
      <c r="BC579" s="305"/>
      <c r="BD579" s="305"/>
      <c r="BE579" s="306"/>
    </row>
    <row r="580" spans="2:57" x14ac:dyDescent="0.25">
      <c r="B580" s="304"/>
      <c r="C580" s="403" t="s">
        <v>67</v>
      </c>
      <c r="D580" s="305"/>
      <c r="E580" s="305"/>
      <c r="F580" s="305"/>
      <c r="G580" s="305"/>
      <c r="H580" s="305"/>
      <c r="I580" s="305"/>
      <c r="J580" s="305"/>
      <c r="K580" s="305"/>
      <c r="L580" s="305"/>
      <c r="M580" s="305"/>
      <c r="N580" s="305"/>
      <c r="O580" s="305"/>
      <c r="P580" s="305"/>
      <c r="Q580" s="305"/>
      <c r="R580" s="305"/>
      <c r="S580" s="305"/>
      <c r="T580" s="305"/>
      <c r="U580" s="305"/>
      <c r="V580" s="305"/>
      <c r="W580" s="305"/>
      <c r="X580" s="305"/>
      <c r="Y580" s="305"/>
      <c r="Z580" s="305"/>
      <c r="AA580" s="305"/>
      <c r="AB580" s="305"/>
      <c r="AC580" s="305"/>
      <c r="AD580" s="305"/>
      <c r="AE580" s="305"/>
      <c r="AF580" s="305"/>
      <c r="AG580" s="305"/>
      <c r="AH580" s="305"/>
      <c r="AI580" s="305"/>
      <c r="AJ580" s="305"/>
      <c r="AK580" s="305"/>
      <c r="AL580" s="305"/>
      <c r="AM580" s="305"/>
      <c r="AN580" s="305"/>
      <c r="AO580" s="305"/>
      <c r="AP580" s="305"/>
      <c r="AQ580" s="305"/>
      <c r="AR580" s="305"/>
      <c r="AS580" s="305"/>
      <c r="AT580" s="305"/>
      <c r="AU580" s="305"/>
      <c r="AV580" s="305"/>
      <c r="AW580" s="305"/>
      <c r="AX580" s="305"/>
      <c r="AY580" s="305"/>
      <c r="AZ580" s="305"/>
      <c r="BA580" s="305"/>
      <c r="BB580" s="305"/>
      <c r="BC580" s="305"/>
      <c r="BD580" s="305"/>
      <c r="BE580" s="306"/>
    </row>
    <row r="581" spans="2:57" x14ac:dyDescent="0.25">
      <c r="B581" s="304"/>
      <c r="C581" s="305" t="s">
        <v>73</v>
      </c>
      <c r="D581" s="305"/>
      <c r="E581" s="305"/>
      <c r="F581" s="305"/>
      <c r="G581" s="1268"/>
      <c r="H581" s="1268">
        <f>IF(H$299&gt;$G577,0,IPMT($G578,H$299,$G577,-$G576))</f>
        <v>0</v>
      </c>
      <c r="I581" s="1268">
        <f t="shared" ref="I581:BE581" si="194">IF(I$299&gt;$G577,0,IPMT($G578,I$299,$G577,-$G576))</f>
        <v>0</v>
      </c>
      <c r="J581" s="1268">
        <f t="shared" si="194"/>
        <v>0</v>
      </c>
      <c r="K581" s="1268">
        <f t="shared" si="194"/>
        <v>0</v>
      </c>
      <c r="L581" s="1268">
        <f t="shared" si="194"/>
        <v>0</v>
      </c>
      <c r="M581" s="1268">
        <f t="shared" si="194"/>
        <v>0</v>
      </c>
      <c r="N581" s="1268">
        <f t="shared" si="194"/>
        <v>0</v>
      </c>
      <c r="O581" s="1268">
        <f t="shared" si="194"/>
        <v>0</v>
      </c>
      <c r="P581" s="1268">
        <f t="shared" si="194"/>
        <v>0</v>
      </c>
      <c r="Q581" s="1268">
        <f t="shared" si="194"/>
        <v>0</v>
      </c>
      <c r="R581" s="1268">
        <f t="shared" si="194"/>
        <v>0</v>
      </c>
      <c r="S581" s="1268">
        <f t="shared" si="194"/>
        <v>0</v>
      </c>
      <c r="T581" s="1268">
        <f t="shared" si="194"/>
        <v>0</v>
      </c>
      <c r="U581" s="1268">
        <f t="shared" si="194"/>
        <v>0</v>
      </c>
      <c r="V581" s="1268">
        <f t="shared" si="194"/>
        <v>0</v>
      </c>
      <c r="W581" s="1268">
        <f t="shared" si="194"/>
        <v>0</v>
      </c>
      <c r="X581" s="1268">
        <f t="shared" si="194"/>
        <v>0</v>
      </c>
      <c r="Y581" s="1268">
        <f t="shared" si="194"/>
        <v>0</v>
      </c>
      <c r="Z581" s="1268">
        <f t="shared" si="194"/>
        <v>0</v>
      </c>
      <c r="AA581" s="1268">
        <f t="shared" si="194"/>
        <v>0</v>
      </c>
      <c r="AB581" s="1268">
        <f t="shared" si="194"/>
        <v>0</v>
      </c>
      <c r="AC581" s="1268">
        <f t="shared" si="194"/>
        <v>0</v>
      </c>
      <c r="AD581" s="1268">
        <f t="shared" si="194"/>
        <v>0</v>
      </c>
      <c r="AE581" s="1268">
        <f t="shared" si="194"/>
        <v>0</v>
      </c>
      <c r="AF581" s="1268">
        <f t="shared" si="194"/>
        <v>0</v>
      </c>
      <c r="AG581" s="1268">
        <f t="shared" si="194"/>
        <v>0</v>
      </c>
      <c r="AH581" s="1268">
        <f t="shared" si="194"/>
        <v>0</v>
      </c>
      <c r="AI581" s="1268">
        <f t="shared" si="194"/>
        <v>0</v>
      </c>
      <c r="AJ581" s="1268">
        <f t="shared" si="194"/>
        <v>0</v>
      </c>
      <c r="AK581" s="1268">
        <f t="shared" si="194"/>
        <v>0</v>
      </c>
      <c r="AL581" s="1268">
        <f t="shared" si="194"/>
        <v>0</v>
      </c>
      <c r="AM581" s="1268">
        <f t="shared" si="194"/>
        <v>0</v>
      </c>
      <c r="AN581" s="1268">
        <f t="shared" si="194"/>
        <v>0</v>
      </c>
      <c r="AO581" s="1268">
        <f t="shared" si="194"/>
        <v>0</v>
      </c>
      <c r="AP581" s="1268">
        <f t="shared" si="194"/>
        <v>0</v>
      </c>
      <c r="AQ581" s="1268">
        <f t="shared" si="194"/>
        <v>0</v>
      </c>
      <c r="AR581" s="1268">
        <f t="shared" si="194"/>
        <v>0</v>
      </c>
      <c r="AS581" s="1268">
        <f t="shared" si="194"/>
        <v>0</v>
      </c>
      <c r="AT581" s="1268">
        <f t="shared" si="194"/>
        <v>0</v>
      </c>
      <c r="AU581" s="1268">
        <f t="shared" si="194"/>
        <v>0</v>
      </c>
      <c r="AV581" s="1268">
        <f t="shared" si="194"/>
        <v>0</v>
      </c>
      <c r="AW581" s="1268">
        <f t="shared" si="194"/>
        <v>0</v>
      </c>
      <c r="AX581" s="1268">
        <f t="shared" si="194"/>
        <v>0</v>
      </c>
      <c r="AY581" s="1268">
        <f t="shared" si="194"/>
        <v>0</v>
      </c>
      <c r="AZ581" s="1268">
        <f t="shared" si="194"/>
        <v>0</v>
      </c>
      <c r="BA581" s="1268">
        <f t="shared" si="194"/>
        <v>0</v>
      </c>
      <c r="BB581" s="1268">
        <f t="shared" si="194"/>
        <v>0</v>
      </c>
      <c r="BC581" s="1268">
        <f t="shared" si="194"/>
        <v>0</v>
      </c>
      <c r="BD581" s="1268">
        <f t="shared" si="194"/>
        <v>0</v>
      </c>
      <c r="BE581" s="1269">
        <f t="shared" si="194"/>
        <v>0</v>
      </c>
    </row>
    <row r="582" spans="2:57" x14ac:dyDescent="0.25">
      <c r="B582" s="304"/>
      <c r="C582" s="312" t="s">
        <v>72</v>
      </c>
      <c r="D582" s="312"/>
      <c r="E582" s="312"/>
      <c r="F582" s="312"/>
      <c r="G582" s="1270"/>
      <c r="H582" s="1270">
        <f>IF(H$299&gt;$G577,0,PPMT($G578,H$299,$G577,-$G576))</f>
        <v>0</v>
      </c>
      <c r="I582" s="1270">
        <f t="shared" ref="I582:BE582" si="195">IF(I$299&gt;$G577,0,PPMT($G578,I$299,$G577,-$G576))</f>
        <v>0</v>
      </c>
      <c r="J582" s="1270">
        <f t="shared" si="195"/>
        <v>0</v>
      </c>
      <c r="K582" s="1270">
        <f t="shared" si="195"/>
        <v>0</v>
      </c>
      <c r="L582" s="1270">
        <f t="shared" si="195"/>
        <v>0</v>
      </c>
      <c r="M582" s="1270">
        <f t="shared" si="195"/>
        <v>0</v>
      </c>
      <c r="N582" s="1270">
        <f t="shared" si="195"/>
        <v>0</v>
      </c>
      <c r="O582" s="1270">
        <f t="shared" si="195"/>
        <v>0</v>
      </c>
      <c r="P582" s="1270">
        <f t="shared" si="195"/>
        <v>0</v>
      </c>
      <c r="Q582" s="1270">
        <f t="shared" si="195"/>
        <v>0</v>
      </c>
      <c r="R582" s="1270">
        <f t="shared" si="195"/>
        <v>0</v>
      </c>
      <c r="S582" s="1270">
        <f t="shared" si="195"/>
        <v>0</v>
      </c>
      <c r="T582" s="1270">
        <f t="shared" si="195"/>
        <v>0</v>
      </c>
      <c r="U582" s="1270">
        <f t="shared" si="195"/>
        <v>0</v>
      </c>
      <c r="V582" s="1270">
        <f t="shared" si="195"/>
        <v>0</v>
      </c>
      <c r="W582" s="1270">
        <f t="shared" si="195"/>
        <v>0</v>
      </c>
      <c r="X582" s="1270">
        <f t="shared" si="195"/>
        <v>0</v>
      </c>
      <c r="Y582" s="1270">
        <f t="shared" si="195"/>
        <v>0</v>
      </c>
      <c r="Z582" s="1270">
        <f t="shared" si="195"/>
        <v>0</v>
      </c>
      <c r="AA582" s="1270">
        <f t="shared" si="195"/>
        <v>0</v>
      </c>
      <c r="AB582" s="1270">
        <f t="shared" si="195"/>
        <v>0</v>
      </c>
      <c r="AC582" s="1270">
        <f t="shared" si="195"/>
        <v>0</v>
      </c>
      <c r="AD582" s="1270">
        <f t="shared" si="195"/>
        <v>0</v>
      </c>
      <c r="AE582" s="1270">
        <f t="shared" si="195"/>
        <v>0</v>
      </c>
      <c r="AF582" s="1270">
        <f t="shared" si="195"/>
        <v>0</v>
      </c>
      <c r="AG582" s="1270">
        <f t="shared" si="195"/>
        <v>0</v>
      </c>
      <c r="AH582" s="1270">
        <f t="shared" si="195"/>
        <v>0</v>
      </c>
      <c r="AI582" s="1270">
        <f t="shared" si="195"/>
        <v>0</v>
      </c>
      <c r="AJ582" s="1270">
        <f t="shared" si="195"/>
        <v>0</v>
      </c>
      <c r="AK582" s="1270">
        <f t="shared" si="195"/>
        <v>0</v>
      </c>
      <c r="AL582" s="1270">
        <f t="shared" si="195"/>
        <v>0</v>
      </c>
      <c r="AM582" s="1270">
        <f t="shared" si="195"/>
        <v>0</v>
      </c>
      <c r="AN582" s="1270">
        <f t="shared" si="195"/>
        <v>0</v>
      </c>
      <c r="AO582" s="1270">
        <f t="shared" si="195"/>
        <v>0</v>
      </c>
      <c r="AP582" s="1270">
        <f t="shared" si="195"/>
        <v>0</v>
      </c>
      <c r="AQ582" s="1270">
        <f t="shared" si="195"/>
        <v>0</v>
      </c>
      <c r="AR582" s="1270">
        <f t="shared" si="195"/>
        <v>0</v>
      </c>
      <c r="AS582" s="1270">
        <f t="shared" si="195"/>
        <v>0</v>
      </c>
      <c r="AT582" s="1270">
        <f t="shared" si="195"/>
        <v>0</v>
      </c>
      <c r="AU582" s="1270">
        <f t="shared" si="195"/>
        <v>0</v>
      </c>
      <c r="AV582" s="1270">
        <f t="shared" si="195"/>
        <v>0</v>
      </c>
      <c r="AW582" s="1270">
        <f t="shared" si="195"/>
        <v>0</v>
      </c>
      <c r="AX582" s="1270">
        <f t="shared" si="195"/>
        <v>0</v>
      </c>
      <c r="AY582" s="1270">
        <f t="shared" si="195"/>
        <v>0</v>
      </c>
      <c r="AZ582" s="1270">
        <f t="shared" si="195"/>
        <v>0</v>
      </c>
      <c r="BA582" s="1270">
        <f t="shared" si="195"/>
        <v>0</v>
      </c>
      <c r="BB582" s="1270">
        <f t="shared" si="195"/>
        <v>0</v>
      </c>
      <c r="BC582" s="1270">
        <f t="shared" si="195"/>
        <v>0</v>
      </c>
      <c r="BD582" s="1270">
        <f t="shared" si="195"/>
        <v>0</v>
      </c>
      <c r="BE582" s="1271">
        <f t="shared" si="195"/>
        <v>0</v>
      </c>
    </row>
    <row r="583" spans="2:57" x14ac:dyDescent="0.25">
      <c r="B583" s="304"/>
      <c r="C583" s="305" t="s">
        <v>74</v>
      </c>
      <c r="D583" s="305"/>
      <c r="E583" s="305"/>
      <c r="F583" s="305"/>
      <c r="G583" s="1268"/>
      <c r="H583" s="1268">
        <f>SUM(H581:H582)</f>
        <v>0</v>
      </c>
      <c r="I583" s="1268">
        <f t="shared" ref="I583:BE583" si="196">SUM(I581:I582)</f>
        <v>0</v>
      </c>
      <c r="J583" s="1268">
        <f t="shared" si="196"/>
        <v>0</v>
      </c>
      <c r="K583" s="1268">
        <f t="shared" si="196"/>
        <v>0</v>
      </c>
      <c r="L583" s="1268">
        <f t="shared" si="196"/>
        <v>0</v>
      </c>
      <c r="M583" s="1268">
        <f t="shared" si="196"/>
        <v>0</v>
      </c>
      <c r="N583" s="1268">
        <f t="shared" si="196"/>
        <v>0</v>
      </c>
      <c r="O583" s="1268">
        <f t="shared" si="196"/>
        <v>0</v>
      </c>
      <c r="P583" s="1268">
        <f t="shared" si="196"/>
        <v>0</v>
      </c>
      <c r="Q583" s="1268">
        <f t="shared" si="196"/>
        <v>0</v>
      </c>
      <c r="R583" s="1268">
        <f t="shared" si="196"/>
        <v>0</v>
      </c>
      <c r="S583" s="1268">
        <f t="shared" si="196"/>
        <v>0</v>
      </c>
      <c r="T583" s="1268">
        <f t="shared" si="196"/>
        <v>0</v>
      </c>
      <c r="U583" s="1268">
        <f t="shared" si="196"/>
        <v>0</v>
      </c>
      <c r="V583" s="1268">
        <f t="shared" si="196"/>
        <v>0</v>
      </c>
      <c r="W583" s="1268">
        <f t="shared" si="196"/>
        <v>0</v>
      </c>
      <c r="X583" s="1268">
        <f t="shared" si="196"/>
        <v>0</v>
      </c>
      <c r="Y583" s="1268">
        <f t="shared" si="196"/>
        <v>0</v>
      </c>
      <c r="Z583" s="1268">
        <f t="shared" si="196"/>
        <v>0</v>
      </c>
      <c r="AA583" s="1268">
        <f t="shared" si="196"/>
        <v>0</v>
      </c>
      <c r="AB583" s="1268">
        <f t="shared" si="196"/>
        <v>0</v>
      </c>
      <c r="AC583" s="1268">
        <f t="shared" si="196"/>
        <v>0</v>
      </c>
      <c r="AD583" s="1268">
        <f t="shared" si="196"/>
        <v>0</v>
      </c>
      <c r="AE583" s="1268">
        <f t="shared" si="196"/>
        <v>0</v>
      </c>
      <c r="AF583" s="1268">
        <f t="shared" si="196"/>
        <v>0</v>
      </c>
      <c r="AG583" s="1268">
        <f t="shared" si="196"/>
        <v>0</v>
      </c>
      <c r="AH583" s="1268">
        <f t="shared" si="196"/>
        <v>0</v>
      </c>
      <c r="AI583" s="1268">
        <f t="shared" si="196"/>
        <v>0</v>
      </c>
      <c r="AJ583" s="1268">
        <f t="shared" si="196"/>
        <v>0</v>
      </c>
      <c r="AK583" s="1268">
        <f t="shared" si="196"/>
        <v>0</v>
      </c>
      <c r="AL583" s="1268">
        <f t="shared" si="196"/>
        <v>0</v>
      </c>
      <c r="AM583" s="1268">
        <f t="shared" si="196"/>
        <v>0</v>
      </c>
      <c r="AN583" s="1268">
        <f t="shared" si="196"/>
        <v>0</v>
      </c>
      <c r="AO583" s="1268">
        <f t="shared" si="196"/>
        <v>0</v>
      </c>
      <c r="AP583" s="1268">
        <f t="shared" si="196"/>
        <v>0</v>
      </c>
      <c r="AQ583" s="1268">
        <f t="shared" si="196"/>
        <v>0</v>
      </c>
      <c r="AR583" s="1268">
        <f t="shared" si="196"/>
        <v>0</v>
      </c>
      <c r="AS583" s="1268">
        <f t="shared" si="196"/>
        <v>0</v>
      </c>
      <c r="AT583" s="1268">
        <f t="shared" si="196"/>
        <v>0</v>
      </c>
      <c r="AU583" s="1268">
        <f t="shared" si="196"/>
        <v>0</v>
      </c>
      <c r="AV583" s="1268">
        <f t="shared" si="196"/>
        <v>0</v>
      </c>
      <c r="AW583" s="1268">
        <f t="shared" si="196"/>
        <v>0</v>
      </c>
      <c r="AX583" s="1268">
        <f t="shared" si="196"/>
        <v>0</v>
      </c>
      <c r="AY583" s="1268">
        <f t="shared" si="196"/>
        <v>0</v>
      </c>
      <c r="AZ583" s="1268">
        <f t="shared" si="196"/>
        <v>0</v>
      </c>
      <c r="BA583" s="1268">
        <f t="shared" si="196"/>
        <v>0</v>
      </c>
      <c r="BB583" s="1268">
        <f t="shared" si="196"/>
        <v>0</v>
      </c>
      <c r="BC583" s="1268">
        <f t="shared" si="196"/>
        <v>0</v>
      </c>
      <c r="BD583" s="1268">
        <f t="shared" si="196"/>
        <v>0</v>
      </c>
      <c r="BE583" s="1269">
        <f t="shared" si="196"/>
        <v>0</v>
      </c>
    </row>
    <row r="584" spans="2:57" x14ac:dyDescent="0.25">
      <c r="B584" s="304"/>
      <c r="C584" s="305"/>
      <c r="D584" s="305"/>
      <c r="E584" s="305"/>
      <c r="F584" s="305"/>
      <c r="G584" s="1268"/>
      <c r="H584" s="1268"/>
      <c r="I584" s="1268"/>
      <c r="J584" s="1268"/>
      <c r="K584" s="1268"/>
      <c r="L584" s="1268"/>
      <c r="M584" s="1268"/>
      <c r="N584" s="1268"/>
      <c r="O584" s="1268"/>
      <c r="P584" s="1268"/>
      <c r="Q584" s="1268"/>
      <c r="R584" s="1268"/>
      <c r="S584" s="1268"/>
      <c r="T584" s="1268"/>
      <c r="U584" s="1268"/>
      <c r="V584" s="1268"/>
      <c r="W584" s="1268"/>
      <c r="X584" s="1268"/>
      <c r="Y584" s="1268"/>
      <c r="Z584" s="1268"/>
      <c r="AA584" s="1268"/>
      <c r="AB584" s="1268"/>
      <c r="AC584" s="1268"/>
      <c r="AD584" s="1268"/>
      <c r="AE584" s="1268"/>
      <c r="AF584" s="1268"/>
      <c r="AG584" s="1268"/>
      <c r="AH584" s="1268"/>
      <c r="AI584" s="1268"/>
      <c r="AJ584" s="1268"/>
      <c r="AK584" s="1268"/>
      <c r="AL584" s="1268"/>
      <c r="AM584" s="1268"/>
      <c r="AN584" s="1268"/>
      <c r="AO584" s="1268"/>
      <c r="AP584" s="1268"/>
      <c r="AQ584" s="1268"/>
      <c r="AR584" s="1268"/>
      <c r="AS584" s="1268"/>
      <c r="AT584" s="1268"/>
      <c r="AU584" s="1268"/>
      <c r="AV584" s="1268"/>
      <c r="AW584" s="1268"/>
      <c r="AX584" s="1268"/>
      <c r="AY584" s="1268"/>
      <c r="AZ584" s="1268"/>
      <c r="BA584" s="1268"/>
      <c r="BB584" s="1268"/>
      <c r="BC584" s="1268"/>
      <c r="BD584" s="1268"/>
      <c r="BE584" s="1269"/>
    </row>
    <row r="585" spans="2:57" x14ac:dyDescent="0.25">
      <c r="B585" s="304"/>
      <c r="C585" s="404" t="s">
        <v>65</v>
      </c>
      <c r="D585" s="305"/>
      <c r="E585" s="305"/>
      <c r="F585" s="305"/>
      <c r="G585" s="1268"/>
      <c r="H585" s="1268"/>
      <c r="I585" s="1268"/>
      <c r="J585" s="1268"/>
      <c r="K585" s="1268"/>
      <c r="L585" s="1268"/>
      <c r="M585" s="1268"/>
      <c r="N585" s="1268"/>
      <c r="O585" s="1268"/>
      <c r="P585" s="1268"/>
      <c r="Q585" s="1268"/>
      <c r="R585" s="1268"/>
      <c r="S585" s="1268"/>
      <c r="T585" s="1268"/>
      <c r="U585" s="1268"/>
      <c r="V585" s="1268"/>
      <c r="W585" s="1268"/>
      <c r="X585" s="1268"/>
      <c r="Y585" s="1268"/>
      <c r="Z585" s="1268"/>
      <c r="AA585" s="1268"/>
      <c r="AB585" s="1268"/>
      <c r="AC585" s="1268"/>
      <c r="AD585" s="1268"/>
      <c r="AE585" s="1268"/>
      <c r="AF585" s="1268"/>
      <c r="AG585" s="1268"/>
      <c r="AH585" s="1268"/>
      <c r="AI585" s="1268"/>
      <c r="AJ585" s="1268"/>
      <c r="AK585" s="1268"/>
      <c r="AL585" s="1268"/>
      <c r="AM585" s="1268"/>
      <c r="AN585" s="1268"/>
      <c r="AO585" s="1268"/>
      <c r="AP585" s="1268"/>
      <c r="AQ585" s="1268"/>
      <c r="AR585" s="1268"/>
      <c r="AS585" s="1268"/>
      <c r="AT585" s="1268"/>
      <c r="AU585" s="1268"/>
      <c r="AV585" s="1268"/>
      <c r="AW585" s="1268"/>
      <c r="AX585" s="1268"/>
      <c r="AY585" s="1268"/>
      <c r="AZ585" s="1268"/>
      <c r="BA585" s="1268"/>
      <c r="BB585" s="1268"/>
      <c r="BC585" s="1268"/>
      <c r="BD585" s="1268"/>
      <c r="BE585" s="1269"/>
    </row>
    <row r="586" spans="2:57" x14ac:dyDescent="0.25">
      <c r="B586" s="304"/>
      <c r="C586" s="305" t="s">
        <v>75</v>
      </c>
      <c r="D586" s="305"/>
      <c r="E586" s="305"/>
      <c r="F586" s="305"/>
      <c r="G586" s="1268">
        <v>0</v>
      </c>
      <c r="H586" s="1268">
        <f t="shared" ref="H586:AM586" si="197">G589</f>
        <v>0</v>
      </c>
      <c r="I586" s="1268">
        <f t="shared" si="197"/>
        <v>0</v>
      </c>
      <c r="J586" s="1268">
        <f t="shared" si="197"/>
        <v>0</v>
      </c>
      <c r="K586" s="1268">
        <f t="shared" si="197"/>
        <v>0</v>
      </c>
      <c r="L586" s="1268">
        <f t="shared" si="197"/>
        <v>0</v>
      </c>
      <c r="M586" s="1268">
        <f t="shared" si="197"/>
        <v>0</v>
      </c>
      <c r="N586" s="1268">
        <f t="shared" si="197"/>
        <v>0</v>
      </c>
      <c r="O586" s="1268">
        <f t="shared" si="197"/>
        <v>0</v>
      </c>
      <c r="P586" s="1268">
        <f t="shared" si="197"/>
        <v>0</v>
      </c>
      <c r="Q586" s="1268">
        <f t="shared" si="197"/>
        <v>0</v>
      </c>
      <c r="R586" s="1268">
        <f t="shared" si="197"/>
        <v>0</v>
      </c>
      <c r="S586" s="1268">
        <f t="shared" si="197"/>
        <v>0</v>
      </c>
      <c r="T586" s="1268">
        <f t="shared" si="197"/>
        <v>0</v>
      </c>
      <c r="U586" s="1268">
        <f t="shared" si="197"/>
        <v>0</v>
      </c>
      <c r="V586" s="1268">
        <f t="shared" si="197"/>
        <v>0</v>
      </c>
      <c r="W586" s="1268">
        <f t="shared" si="197"/>
        <v>0</v>
      </c>
      <c r="X586" s="1268">
        <f t="shared" si="197"/>
        <v>0</v>
      </c>
      <c r="Y586" s="1268">
        <f t="shared" si="197"/>
        <v>0</v>
      </c>
      <c r="Z586" s="1268">
        <f t="shared" si="197"/>
        <v>0</v>
      </c>
      <c r="AA586" s="1268">
        <f t="shared" si="197"/>
        <v>0</v>
      </c>
      <c r="AB586" s="1268">
        <f t="shared" si="197"/>
        <v>0</v>
      </c>
      <c r="AC586" s="1268">
        <f t="shared" si="197"/>
        <v>0</v>
      </c>
      <c r="AD586" s="1268">
        <f t="shared" si="197"/>
        <v>0</v>
      </c>
      <c r="AE586" s="1268">
        <f t="shared" si="197"/>
        <v>0</v>
      </c>
      <c r="AF586" s="1268">
        <f t="shared" si="197"/>
        <v>0</v>
      </c>
      <c r="AG586" s="1268">
        <f t="shared" si="197"/>
        <v>0</v>
      </c>
      <c r="AH586" s="1268">
        <f t="shared" si="197"/>
        <v>0</v>
      </c>
      <c r="AI586" s="1268">
        <f t="shared" si="197"/>
        <v>0</v>
      </c>
      <c r="AJ586" s="1268">
        <f t="shared" si="197"/>
        <v>0</v>
      </c>
      <c r="AK586" s="1268">
        <f t="shared" si="197"/>
        <v>0</v>
      </c>
      <c r="AL586" s="1268">
        <f t="shared" si="197"/>
        <v>0</v>
      </c>
      <c r="AM586" s="1268">
        <f t="shared" si="197"/>
        <v>0</v>
      </c>
      <c r="AN586" s="1268">
        <f t="shared" ref="AN586:BE586" si="198">AM589</f>
        <v>0</v>
      </c>
      <c r="AO586" s="1268">
        <f t="shared" si="198"/>
        <v>0</v>
      </c>
      <c r="AP586" s="1268">
        <f t="shared" si="198"/>
        <v>0</v>
      </c>
      <c r="AQ586" s="1268">
        <f t="shared" si="198"/>
        <v>0</v>
      </c>
      <c r="AR586" s="1268">
        <f t="shared" si="198"/>
        <v>0</v>
      </c>
      <c r="AS586" s="1268">
        <f t="shared" si="198"/>
        <v>0</v>
      </c>
      <c r="AT586" s="1268">
        <f t="shared" si="198"/>
        <v>0</v>
      </c>
      <c r="AU586" s="1268">
        <f t="shared" si="198"/>
        <v>0</v>
      </c>
      <c r="AV586" s="1268">
        <f t="shared" si="198"/>
        <v>0</v>
      </c>
      <c r="AW586" s="1268">
        <f t="shared" si="198"/>
        <v>0</v>
      </c>
      <c r="AX586" s="1268">
        <f t="shared" si="198"/>
        <v>0</v>
      </c>
      <c r="AY586" s="1268">
        <f t="shared" si="198"/>
        <v>0</v>
      </c>
      <c r="AZ586" s="1268">
        <f t="shared" si="198"/>
        <v>0</v>
      </c>
      <c r="BA586" s="1268">
        <f t="shared" si="198"/>
        <v>0</v>
      </c>
      <c r="BB586" s="1268">
        <f t="shared" si="198"/>
        <v>0</v>
      </c>
      <c r="BC586" s="1268">
        <f t="shared" si="198"/>
        <v>0</v>
      </c>
      <c r="BD586" s="1268">
        <f t="shared" si="198"/>
        <v>0</v>
      </c>
      <c r="BE586" s="1269">
        <f t="shared" si="198"/>
        <v>0</v>
      </c>
    </row>
    <row r="587" spans="2:57" x14ac:dyDescent="0.25">
      <c r="B587" s="304"/>
      <c r="C587" s="305" t="s">
        <v>76</v>
      </c>
      <c r="D587" s="305"/>
      <c r="E587" s="305"/>
      <c r="F587" s="305"/>
      <c r="G587" s="1268">
        <f>G576</f>
        <v>0</v>
      </c>
      <c r="H587" s="1268">
        <v>0</v>
      </c>
      <c r="I587" s="1268">
        <v>0</v>
      </c>
      <c r="J587" s="1268">
        <v>0</v>
      </c>
      <c r="K587" s="1268">
        <v>0</v>
      </c>
      <c r="L587" s="1268">
        <v>0</v>
      </c>
      <c r="M587" s="1268">
        <v>0</v>
      </c>
      <c r="N587" s="1268">
        <v>0</v>
      </c>
      <c r="O587" s="1268">
        <v>0</v>
      </c>
      <c r="P587" s="1268">
        <v>0</v>
      </c>
      <c r="Q587" s="1268">
        <v>0</v>
      </c>
      <c r="R587" s="1268">
        <v>0</v>
      </c>
      <c r="S587" s="1268">
        <v>0</v>
      </c>
      <c r="T587" s="1268">
        <v>0</v>
      </c>
      <c r="U587" s="1268">
        <v>0</v>
      </c>
      <c r="V587" s="1268">
        <v>0</v>
      </c>
      <c r="W587" s="1268">
        <v>0</v>
      </c>
      <c r="X587" s="1268">
        <v>0</v>
      </c>
      <c r="Y587" s="1268">
        <v>0</v>
      </c>
      <c r="Z587" s="1268">
        <v>0</v>
      </c>
      <c r="AA587" s="1268">
        <v>0</v>
      </c>
      <c r="AB587" s="1268">
        <v>0</v>
      </c>
      <c r="AC587" s="1268">
        <v>0</v>
      </c>
      <c r="AD587" s="1268">
        <v>0</v>
      </c>
      <c r="AE587" s="1268">
        <v>0</v>
      </c>
      <c r="AF587" s="1268">
        <v>0</v>
      </c>
      <c r="AG587" s="1268">
        <v>0</v>
      </c>
      <c r="AH587" s="1268">
        <v>0</v>
      </c>
      <c r="AI587" s="1268">
        <v>0</v>
      </c>
      <c r="AJ587" s="1268">
        <v>0</v>
      </c>
      <c r="AK587" s="1268">
        <v>0</v>
      </c>
      <c r="AL587" s="1268">
        <v>0</v>
      </c>
      <c r="AM587" s="1268">
        <v>0</v>
      </c>
      <c r="AN587" s="1268">
        <v>0</v>
      </c>
      <c r="AO587" s="1268">
        <v>0</v>
      </c>
      <c r="AP587" s="1268">
        <v>0</v>
      </c>
      <c r="AQ587" s="1268">
        <v>0</v>
      </c>
      <c r="AR587" s="1268">
        <v>0</v>
      </c>
      <c r="AS587" s="1268">
        <v>0</v>
      </c>
      <c r="AT587" s="1268">
        <v>0</v>
      </c>
      <c r="AU587" s="1268">
        <v>0</v>
      </c>
      <c r="AV587" s="1268">
        <v>0</v>
      </c>
      <c r="AW587" s="1268">
        <v>0</v>
      </c>
      <c r="AX587" s="1268">
        <v>0</v>
      </c>
      <c r="AY587" s="1268">
        <v>0</v>
      </c>
      <c r="AZ587" s="1268">
        <v>0</v>
      </c>
      <c r="BA587" s="1268">
        <v>0</v>
      </c>
      <c r="BB587" s="1268">
        <v>0</v>
      </c>
      <c r="BC587" s="1268">
        <v>0</v>
      </c>
      <c r="BD587" s="1268">
        <v>0</v>
      </c>
      <c r="BE587" s="1269">
        <v>0</v>
      </c>
    </row>
    <row r="588" spans="2:57" x14ac:dyDescent="0.25">
      <c r="B588" s="304"/>
      <c r="C588" s="312" t="s">
        <v>77</v>
      </c>
      <c r="D588" s="312"/>
      <c r="E588" s="312"/>
      <c r="F588" s="312"/>
      <c r="G588" s="1270">
        <v>0</v>
      </c>
      <c r="H588" s="1270">
        <f>-H582</f>
        <v>0</v>
      </c>
      <c r="I588" s="1270">
        <f t="shared" ref="I588:BE588" si="199">-I582</f>
        <v>0</v>
      </c>
      <c r="J588" s="1270">
        <f t="shared" si="199"/>
        <v>0</v>
      </c>
      <c r="K588" s="1270">
        <f t="shared" si="199"/>
        <v>0</v>
      </c>
      <c r="L588" s="1270">
        <f t="shared" si="199"/>
        <v>0</v>
      </c>
      <c r="M588" s="1270">
        <f t="shared" si="199"/>
        <v>0</v>
      </c>
      <c r="N588" s="1270">
        <f t="shared" si="199"/>
        <v>0</v>
      </c>
      <c r="O588" s="1270">
        <f t="shared" si="199"/>
        <v>0</v>
      </c>
      <c r="P588" s="1270">
        <f t="shared" si="199"/>
        <v>0</v>
      </c>
      <c r="Q588" s="1270">
        <f t="shared" si="199"/>
        <v>0</v>
      </c>
      <c r="R588" s="1270">
        <f t="shared" si="199"/>
        <v>0</v>
      </c>
      <c r="S588" s="1270">
        <f t="shared" si="199"/>
        <v>0</v>
      </c>
      <c r="T588" s="1270">
        <f t="shared" si="199"/>
        <v>0</v>
      </c>
      <c r="U588" s="1270">
        <f t="shared" si="199"/>
        <v>0</v>
      </c>
      <c r="V588" s="1270">
        <f t="shared" si="199"/>
        <v>0</v>
      </c>
      <c r="W588" s="1270">
        <f t="shared" si="199"/>
        <v>0</v>
      </c>
      <c r="X588" s="1270">
        <f t="shared" si="199"/>
        <v>0</v>
      </c>
      <c r="Y588" s="1270">
        <f t="shared" si="199"/>
        <v>0</v>
      </c>
      <c r="Z588" s="1270">
        <f t="shared" si="199"/>
        <v>0</v>
      </c>
      <c r="AA588" s="1270">
        <f t="shared" si="199"/>
        <v>0</v>
      </c>
      <c r="AB588" s="1270">
        <f t="shared" si="199"/>
        <v>0</v>
      </c>
      <c r="AC588" s="1270">
        <f t="shared" si="199"/>
        <v>0</v>
      </c>
      <c r="AD588" s="1270">
        <f t="shared" si="199"/>
        <v>0</v>
      </c>
      <c r="AE588" s="1270">
        <f t="shared" si="199"/>
        <v>0</v>
      </c>
      <c r="AF588" s="1270">
        <f t="shared" si="199"/>
        <v>0</v>
      </c>
      <c r="AG588" s="1270">
        <f t="shared" si="199"/>
        <v>0</v>
      </c>
      <c r="AH588" s="1270">
        <f t="shared" si="199"/>
        <v>0</v>
      </c>
      <c r="AI588" s="1270">
        <f t="shared" si="199"/>
        <v>0</v>
      </c>
      <c r="AJ588" s="1270">
        <f t="shared" si="199"/>
        <v>0</v>
      </c>
      <c r="AK588" s="1270">
        <f t="shared" si="199"/>
        <v>0</v>
      </c>
      <c r="AL588" s="1270">
        <f t="shared" si="199"/>
        <v>0</v>
      </c>
      <c r="AM588" s="1270">
        <f t="shared" si="199"/>
        <v>0</v>
      </c>
      <c r="AN588" s="1270">
        <f t="shared" si="199"/>
        <v>0</v>
      </c>
      <c r="AO588" s="1270">
        <f t="shared" si="199"/>
        <v>0</v>
      </c>
      <c r="AP588" s="1270">
        <f t="shared" si="199"/>
        <v>0</v>
      </c>
      <c r="AQ588" s="1270">
        <f t="shared" si="199"/>
        <v>0</v>
      </c>
      <c r="AR588" s="1270">
        <f t="shared" si="199"/>
        <v>0</v>
      </c>
      <c r="AS588" s="1270">
        <f t="shared" si="199"/>
        <v>0</v>
      </c>
      <c r="AT588" s="1270">
        <f t="shared" si="199"/>
        <v>0</v>
      </c>
      <c r="AU588" s="1270">
        <f t="shared" si="199"/>
        <v>0</v>
      </c>
      <c r="AV588" s="1270">
        <f t="shared" si="199"/>
        <v>0</v>
      </c>
      <c r="AW588" s="1270">
        <f t="shared" si="199"/>
        <v>0</v>
      </c>
      <c r="AX588" s="1270">
        <f t="shared" si="199"/>
        <v>0</v>
      </c>
      <c r="AY588" s="1270">
        <f t="shared" si="199"/>
        <v>0</v>
      </c>
      <c r="AZ588" s="1270">
        <f t="shared" si="199"/>
        <v>0</v>
      </c>
      <c r="BA588" s="1270">
        <f t="shared" si="199"/>
        <v>0</v>
      </c>
      <c r="BB588" s="1270">
        <f t="shared" si="199"/>
        <v>0</v>
      </c>
      <c r="BC588" s="1270">
        <f t="shared" si="199"/>
        <v>0</v>
      </c>
      <c r="BD588" s="1270">
        <f t="shared" si="199"/>
        <v>0</v>
      </c>
      <c r="BE588" s="1271">
        <f t="shared" si="199"/>
        <v>0</v>
      </c>
    </row>
    <row r="589" spans="2:57" x14ac:dyDescent="0.25">
      <c r="B589" s="304"/>
      <c r="C589" s="305" t="s">
        <v>66</v>
      </c>
      <c r="D589" s="305"/>
      <c r="E589" s="305"/>
      <c r="F589" s="305"/>
      <c r="G589" s="1268">
        <f>SUM(G586:G588)</f>
        <v>0</v>
      </c>
      <c r="H589" s="1268">
        <f>SUM(H586:H588)</f>
        <v>0</v>
      </c>
      <c r="I589" s="1268">
        <f t="shared" ref="I589:BE589" si="200">SUM(I586:I588)</f>
        <v>0</v>
      </c>
      <c r="J589" s="1268">
        <f t="shared" si="200"/>
        <v>0</v>
      </c>
      <c r="K589" s="1268">
        <f t="shared" si="200"/>
        <v>0</v>
      </c>
      <c r="L589" s="1268">
        <f t="shared" si="200"/>
        <v>0</v>
      </c>
      <c r="M589" s="1268">
        <f t="shared" si="200"/>
        <v>0</v>
      </c>
      <c r="N589" s="1268">
        <f t="shared" si="200"/>
        <v>0</v>
      </c>
      <c r="O589" s="1268">
        <f t="shared" si="200"/>
        <v>0</v>
      </c>
      <c r="P589" s="1268">
        <f t="shared" si="200"/>
        <v>0</v>
      </c>
      <c r="Q589" s="1268">
        <f t="shared" si="200"/>
        <v>0</v>
      </c>
      <c r="R589" s="1268">
        <f t="shared" si="200"/>
        <v>0</v>
      </c>
      <c r="S589" s="1268">
        <f t="shared" si="200"/>
        <v>0</v>
      </c>
      <c r="T589" s="1268">
        <f t="shared" si="200"/>
        <v>0</v>
      </c>
      <c r="U589" s="1268">
        <f t="shared" si="200"/>
        <v>0</v>
      </c>
      <c r="V589" s="1268">
        <f t="shared" si="200"/>
        <v>0</v>
      </c>
      <c r="W589" s="1268">
        <f t="shared" si="200"/>
        <v>0</v>
      </c>
      <c r="X589" s="1268">
        <f t="shared" si="200"/>
        <v>0</v>
      </c>
      <c r="Y589" s="1268">
        <f t="shared" si="200"/>
        <v>0</v>
      </c>
      <c r="Z589" s="1268">
        <f t="shared" si="200"/>
        <v>0</v>
      </c>
      <c r="AA589" s="1268">
        <f t="shared" si="200"/>
        <v>0</v>
      </c>
      <c r="AB589" s="1268">
        <f t="shared" si="200"/>
        <v>0</v>
      </c>
      <c r="AC589" s="1268">
        <f t="shared" si="200"/>
        <v>0</v>
      </c>
      <c r="AD589" s="1268">
        <f t="shared" si="200"/>
        <v>0</v>
      </c>
      <c r="AE589" s="1268">
        <f t="shared" si="200"/>
        <v>0</v>
      </c>
      <c r="AF589" s="1268">
        <f t="shared" si="200"/>
        <v>0</v>
      </c>
      <c r="AG589" s="1268">
        <f t="shared" si="200"/>
        <v>0</v>
      </c>
      <c r="AH589" s="1268">
        <f t="shared" si="200"/>
        <v>0</v>
      </c>
      <c r="AI589" s="1268">
        <f t="shared" si="200"/>
        <v>0</v>
      </c>
      <c r="AJ589" s="1268">
        <f t="shared" si="200"/>
        <v>0</v>
      </c>
      <c r="AK589" s="1268">
        <f t="shared" si="200"/>
        <v>0</v>
      </c>
      <c r="AL589" s="1268">
        <f t="shared" si="200"/>
        <v>0</v>
      </c>
      <c r="AM589" s="1268">
        <f t="shared" si="200"/>
        <v>0</v>
      </c>
      <c r="AN589" s="1268">
        <f t="shared" si="200"/>
        <v>0</v>
      </c>
      <c r="AO589" s="1268">
        <f t="shared" si="200"/>
        <v>0</v>
      </c>
      <c r="AP589" s="1268">
        <f t="shared" si="200"/>
        <v>0</v>
      </c>
      <c r="AQ589" s="1268">
        <f t="shared" si="200"/>
        <v>0</v>
      </c>
      <c r="AR589" s="1268">
        <f t="shared" si="200"/>
        <v>0</v>
      </c>
      <c r="AS589" s="1268">
        <f t="shared" si="200"/>
        <v>0</v>
      </c>
      <c r="AT589" s="1268">
        <f t="shared" si="200"/>
        <v>0</v>
      </c>
      <c r="AU589" s="1268">
        <f t="shared" si="200"/>
        <v>0</v>
      </c>
      <c r="AV589" s="1268">
        <f t="shared" si="200"/>
        <v>0</v>
      </c>
      <c r="AW589" s="1268">
        <f t="shared" si="200"/>
        <v>0</v>
      </c>
      <c r="AX589" s="1268">
        <f t="shared" si="200"/>
        <v>0</v>
      </c>
      <c r="AY589" s="1268">
        <f t="shared" si="200"/>
        <v>0</v>
      </c>
      <c r="AZ589" s="1268">
        <f t="shared" si="200"/>
        <v>0</v>
      </c>
      <c r="BA589" s="1268">
        <f t="shared" si="200"/>
        <v>0</v>
      </c>
      <c r="BB589" s="1268">
        <f t="shared" si="200"/>
        <v>0</v>
      </c>
      <c r="BC589" s="1268">
        <f t="shared" si="200"/>
        <v>0</v>
      </c>
      <c r="BD589" s="1268">
        <f t="shared" si="200"/>
        <v>0</v>
      </c>
      <c r="BE589" s="1269">
        <f t="shared" si="200"/>
        <v>0</v>
      </c>
    </row>
    <row r="590" spans="2:57" x14ac:dyDescent="0.25">
      <c r="B590" s="304"/>
      <c r="C590" s="305"/>
      <c r="D590" s="305"/>
      <c r="E590" s="305"/>
      <c r="F590" s="305"/>
      <c r="G590" s="1268"/>
      <c r="H590" s="1268"/>
      <c r="I590" s="1268"/>
      <c r="J590" s="1268"/>
      <c r="K590" s="1268"/>
      <c r="L590" s="1268"/>
      <c r="M590" s="1268"/>
      <c r="N590" s="1268"/>
      <c r="O590" s="1268"/>
      <c r="P590" s="1268"/>
      <c r="Q590" s="1268"/>
      <c r="R590" s="1268"/>
      <c r="S590" s="1268"/>
      <c r="T590" s="1268"/>
      <c r="U590" s="1268"/>
      <c r="V590" s="1268"/>
      <c r="W590" s="1268"/>
      <c r="X590" s="1268"/>
      <c r="Y590" s="1268"/>
      <c r="Z590" s="1268"/>
      <c r="AA590" s="1268"/>
      <c r="AB590" s="1268"/>
      <c r="AC590" s="1268"/>
      <c r="AD590" s="1268"/>
      <c r="AE590" s="1268"/>
      <c r="AF590" s="1268"/>
      <c r="AG590" s="1268"/>
      <c r="AH590" s="1268"/>
      <c r="AI590" s="1268"/>
      <c r="AJ590" s="1268"/>
      <c r="AK590" s="1268"/>
      <c r="AL590" s="1268"/>
      <c r="AM590" s="1268"/>
      <c r="AN590" s="1268"/>
      <c r="AO590" s="1268"/>
      <c r="AP590" s="1268"/>
      <c r="AQ590" s="1268"/>
      <c r="AR590" s="1268"/>
      <c r="AS590" s="1268"/>
      <c r="AT590" s="1268"/>
      <c r="AU590" s="1268"/>
      <c r="AV590" s="1268"/>
      <c r="AW590" s="1268"/>
      <c r="AX590" s="1268"/>
      <c r="AY590" s="1268"/>
      <c r="AZ590" s="1268"/>
      <c r="BA590" s="1268"/>
      <c r="BB590" s="1268"/>
      <c r="BC590" s="1268"/>
      <c r="BD590" s="1268"/>
      <c r="BE590" s="1269"/>
    </row>
    <row r="591" spans="2:57" x14ac:dyDescent="0.25">
      <c r="B591" s="304"/>
      <c r="C591" s="404" t="s">
        <v>71</v>
      </c>
      <c r="D591" s="305"/>
      <c r="E591" s="305"/>
      <c r="F591" s="305"/>
      <c r="G591" s="1268"/>
      <c r="H591" s="1268"/>
      <c r="I591" s="1268"/>
      <c r="J591" s="1268"/>
      <c r="K591" s="1268"/>
      <c r="L591" s="1268"/>
      <c r="M591" s="1268"/>
      <c r="N591" s="1268"/>
      <c r="O591" s="1268"/>
      <c r="P591" s="1268"/>
      <c r="Q591" s="1268"/>
      <c r="R591" s="1268"/>
      <c r="S591" s="1268"/>
      <c r="T591" s="1268"/>
      <c r="U591" s="1268"/>
      <c r="V591" s="1268"/>
      <c r="W591" s="1268"/>
      <c r="X591" s="1268"/>
      <c r="Y591" s="1268"/>
      <c r="Z591" s="1268"/>
      <c r="AA591" s="1268"/>
      <c r="AB591" s="1268"/>
      <c r="AC591" s="1268"/>
      <c r="AD591" s="1268"/>
      <c r="AE591" s="1268"/>
      <c r="AF591" s="1268"/>
      <c r="AG591" s="1268"/>
      <c r="AH591" s="1268"/>
      <c r="AI591" s="1268"/>
      <c r="AJ591" s="1268"/>
      <c r="AK591" s="1268"/>
      <c r="AL591" s="1268"/>
      <c r="AM591" s="1268"/>
      <c r="AN591" s="1268"/>
      <c r="AO591" s="1268"/>
      <c r="AP591" s="1268"/>
      <c r="AQ591" s="1268"/>
      <c r="AR591" s="1268"/>
      <c r="AS591" s="1268"/>
      <c r="AT591" s="1268"/>
      <c r="AU591" s="1268"/>
      <c r="AV591" s="1268"/>
      <c r="AW591" s="1268"/>
      <c r="AX591" s="1268"/>
      <c r="AY591" s="1268"/>
      <c r="AZ591" s="1268"/>
      <c r="BA591" s="1268"/>
      <c r="BB591" s="1268"/>
      <c r="BC591" s="1268"/>
      <c r="BD591" s="1268"/>
      <c r="BE591" s="1269"/>
    </row>
    <row r="592" spans="2:57" x14ac:dyDescent="0.25">
      <c r="B592" s="304"/>
      <c r="C592" s="305" t="s">
        <v>237</v>
      </c>
      <c r="D592" s="305"/>
      <c r="E592" s="305"/>
      <c r="F592" s="305"/>
      <c r="G592" s="1268"/>
      <c r="H592" s="1268">
        <f>IF($G576&gt;0, $G576*'II. Inputs, Baseline Energy Mix'!$Q$51/10000,0)</f>
        <v>0</v>
      </c>
      <c r="I592" s="1268">
        <v>0</v>
      </c>
      <c r="J592" s="1268">
        <v>0</v>
      </c>
      <c r="K592" s="1268">
        <v>0</v>
      </c>
      <c r="L592" s="1268">
        <v>0</v>
      </c>
      <c r="M592" s="1268">
        <v>0</v>
      </c>
      <c r="N592" s="1268">
        <v>0</v>
      </c>
      <c r="O592" s="1268">
        <v>0</v>
      </c>
      <c r="P592" s="1268">
        <v>0</v>
      </c>
      <c r="Q592" s="1268">
        <v>0</v>
      </c>
      <c r="R592" s="1268">
        <v>0</v>
      </c>
      <c r="S592" s="1268">
        <v>0</v>
      </c>
      <c r="T592" s="1268">
        <v>0</v>
      </c>
      <c r="U592" s="1268">
        <v>0</v>
      </c>
      <c r="V592" s="1268">
        <v>0</v>
      </c>
      <c r="W592" s="1268">
        <v>0</v>
      </c>
      <c r="X592" s="1268">
        <v>0</v>
      </c>
      <c r="Y592" s="1268">
        <v>0</v>
      </c>
      <c r="Z592" s="1268">
        <v>0</v>
      </c>
      <c r="AA592" s="1268">
        <v>0</v>
      </c>
      <c r="AB592" s="1268">
        <v>0</v>
      </c>
      <c r="AC592" s="1268">
        <v>0</v>
      </c>
      <c r="AD592" s="1268">
        <v>0</v>
      </c>
      <c r="AE592" s="1268">
        <v>0</v>
      </c>
      <c r="AF592" s="1268">
        <v>0</v>
      </c>
      <c r="AG592" s="1268">
        <v>0</v>
      </c>
      <c r="AH592" s="1268">
        <v>0</v>
      </c>
      <c r="AI592" s="1268">
        <v>0</v>
      </c>
      <c r="AJ592" s="1268">
        <v>0</v>
      </c>
      <c r="AK592" s="1268">
        <v>0</v>
      </c>
      <c r="AL592" s="1268">
        <v>0</v>
      </c>
      <c r="AM592" s="1268">
        <v>0</v>
      </c>
      <c r="AN592" s="1268">
        <v>0</v>
      </c>
      <c r="AO592" s="1268">
        <v>0</v>
      </c>
      <c r="AP592" s="1268">
        <v>0</v>
      </c>
      <c r="AQ592" s="1268">
        <v>0</v>
      </c>
      <c r="AR592" s="1268">
        <v>0</v>
      </c>
      <c r="AS592" s="1268">
        <v>0</v>
      </c>
      <c r="AT592" s="1268">
        <v>0</v>
      </c>
      <c r="AU592" s="1268">
        <v>0</v>
      </c>
      <c r="AV592" s="1268">
        <v>0</v>
      </c>
      <c r="AW592" s="1268">
        <v>0</v>
      </c>
      <c r="AX592" s="1268">
        <v>0</v>
      </c>
      <c r="AY592" s="1268">
        <v>0</v>
      </c>
      <c r="AZ592" s="1268">
        <v>0</v>
      </c>
      <c r="BA592" s="1268">
        <v>0</v>
      </c>
      <c r="BB592" s="1268">
        <v>0</v>
      </c>
      <c r="BC592" s="1268">
        <v>0</v>
      </c>
      <c r="BD592" s="1268">
        <v>0</v>
      </c>
      <c r="BE592" s="1269">
        <v>0</v>
      </c>
    </row>
    <row r="593" spans="2:57" x14ac:dyDescent="0.25">
      <c r="B593" s="304"/>
      <c r="C593" s="305"/>
      <c r="D593" s="305"/>
      <c r="E593" s="305"/>
      <c r="F593" s="305"/>
      <c r="G593" s="305"/>
      <c r="H593" s="305"/>
      <c r="I593" s="305"/>
      <c r="J593" s="305"/>
      <c r="K593" s="305"/>
      <c r="L593" s="305"/>
      <c r="M593" s="305"/>
      <c r="N593" s="305"/>
      <c r="O593" s="305"/>
      <c r="P593" s="305"/>
      <c r="Q593" s="305"/>
      <c r="R593" s="305"/>
      <c r="S593" s="305"/>
      <c r="T593" s="305"/>
      <c r="U593" s="305"/>
      <c r="V593" s="305"/>
      <c r="W593" s="305"/>
      <c r="X593" s="305"/>
      <c r="Y593" s="305"/>
      <c r="Z593" s="305"/>
      <c r="AA593" s="305"/>
      <c r="AB593" s="305"/>
      <c r="AC593" s="305"/>
      <c r="AD593" s="305"/>
      <c r="AE593" s="305"/>
      <c r="AF593" s="305"/>
      <c r="AG593" s="305"/>
      <c r="AH593" s="305"/>
      <c r="AI593" s="305"/>
      <c r="AJ593" s="305"/>
      <c r="AK593" s="305"/>
      <c r="AL593" s="305"/>
      <c r="AM593" s="305"/>
      <c r="AN593" s="305"/>
      <c r="AO593" s="305"/>
      <c r="AP593" s="305"/>
      <c r="AQ593" s="305"/>
      <c r="AR593" s="305"/>
      <c r="AS593" s="305"/>
      <c r="AT593" s="305"/>
      <c r="AU593" s="305"/>
      <c r="AV593" s="305"/>
      <c r="AW593" s="305"/>
      <c r="AX593" s="305"/>
      <c r="AY593" s="305"/>
      <c r="AZ593" s="305"/>
      <c r="BA593" s="305"/>
      <c r="BB593" s="305"/>
      <c r="BC593" s="305"/>
      <c r="BD593" s="305"/>
      <c r="BE593" s="306"/>
    </row>
    <row r="594" spans="2:57" x14ac:dyDescent="0.25">
      <c r="B594" s="304"/>
      <c r="C594" s="305"/>
      <c r="D594" s="305"/>
      <c r="E594" s="305"/>
      <c r="F594" s="305"/>
      <c r="G594" s="305"/>
      <c r="H594" s="305"/>
      <c r="I594" s="305"/>
      <c r="J594" s="305"/>
      <c r="K594" s="305"/>
      <c r="L594" s="305"/>
      <c r="M594" s="305"/>
      <c r="N594" s="305"/>
      <c r="O594" s="305"/>
      <c r="P594" s="305"/>
      <c r="Q594" s="305"/>
      <c r="R594" s="305"/>
      <c r="S594" s="305"/>
      <c r="T594" s="305"/>
      <c r="U594" s="305"/>
      <c r="V594" s="305"/>
      <c r="W594" s="305"/>
      <c r="X594" s="305"/>
      <c r="Y594" s="305"/>
      <c r="Z594" s="305"/>
      <c r="AA594" s="305"/>
      <c r="AB594" s="305"/>
      <c r="AC594" s="305"/>
      <c r="AD594" s="305"/>
      <c r="AE594" s="305"/>
      <c r="AF594" s="305"/>
      <c r="AG594" s="305"/>
      <c r="AH594" s="305"/>
      <c r="AI594" s="305"/>
      <c r="AJ594" s="305"/>
      <c r="AK594" s="305"/>
      <c r="AL594" s="305"/>
      <c r="AM594" s="305"/>
      <c r="AN594" s="305"/>
      <c r="AO594" s="305"/>
      <c r="AP594" s="305"/>
      <c r="AQ594" s="305"/>
      <c r="AR594" s="305"/>
      <c r="AS594" s="305"/>
      <c r="AT594" s="305"/>
      <c r="AU594" s="305"/>
      <c r="AV594" s="305"/>
      <c r="AW594" s="305"/>
      <c r="AX594" s="305"/>
      <c r="AY594" s="305"/>
      <c r="AZ594" s="305"/>
      <c r="BA594" s="305"/>
      <c r="BB594" s="305"/>
      <c r="BC594" s="305"/>
      <c r="BD594" s="305"/>
      <c r="BE594" s="306"/>
    </row>
    <row r="595" spans="2:57" x14ac:dyDescent="0.25">
      <c r="B595" s="316" t="s">
        <v>86</v>
      </c>
      <c r="C595" s="305"/>
      <c r="D595" s="305"/>
      <c r="E595" s="305"/>
      <c r="F595" s="305"/>
      <c r="G595" s="305"/>
      <c r="H595" s="305"/>
      <c r="I595" s="305"/>
      <c r="J595" s="305"/>
      <c r="K595" s="305"/>
      <c r="L595" s="305"/>
      <c r="M595" s="305"/>
      <c r="N595" s="305"/>
      <c r="O595" s="305"/>
      <c r="P595" s="305"/>
      <c r="Q595" s="305"/>
      <c r="R595" s="305"/>
      <c r="S595" s="305"/>
      <c r="T595" s="305"/>
      <c r="U595" s="305"/>
      <c r="V595" s="305"/>
      <c r="W595" s="305"/>
      <c r="X595" s="305"/>
      <c r="Y595" s="305"/>
      <c r="Z595" s="305"/>
      <c r="AA595" s="305"/>
      <c r="AB595" s="305"/>
      <c r="AC595" s="305"/>
      <c r="AD595" s="305"/>
      <c r="AE595" s="305"/>
      <c r="AF595" s="305"/>
      <c r="AG595" s="305"/>
      <c r="AH595" s="305"/>
      <c r="AI595" s="305"/>
      <c r="AJ595" s="305"/>
      <c r="AK595" s="305"/>
      <c r="AL595" s="305"/>
      <c r="AM595" s="305"/>
      <c r="AN595" s="305"/>
      <c r="AO595" s="305"/>
      <c r="AP595" s="305"/>
      <c r="AQ595" s="305"/>
      <c r="AR595" s="305"/>
      <c r="AS595" s="305"/>
      <c r="AT595" s="305"/>
      <c r="AU595" s="305"/>
      <c r="AV595" s="305"/>
      <c r="AW595" s="305"/>
      <c r="AX595" s="305"/>
      <c r="AY595" s="305"/>
      <c r="AZ595" s="305"/>
      <c r="BA595" s="305"/>
      <c r="BB595" s="305"/>
      <c r="BC595" s="305"/>
      <c r="BD595" s="305"/>
      <c r="BE595" s="306"/>
    </row>
    <row r="596" spans="2:57" x14ac:dyDescent="0.25">
      <c r="B596" s="304"/>
      <c r="C596" s="401" t="s">
        <v>84</v>
      </c>
      <c r="D596" s="305"/>
      <c r="E596" s="305"/>
      <c r="F596" s="305"/>
      <c r="G596" s="1268">
        <f>IF('II. Inputs, Baseline Energy Mix'!$Q$15&gt;0, ('II. Inputs, Baseline Energy Mix'!$Q$16*'II. Inputs, Baseline Energy Mix'!$Q$17*'II. Inputs, Baseline Energy Mix'!$Q$29*'II. Inputs, Baseline Energy Mix'!$Q$80),0)</f>
        <v>0</v>
      </c>
      <c r="H596" s="305"/>
      <c r="I596" s="305"/>
      <c r="J596" s="305"/>
      <c r="K596" s="305"/>
      <c r="L596" s="305"/>
      <c r="M596" s="305"/>
      <c r="N596" s="305"/>
      <c r="O596" s="305"/>
      <c r="P596" s="305"/>
      <c r="Q596" s="305"/>
      <c r="R596" s="305"/>
      <c r="S596" s="305"/>
      <c r="T596" s="305"/>
      <c r="U596" s="305"/>
      <c r="V596" s="305"/>
      <c r="W596" s="305"/>
      <c r="X596" s="305"/>
      <c r="Y596" s="305"/>
      <c r="Z596" s="305"/>
      <c r="AA596" s="305"/>
      <c r="AB596" s="305"/>
      <c r="AC596" s="305"/>
      <c r="AD596" s="305"/>
      <c r="AE596" s="305"/>
      <c r="AF596" s="305"/>
      <c r="AG596" s="305"/>
      <c r="AH596" s="305"/>
      <c r="AI596" s="305"/>
      <c r="AJ596" s="305"/>
      <c r="AK596" s="305"/>
      <c r="AL596" s="305"/>
      <c r="AM596" s="305"/>
      <c r="AN596" s="305"/>
      <c r="AO596" s="305"/>
      <c r="AP596" s="305"/>
      <c r="AQ596" s="305"/>
      <c r="AR596" s="305"/>
      <c r="AS596" s="305"/>
      <c r="AT596" s="305"/>
      <c r="AU596" s="305"/>
      <c r="AV596" s="305"/>
      <c r="AW596" s="305"/>
      <c r="AX596" s="305"/>
      <c r="AY596" s="305"/>
      <c r="AZ596" s="305"/>
      <c r="BA596" s="305"/>
      <c r="BB596" s="305"/>
      <c r="BC596" s="305"/>
      <c r="BD596" s="305"/>
      <c r="BE596" s="306"/>
    </row>
    <row r="597" spans="2:57" x14ac:dyDescent="0.25">
      <c r="B597" s="304"/>
      <c r="C597" s="401" t="str">
        <f>'II. Inputs, Baseline Energy Mix'!$E$81</f>
        <v xml:space="preserve">Term of Political Risk Insurance </v>
      </c>
      <c r="D597" s="305"/>
      <c r="E597" s="305"/>
      <c r="F597" s="305"/>
      <c r="G597" s="307">
        <f>'II. Inputs, Baseline Energy Mix'!$Q$81</f>
        <v>0</v>
      </c>
      <c r="H597" s="305"/>
      <c r="I597" s="305"/>
      <c r="J597" s="305"/>
      <c r="K597" s="305"/>
      <c r="L597" s="305"/>
      <c r="M597" s="305"/>
      <c r="N597" s="305"/>
      <c r="O597" s="305"/>
      <c r="P597" s="305"/>
      <c r="Q597" s="305"/>
      <c r="R597" s="305"/>
      <c r="S597" s="305"/>
      <c r="T597" s="305"/>
      <c r="U597" s="305"/>
      <c r="V597" s="305"/>
      <c r="W597" s="305"/>
      <c r="X597" s="305"/>
      <c r="Y597" s="305"/>
      <c r="Z597" s="305"/>
      <c r="AA597" s="305"/>
      <c r="AB597" s="305"/>
      <c r="AC597" s="305"/>
      <c r="AD597" s="305"/>
      <c r="AE597" s="305"/>
      <c r="AF597" s="305"/>
      <c r="AG597" s="305"/>
      <c r="AH597" s="305"/>
      <c r="AI597" s="305"/>
      <c r="AJ597" s="305"/>
      <c r="AK597" s="305"/>
      <c r="AL597" s="305"/>
      <c r="AM597" s="305"/>
      <c r="AN597" s="305"/>
      <c r="AO597" s="305"/>
      <c r="AP597" s="305"/>
      <c r="AQ597" s="305"/>
      <c r="AR597" s="305"/>
      <c r="AS597" s="305"/>
      <c r="AT597" s="305"/>
      <c r="AU597" s="305"/>
      <c r="AV597" s="305"/>
      <c r="AW597" s="305"/>
      <c r="AX597" s="305"/>
      <c r="AY597" s="305"/>
      <c r="AZ597" s="305"/>
      <c r="BA597" s="305"/>
      <c r="BB597" s="305"/>
      <c r="BC597" s="305"/>
      <c r="BD597" s="305"/>
      <c r="BE597" s="306"/>
    </row>
    <row r="598" spans="2:57" x14ac:dyDescent="0.25">
      <c r="B598" s="304"/>
      <c r="C598" s="401" t="str">
        <f>'II. Inputs, Baseline Energy Mix'!$E$82</f>
        <v xml:space="preserve">Front-end Fee </v>
      </c>
      <c r="D598" s="305"/>
      <c r="E598" s="305"/>
      <c r="F598" s="305"/>
      <c r="G598" s="1268">
        <f>'II. Inputs, Baseline Energy Mix'!$Q$82</f>
        <v>0</v>
      </c>
      <c r="H598" s="305"/>
      <c r="I598" s="305"/>
      <c r="J598" s="305"/>
      <c r="K598" s="305"/>
      <c r="L598" s="305"/>
      <c r="M598" s="305"/>
      <c r="N598" s="305"/>
      <c r="O598" s="305"/>
      <c r="P598" s="305"/>
      <c r="Q598" s="305"/>
      <c r="R598" s="305"/>
      <c r="S598" s="305"/>
      <c r="T598" s="305"/>
      <c r="U598" s="305"/>
      <c r="V598" s="305"/>
      <c r="W598" s="305"/>
      <c r="X598" s="305"/>
      <c r="Y598" s="305"/>
      <c r="Z598" s="305"/>
      <c r="AA598" s="305"/>
      <c r="AB598" s="305"/>
      <c r="AC598" s="305"/>
      <c r="AD598" s="305"/>
      <c r="AE598" s="305"/>
      <c r="AF598" s="305"/>
      <c r="AG598" s="305"/>
      <c r="AH598" s="305"/>
      <c r="AI598" s="305"/>
      <c r="AJ598" s="305"/>
      <c r="AK598" s="305"/>
      <c r="AL598" s="305"/>
      <c r="AM598" s="305"/>
      <c r="AN598" s="305"/>
      <c r="AO598" s="305"/>
      <c r="AP598" s="305"/>
      <c r="AQ598" s="305"/>
      <c r="AR598" s="305"/>
      <c r="AS598" s="305"/>
      <c r="AT598" s="305"/>
      <c r="AU598" s="305"/>
      <c r="AV598" s="305"/>
      <c r="AW598" s="305"/>
      <c r="AX598" s="305"/>
      <c r="AY598" s="305"/>
      <c r="AZ598" s="305"/>
      <c r="BA598" s="305"/>
      <c r="BB598" s="305"/>
      <c r="BC598" s="305"/>
      <c r="BD598" s="305"/>
      <c r="BE598" s="306"/>
    </row>
    <row r="599" spans="2:57" x14ac:dyDescent="0.25">
      <c r="B599" s="304"/>
      <c r="C599" s="401" t="str">
        <f>'II. Inputs, Baseline Energy Mix'!$E$83</f>
        <v xml:space="preserve">Annual Political Risk Insurance Premium </v>
      </c>
      <c r="D599" s="305"/>
      <c r="E599" s="305"/>
      <c r="F599" s="305"/>
      <c r="G599" s="1268">
        <f>'II. Inputs, Baseline Energy Mix'!$Q$83</f>
        <v>0</v>
      </c>
      <c r="H599" s="305"/>
      <c r="I599" s="305"/>
      <c r="J599" s="305"/>
      <c r="K599" s="305"/>
      <c r="L599" s="305"/>
      <c r="M599" s="305"/>
      <c r="N599" s="305"/>
      <c r="O599" s="305"/>
      <c r="P599" s="305"/>
      <c r="Q599" s="305"/>
      <c r="R599" s="305"/>
      <c r="S599" s="305"/>
      <c r="T599" s="305"/>
      <c r="U599" s="305"/>
      <c r="V599" s="305"/>
      <c r="W599" s="305"/>
      <c r="X599" s="305"/>
      <c r="Y599" s="305"/>
      <c r="Z599" s="305"/>
      <c r="AA599" s="305"/>
      <c r="AB599" s="305"/>
      <c r="AC599" s="305"/>
      <c r="AD599" s="305"/>
      <c r="AE599" s="305"/>
      <c r="AF599" s="305"/>
      <c r="AG599" s="305"/>
      <c r="AH599" s="305"/>
      <c r="AI599" s="305"/>
      <c r="AJ599" s="305"/>
      <c r="AK599" s="305"/>
      <c r="AL599" s="305"/>
      <c r="AM599" s="305"/>
      <c r="AN599" s="305"/>
      <c r="AO599" s="305"/>
      <c r="AP599" s="305"/>
      <c r="AQ599" s="305"/>
      <c r="AR599" s="305"/>
      <c r="AS599" s="305"/>
      <c r="AT599" s="305"/>
      <c r="AU599" s="305"/>
      <c r="AV599" s="305"/>
      <c r="AW599" s="305"/>
      <c r="AX599" s="305"/>
      <c r="AY599" s="305"/>
      <c r="AZ599" s="305"/>
      <c r="BA599" s="305"/>
      <c r="BB599" s="305"/>
      <c r="BC599" s="305"/>
      <c r="BD599" s="305"/>
      <c r="BE599" s="306"/>
    </row>
    <row r="600" spans="2:57" x14ac:dyDescent="0.25">
      <c r="B600" s="304"/>
      <c r="C600" s="305"/>
      <c r="D600" s="305"/>
      <c r="E600" s="305"/>
      <c r="F600" s="305"/>
      <c r="G600" s="305"/>
      <c r="H600" s="305"/>
      <c r="I600" s="305"/>
      <c r="J600" s="305"/>
      <c r="K600" s="305"/>
      <c r="L600" s="305"/>
      <c r="M600" s="305"/>
      <c r="N600" s="305"/>
      <c r="O600" s="305"/>
      <c r="P600" s="305"/>
      <c r="Q600" s="305"/>
      <c r="R600" s="305"/>
      <c r="S600" s="305"/>
      <c r="T600" s="305"/>
      <c r="U600" s="305"/>
      <c r="V600" s="305"/>
      <c r="W600" s="305"/>
      <c r="X600" s="305"/>
      <c r="Y600" s="305"/>
      <c r="Z600" s="305"/>
      <c r="AA600" s="305"/>
      <c r="AB600" s="305"/>
      <c r="AC600" s="305"/>
      <c r="AD600" s="305"/>
      <c r="AE600" s="305"/>
      <c r="AF600" s="305"/>
      <c r="AG600" s="305"/>
      <c r="AH600" s="305"/>
      <c r="AI600" s="305"/>
      <c r="AJ600" s="305"/>
      <c r="AK600" s="305"/>
      <c r="AL600" s="305"/>
      <c r="AM600" s="305"/>
      <c r="AN600" s="305"/>
      <c r="AO600" s="305"/>
      <c r="AP600" s="305"/>
      <c r="AQ600" s="305"/>
      <c r="AR600" s="305"/>
      <c r="AS600" s="305"/>
      <c r="AT600" s="305"/>
      <c r="AU600" s="305"/>
      <c r="AV600" s="305"/>
      <c r="AW600" s="305"/>
      <c r="AX600" s="305"/>
      <c r="AY600" s="305"/>
      <c r="AZ600" s="305"/>
      <c r="BA600" s="305"/>
      <c r="BB600" s="305"/>
      <c r="BC600" s="305"/>
      <c r="BD600" s="305"/>
      <c r="BE600" s="306"/>
    </row>
    <row r="601" spans="2:57" x14ac:dyDescent="0.25">
      <c r="B601" s="304"/>
      <c r="C601" s="404" t="s">
        <v>71</v>
      </c>
      <c r="D601" s="305"/>
      <c r="E601" s="305"/>
      <c r="F601" s="305"/>
      <c r="G601" s="305"/>
      <c r="H601" s="305"/>
      <c r="I601" s="305"/>
      <c r="J601" s="305"/>
      <c r="K601" s="305"/>
      <c r="L601" s="305"/>
      <c r="M601" s="305"/>
      <c r="N601" s="305"/>
      <c r="O601" s="305"/>
      <c r="P601" s="305"/>
      <c r="Q601" s="305"/>
      <c r="R601" s="305"/>
      <c r="S601" s="305"/>
      <c r="T601" s="305"/>
      <c r="U601" s="305"/>
      <c r="V601" s="305"/>
      <c r="W601" s="305"/>
      <c r="X601" s="305"/>
      <c r="Y601" s="305"/>
      <c r="Z601" s="305"/>
      <c r="AA601" s="305"/>
      <c r="AB601" s="305"/>
      <c r="AC601" s="305"/>
      <c r="AD601" s="305"/>
      <c r="AE601" s="305"/>
      <c r="AF601" s="305"/>
      <c r="AG601" s="305"/>
      <c r="AH601" s="305"/>
      <c r="AI601" s="305"/>
      <c r="AJ601" s="305"/>
      <c r="AK601" s="305"/>
      <c r="AL601" s="305"/>
      <c r="AM601" s="305"/>
      <c r="AN601" s="305"/>
      <c r="AO601" s="305"/>
      <c r="AP601" s="305"/>
      <c r="AQ601" s="305"/>
      <c r="AR601" s="305"/>
      <c r="AS601" s="305"/>
      <c r="AT601" s="305"/>
      <c r="AU601" s="305"/>
      <c r="AV601" s="305"/>
      <c r="AW601" s="305"/>
      <c r="AX601" s="305"/>
      <c r="AY601" s="305"/>
      <c r="AZ601" s="305"/>
      <c r="BA601" s="305"/>
      <c r="BB601" s="305"/>
      <c r="BC601" s="305"/>
      <c r="BD601" s="305"/>
      <c r="BE601" s="306"/>
    </row>
    <row r="602" spans="2:57" x14ac:dyDescent="0.25">
      <c r="B602" s="304"/>
      <c r="C602" s="305" t="str">
        <f>'II. Inputs, Baseline Energy Mix'!$E$82</f>
        <v xml:space="preserve">Front-end Fee </v>
      </c>
      <c r="D602" s="305"/>
      <c r="E602" s="305"/>
      <c r="F602" s="305"/>
      <c r="G602" s="305"/>
      <c r="H602" s="1268">
        <f>IF(G596&gt;0, G596*G598/10000, 0)</f>
        <v>0</v>
      </c>
      <c r="I602" s="1268">
        <v>0</v>
      </c>
      <c r="J602" s="1268">
        <v>0</v>
      </c>
      <c r="K602" s="1268">
        <v>0</v>
      </c>
      <c r="L602" s="1268">
        <v>0</v>
      </c>
      <c r="M602" s="1268">
        <v>0</v>
      </c>
      <c r="N602" s="1268">
        <v>0</v>
      </c>
      <c r="O602" s="1268">
        <v>0</v>
      </c>
      <c r="P602" s="1268">
        <v>0</v>
      </c>
      <c r="Q602" s="1268">
        <v>0</v>
      </c>
      <c r="R602" s="1268">
        <v>0</v>
      </c>
      <c r="S602" s="1268">
        <v>0</v>
      </c>
      <c r="T602" s="1268">
        <v>0</v>
      </c>
      <c r="U602" s="1268">
        <v>0</v>
      </c>
      <c r="V602" s="1268">
        <v>0</v>
      </c>
      <c r="W602" s="1268">
        <v>0</v>
      </c>
      <c r="X602" s="1268">
        <v>0</v>
      </c>
      <c r="Y602" s="1268">
        <v>0</v>
      </c>
      <c r="Z602" s="1268">
        <v>0</v>
      </c>
      <c r="AA602" s="1268">
        <v>0</v>
      </c>
      <c r="AB602" s="1268">
        <v>0</v>
      </c>
      <c r="AC602" s="1268">
        <v>0</v>
      </c>
      <c r="AD602" s="1268">
        <v>0</v>
      </c>
      <c r="AE602" s="1268">
        <v>0</v>
      </c>
      <c r="AF602" s="1268">
        <v>0</v>
      </c>
      <c r="AG602" s="1268">
        <v>0</v>
      </c>
      <c r="AH602" s="1268">
        <v>0</v>
      </c>
      <c r="AI602" s="1268">
        <v>0</v>
      </c>
      <c r="AJ602" s="1268">
        <v>0</v>
      </c>
      <c r="AK602" s="1268">
        <v>0</v>
      </c>
      <c r="AL602" s="1268">
        <v>0</v>
      </c>
      <c r="AM602" s="1268">
        <v>0</v>
      </c>
      <c r="AN602" s="1268">
        <v>0</v>
      </c>
      <c r="AO602" s="1268">
        <v>0</v>
      </c>
      <c r="AP602" s="1268">
        <v>0</v>
      </c>
      <c r="AQ602" s="1268">
        <v>0</v>
      </c>
      <c r="AR602" s="1268">
        <v>0</v>
      </c>
      <c r="AS602" s="1268">
        <v>0</v>
      </c>
      <c r="AT602" s="1268">
        <v>0</v>
      </c>
      <c r="AU602" s="1268">
        <v>0</v>
      </c>
      <c r="AV602" s="1268">
        <v>0</v>
      </c>
      <c r="AW602" s="1268">
        <v>0</v>
      </c>
      <c r="AX602" s="1268">
        <v>0</v>
      </c>
      <c r="AY602" s="1268">
        <v>0</v>
      </c>
      <c r="AZ602" s="1268">
        <v>0</v>
      </c>
      <c r="BA602" s="1268">
        <v>0</v>
      </c>
      <c r="BB602" s="1268">
        <v>0</v>
      </c>
      <c r="BC602" s="1268">
        <v>0</v>
      </c>
      <c r="BD602" s="1268">
        <v>0</v>
      </c>
      <c r="BE602" s="1269">
        <v>0</v>
      </c>
    </row>
    <row r="603" spans="2:57" x14ac:dyDescent="0.25">
      <c r="B603" s="304"/>
      <c r="C603" s="312" t="str">
        <f>'II. Inputs, Baseline Energy Mix'!$E$83</f>
        <v xml:space="preserve">Annual Political Risk Insurance Premium </v>
      </c>
      <c r="D603" s="312"/>
      <c r="E603" s="312"/>
      <c r="F603" s="312"/>
      <c r="G603" s="312"/>
      <c r="H603" s="1270">
        <f>IF(H$299&gt;$G597,0,($G596*$G599/10000))</f>
        <v>0</v>
      </c>
      <c r="I603" s="1270">
        <f>IF(I$299&gt;$G597,0,($G596*$G599/10000))</f>
        <v>0</v>
      </c>
      <c r="J603" s="1270">
        <f t="shared" ref="J603:BE603" si="201">IF(J$299&gt;$G597,0,($G596*$G599/10000))</f>
        <v>0</v>
      </c>
      <c r="K603" s="1270">
        <f t="shared" si="201"/>
        <v>0</v>
      </c>
      <c r="L603" s="1270">
        <f t="shared" si="201"/>
        <v>0</v>
      </c>
      <c r="M603" s="1270">
        <f t="shared" si="201"/>
        <v>0</v>
      </c>
      <c r="N603" s="1270">
        <f t="shared" si="201"/>
        <v>0</v>
      </c>
      <c r="O603" s="1270">
        <f t="shared" si="201"/>
        <v>0</v>
      </c>
      <c r="P603" s="1270">
        <f t="shared" si="201"/>
        <v>0</v>
      </c>
      <c r="Q603" s="1270">
        <f t="shared" si="201"/>
        <v>0</v>
      </c>
      <c r="R603" s="1270">
        <f t="shared" si="201"/>
        <v>0</v>
      </c>
      <c r="S603" s="1270">
        <f t="shared" si="201"/>
        <v>0</v>
      </c>
      <c r="T603" s="1270">
        <f t="shared" si="201"/>
        <v>0</v>
      </c>
      <c r="U603" s="1270">
        <f t="shared" si="201"/>
        <v>0</v>
      </c>
      <c r="V603" s="1270">
        <f t="shared" si="201"/>
        <v>0</v>
      </c>
      <c r="W603" s="1270">
        <f t="shared" si="201"/>
        <v>0</v>
      </c>
      <c r="X603" s="1270">
        <f t="shared" si="201"/>
        <v>0</v>
      </c>
      <c r="Y603" s="1270">
        <f t="shared" si="201"/>
        <v>0</v>
      </c>
      <c r="Z603" s="1270">
        <f t="shared" si="201"/>
        <v>0</v>
      </c>
      <c r="AA603" s="1270">
        <f t="shared" si="201"/>
        <v>0</v>
      </c>
      <c r="AB603" s="1270">
        <f t="shared" si="201"/>
        <v>0</v>
      </c>
      <c r="AC603" s="1270">
        <f t="shared" si="201"/>
        <v>0</v>
      </c>
      <c r="AD603" s="1270">
        <f t="shared" si="201"/>
        <v>0</v>
      </c>
      <c r="AE603" s="1270">
        <f t="shared" si="201"/>
        <v>0</v>
      </c>
      <c r="AF603" s="1270">
        <f t="shared" si="201"/>
        <v>0</v>
      </c>
      <c r="AG603" s="1270">
        <f t="shared" si="201"/>
        <v>0</v>
      </c>
      <c r="AH603" s="1270">
        <f t="shared" si="201"/>
        <v>0</v>
      </c>
      <c r="AI603" s="1270">
        <f t="shared" si="201"/>
        <v>0</v>
      </c>
      <c r="AJ603" s="1270">
        <f t="shared" si="201"/>
        <v>0</v>
      </c>
      <c r="AK603" s="1270">
        <f t="shared" si="201"/>
        <v>0</v>
      </c>
      <c r="AL603" s="1270">
        <f t="shared" si="201"/>
        <v>0</v>
      </c>
      <c r="AM603" s="1270">
        <f t="shared" si="201"/>
        <v>0</v>
      </c>
      <c r="AN603" s="1270">
        <f t="shared" si="201"/>
        <v>0</v>
      </c>
      <c r="AO603" s="1270">
        <f t="shared" si="201"/>
        <v>0</v>
      </c>
      <c r="AP603" s="1270">
        <f t="shared" si="201"/>
        <v>0</v>
      </c>
      <c r="AQ603" s="1270">
        <f t="shared" si="201"/>
        <v>0</v>
      </c>
      <c r="AR603" s="1270">
        <f t="shared" si="201"/>
        <v>0</v>
      </c>
      <c r="AS603" s="1270">
        <f t="shared" si="201"/>
        <v>0</v>
      </c>
      <c r="AT603" s="1270">
        <f t="shared" si="201"/>
        <v>0</v>
      </c>
      <c r="AU603" s="1270">
        <f t="shared" si="201"/>
        <v>0</v>
      </c>
      <c r="AV603" s="1270">
        <f t="shared" si="201"/>
        <v>0</v>
      </c>
      <c r="AW603" s="1270">
        <f t="shared" si="201"/>
        <v>0</v>
      </c>
      <c r="AX603" s="1270">
        <f t="shared" si="201"/>
        <v>0</v>
      </c>
      <c r="AY603" s="1270">
        <f t="shared" si="201"/>
        <v>0</v>
      </c>
      <c r="AZ603" s="1270">
        <f t="shared" si="201"/>
        <v>0</v>
      </c>
      <c r="BA603" s="1270">
        <f t="shared" si="201"/>
        <v>0</v>
      </c>
      <c r="BB603" s="1270">
        <f t="shared" si="201"/>
        <v>0</v>
      </c>
      <c r="BC603" s="1270">
        <f t="shared" si="201"/>
        <v>0</v>
      </c>
      <c r="BD603" s="1270">
        <f t="shared" si="201"/>
        <v>0</v>
      </c>
      <c r="BE603" s="1271">
        <f t="shared" si="201"/>
        <v>0</v>
      </c>
    </row>
    <row r="604" spans="2:57" x14ac:dyDescent="0.25">
      <c r="B604" s="304"/>
      <c r="C604" s="305" t="s">
        <v>85</v>
      </c>
      <c r="D604" s="305"/>
      <c r="E604" s="305"/>
      <c r="F604" s="305"/>
      <c r="G604" s="305"/>
      <c r="H604" s="1268">
        <f>H602+H603</f>
        <v>0</v>
      </c>
      <c r="I604" s="1268">
        <f t="shared" ref="I604:BE604" si="202">I602+I603</f>
        <v>0</v>
      </c>
      <c r="J604" s="1268">
        <f t="shared" si="202"/>
        <v>0</v>
      </c>
      <c r="K604" s="1268">
        <f t="shared" si="202"/>
        <v>0</v>
      </c>
      <c r="L604" s="1268">
        <f t="shared" si="202"/>
        <v>0</v>
      </c>
      <c r="M604" s="1268">
        <f t="shared" si="202"/>
        <v>0</v>
      </c>
      <c r="N604" s="1268">
        <f t="shared" si="202"/>
        <v>0</v>
      </c>
      <c r="O604" s="1268">
        <f t="shared" si="202"/>
        <v>0</v>
      </c>
      <c r="P604" s="1268">
        <f t="shared" si="202"/>
        <v>0</v>
      </c>
      <c r="Q604" s="1268">
        <f t="shared" si="202"/>
        <v>0</v>
      </c>
      <c r="R604" s="1268">
        <f t="shared" si="202"/>
        <v>0</v>
      </c>
      <c r="S604" s="1268">
        <f t="shared" si="202"/>
        <v>0</v>
      </c>
      <c r="T604" s="1268">
        <f t="shared" si="202"/>
        <v>0</v>
      </c>
      <c r="U604" s="1268">
        <f t="shared" si="202"/>
        <v>0</v>
      </c>
      <c r="V604" s="1268">
        <f t="shared" si="202"/>
        <v>0</v>
      </c>
      <c r="W604" s="1268">
        <f t="shared" si="202"/>
        <v>0</v>
      </c>
      <c r="X604" s="1268">
        <f t="shared" si="202"/>
        <v>0</v>
      </c>
      <c r="Y604" s="1268">
        <f t="shared" si="202"/>
        <v>0</v>
      </c>
      <c r="Z604" s="1268">
        <f t="shared" si="202"/>
        <v>0</v>
      </c>
      <c r="AA604" s="1268">
        <f t="shared" si="202"/>
        <v>0</v>
      </c>
      <c r="AB604" s="1268">
        <f t="shared" si="202"/>
        <v>0</v>
      </c>
      <c r="AC604" s="1268">
        <f t="shared" si="202"/>
        <v>0</v>
      </c>
      <c r="AD604" s="1268">
        <f t="shared" si="202"/>
        <v>0</v>
      </c>
      <c r="AE604" s="1268">
        <f t="shared" si="202"/>
        <v>0</v>
      </c>
      <c r="AF604" s="1268">
        <f t="shared" si="202"/>
        <v>0</v>
      </c>
      <c r="AG604" s="1268">
        <f t="shared" si="202"/>
        <v>0</v>
      </c>
      <c r="AH604" s="1268">
        <f t="shared" si="202"/>
        <v>0</v>
      </c>
      <c r="AI604" s="1268">
        <f t="shared" si="202"/>
        <v>0</v>
      </c>
      <c r="AJ604" s="1268">
        <f t="shared" si="202"/>
        <v>0</v>
      </c>
      <c r="AK604" s="1268">
        <f t="shared" si="202"/>
        <v>0</v>
      </c>
      <c r="AL604" s="1268">
        <f t="shared" si="202"/>
        <v>0</v>
      </c>
      <c r="AM604" s="1268">
        <f t="shared" si="202"/>
        <v>0</v>
      </c>
      <c r="AN604" s="1268">
        <f t="shared" si="202"/>
        <v>0</v>
      </c>
      <c r="AO604" s="1268">
        <f t="shared" si="202"/>
        <v>0</v>
      </c>
      <c r="AP604" s="1268">
        <f t="shared" si="202"/>
        <v>0</v>
      </c>
      <c r="AQ604" s="1268">
        <f t="shared" si="202"/>
        <v>0</v>
      </c>
      <c r="AR604" s="1268">
        <f t="shared" si="202"/>
        <v>0</v>
      </c>
      <c r="AS604" s="1268">
        <f t="shared" si="202"/>
        <v>0</v>
      </c>
      <c r="AT604" s="1268">
        <f t="shared" si="202"/>
        <v>0</v>
      </c>
      <c r="AU604" s="1268">
        <f t="shared" si="202"/>
        <v>0</v>
      </c>
      <c r="AV604" s="1268">
        <f t="shared" si="202"/>
        <v>0</v>
      </c>
      <c r="AW604" s="1268">
        <f t="shared" si="202"/>
        <v>0</v>
      </c>
      <c r="AX604" s="1268">
        <f t="shared" si="202"/>
        <v>0</v>
      </c>
      <c r="AY604" s="1268">
        <f t="shared" si="202"/>
        <v>0</v>
      </c>
      <c r="AZ604" s="1268">
        <f t="shared" si="202"/>
        <v>0</v>
      </c>
      <c r="BA604" s="1268">
        <f t="shared" si="202"/>
        <v>0</v>
      </c>
      <c r="BB604" s="1268">
        <f t="shared" si="202"/>
        <v>0</v>
      </c>
      <c r="BC604" s="1268">
        <f t="shared" si="202"/>
        <v>0</v>
      </c>
      <c r="BD604" s="1268">
        <f t="shared" si="202"/>
        <v>0</v>
      </c>
      <c r="BE604" s="1269">
        <f t="shared" si="202"/>
        <v>0</v>
      </c>
    </row>
    <row r="605" spans="2:57" ht="13.8" thickBot="1" x14ac:dyDescent="0.3">
      <c r="B605" s="406"/>
      <c r="C605" s="325"/>
      <c r="D605" s="325"/>
      <c r="E605" s="325"/>
      <c r="F605" s="325"/>
      <c r="G605" s="325"/>
      <c r="H605" s="326"/>
      <c r="I605" s="326"/>
      <c r="J605" s="326"/>
      <c r="K605" s="326"/>
      <c r="L605" s="326"/>
      <c r="M605" s="326"/>
      <c r="N605" s="326"/>
      <c r="O605" s="326"/>
      <c r="P605" s="326"/>
      <c r="Q605" s="326"/>
      <c r="R605" s="326"/>
      <c r="S605" s="326"/>
      <c r="T605" s="326"/>
      <c r="U605" s="326"/>
      <c r="V605" s="326"/>
      <c r="W605" s="326"/>
      <c r="X605" s="326"/>
      <c r="Y605" s="326"/>
      <c r="Z605" s="326"/>
      <c r="AA605" s="326"/>
      <c r="AB605" s="326"/>
      <c r="AC605" s="326"/>
      <c r="AD605" s="326"/>
      <c r="AE605" s="326"/>
      <c r="AF605" s="326"/>
      <c r="AG605" s="326"/>
      <c r="AH605" s="326"/>
      <c r="AI605" s="326"/>
      <c r="AJ605" s="326"/>
      <c r="AK605" s="326"/>
      <c r="AL605" s="326"/>
      <c r="AM605" s="326"/>
      <c r="AN605" s="326"/>
      <c r="AO605" s="326"/>
      <c r="AP605" s="326"/>
      <c r="AQ605" s="326"/>
      <c r="AR605" s="326"/>
      <c r="AS605" s="326"/>
      <c r="AT605" s="326"/>
      <c r="AU605" s="326"/>
      <c r="AV605" s="326"/>
      <c r="AW605" s="326"/>
      <c r="AX605" s="326"/>
      <c r="AY605" s="326"/>
      <c r="AZ605" s="326"/>
      <c r="BA605" s="326"/>
      <c r="BB605" s="326"/>
      <c r="BC605" s="326"/>
      <c r="BD605" s="326"/>
      <c r="BE605" s="407"/>
    </row>
    <row r="606" spans="2:57" x14ac:dyDescent="0.25">
      <c r="H606" s="250"/>
      <c r="I606" s="250"/>
      <c r="J606" s="250"/>
      <c r="K606" s="250"/>
      <c r="L606" s="250"/>
      <c r="M606" s="250"/>
      <c r="N606" s="250"/>
      <c r="O606" s="250"/>
      <c r="P606" s="250"/>
      <c r="Q606" s="250"/>
      <c r="R606" s="250"/>
      <c r="S606" s="250"/>
      <c r="T606" s="250"/>
      <c r="U606" s="250"/>
      <c r="V606" s="250"/>
      <c r="W606" s="250"/>
      <c r="X606" s="250"/>
      <c r="Y606" s="250"/>
      <c r="Z606" s="250"/>
      <c r="AA606" s="250"/>
      <c r="AB606" s="250"/>
      <c r="AC606" s="250"/>
      <c r="AD606" s="250"/>
      <c r="AE606" s="250"/>
      <c r="AF606" s="250"/>
      <c r="AG606" s="250"/>
      <c r="AH606" s="250"/>
      <c r="AI606" s="250"/>
      <c r="AJ606" s="250"/>
      <c r="AK606" s="250"/>
      <c r="AL606" s="250"/>
      <c r="AM606" s="250"/>
      <c r="AN606" s="250"/>
      <c r="AO606" s="250"/>
      <c r="AP606" s="250"/>
      <c r="AQ606" s="250"/>
      <c r="AR606" s="250"/>
      <c r="AS606" s="250"/>
      <c r="AT606" s="250"/>
      <c r="AU606" s="250"/>
      <c r="AV606" s="250"/>
      <c r="AW606" s="250"/>
      <c r="AX606" s="250"/>
      <c r="AY606" s="250"/>
      <c r="AZ606" s="250"/>
      <c r="BA606" s="250"/>
      <c r="BB606" s="250"/>
      <c r="BC606" s="250"/>
      <c r="BD606" s="250"/>
      <c r="BE606" s="250"/>
    </row>
    <row r="607" spans="2:57" s="36" customFormat="1" x14ac:dyDescent="0.25">
      <c r="B607" s="214" t="s">
        <v>58</v>
      </c>
      <c r="C607" s="215"/>
      <c r="D607" s="215"/>
      <c r="E607" s="216"/>
      <c r="F607" s="215"/>
      <c r="G607" s="216">
        <v>0</v>
      </c>
      <c r="H607" s="216">
        <v>1</v>
      </c>
      <c r="I607" s="216">
        <v>2</v>
      </c>
      <c r="J607" s="216">
        <v>3</v>
      </c>
      <c r="K607" s="216">
        <v>4</v>
      </c>
      <c r="L607" s="216">
        <v>5</v>
      </c>
      <c r="M607" s="216">
        <v>6</v>
      </c>
      <c r="N607" s="216">
        <v>7</v>
      </c>
      <c r="O607" s="216">
        <v>8</v>
      </c>
      <c r="P607" s="216">
        <v>9</v>
      </c>
      <c r="Q607" s="216">
        <v>10</v>
      </c>
      <c r="R607" s="216">
        <v>11</v>
      </c>
      <c r="S607" s="216">
        <v>12</v>
      </c>
      <c r="T607" s="216">
        <v>13</v>
      </c>
      <c r="U607" s="216">
        <v>14</v>
      </c>
      <c r="V607" s="216">
        <v>15</v>
      </c>
      <c r="W607" s="216">
        <v>16</v>
      </c>
      <c r="X607" s="216">
        <v>17</v>
      </c>
      <c r="Y607" s="216">
        <v>18</v>
      </c>
      <c r="Z607" s="216">
        <v>19</v>
      </c>
      <c r="AA607" s="216">
        <v>20</v>
      </c>
      <c r="AB607" s="216">
        <v>21</v>
      </c>
      <c r="AC607" s="216">
        <v>22</v>
      </c>
      <c r="AD607" s="216">
        <v>23</v>
      </c>
      <c r="AE607" s="216">
        <v>24</v>
      </c>
      <c r="AF607" s="216">
        <v>25</v>
      </c>
      <c r="AG607" s="216">
        <v>26</v>
      </c>
      <c r="AH607" s="216">
        <v>27</v>
      </c>
      <c r="AI607" s="216">
        <v>28</v>
      </c>
      <c r="AJ607" s="216">
        <v>29</v>
      </c>
      <c r="AK607" s="216">
        <v>30</v>
      </c>
      <c r="AL607" s="216">
        <v>31</v>
      </c>
      <c r="AM607" s="216">
        <v>32</v>
      </c>
      <c r="AN607" s="216">
        <v>33</v>
      </c>
      <c r="AO607" s="216">
        <v>34</v>
      </c>
      <c r="AP607" s="216">
        <v>35</v>
      </c>
      <c r="AQ607" s="216">
        <v>36</v>
      </c>
      <c r="AR607" s="216">
        <v>37</v>
      </c>
      <c r="AS607" s="216">
        <v>38</v>
      </c>
      <c r="AT607" s="216">
        <v>39</v>
      </c>
      <c r="AU607" s="216">
        <v>40</v>
      </c>
      <c r="AV607" s="216">
        <v>41</v>
      </c>
      <c r="AW607" s="216">
        <v>42</v>
      </c>
      <c r="AX607" s="216">
        <v>43</v>
      </c>
      <c r="AY607" s="216">
        <v>44</v>
      </c>
      <c r="AZ607" s="216">
        <v>45</v>
      </c>
      <c r="BA607" s="216">
        <v>46</v>
      </c>
      <c r="BB607" s="216">
        <v>47</v>
      </c>
      <c r="BC607" s="216">
        <v>48</v>
      </c>
      <c r="BD607" s="216">
        <v>49</v>
      </c>
      <c r="BE607" s="216">
        <v>50</v>
      </c>
    </row>
    <row r="608" spans="2:57" s="36" customFormat="1" ht="13.8" thickBot="1" x14ac:dyDescent="0.3">
      <c r="B608" s="1070"/>
      <c r="C608" s="43"/>
      <c r="D608" s="43"/>
      <c r="E608" s="208"/>
      <c r="F608" s="43"/>
      <c r="G608" s="208"/>
      <c r="H608" s="208"/>
      <c r="I608" s="208"/>
      <c r="J608" s="208"/>
      <c r="K608" s="208"/>
      <c r="L608" s="208"/>
      <c r="M608" s="208"/>
      <c r="N608" s="208"/>
      <c r="O608" s="208"/>
      <c r="P608" s="208"/>
      <c r="Q608" s="208"/>
      <c r="R608" s="208"/>
      <c r="S608" s="208"/>
      <c r="T608" s="208"/>
      <c r="U608" s="208"/>
      <c r="V608" s="208"/>
      <c r="W608" s="208"/>
      <c r="X608" s="208"/>
      <c r="Y608" s="208"/>
      <c r="Z608" s="208"/>
      <c r="AA608" s="208"/>
      <c r="AB608" s="208"/>
      <c r="AC608" s="208"/>
      <c r="AD608" s="208"/>
      <c r="AE608" s="208"/>
      <c r="AF608" s="208"/>
      <c r="AG608" s="208"/>
      <c r="AH608" s="208"/>
      <c r="AI608" s="208"/>
      <c r="AJ608" s="208"/>
      <c r="AK608" s="208"/>
      <c r="AL608" s="208"/>
      <c r="AM608" s="208"/>
      <c r="AN608" s="208"/>
      <c r="AO608" s="208"/>
      <c r="AP608" s="208"/>
      <c r="AQ608" s="208"/>
      <c r="AR608" s="208"/>
      <c r="AS608" s="208"/>
      <c r="AT608" s="208"/>
      <c r="AU608" s="208"/>
      <c r="AV608" s="208"/>
      <c r="AW608" s="208"/>
      <c r="AX608" s="208"/>
      <c r="AY608" s="208"/>
      <c r="AZ608" s="208"/>
      <c r="BA608" s="208"/>
      <c r="BB608" s="208"/>
      <c r="BC608" s="208"/>
      <c r="BD608" s="208"/>
      <c r="BE608" s="208"/>
    </row>
    <row r="609" spans="2:57" s="36" customFormat="1" x14ac:dyDescent="0.25">
      <c r="B609" s="329" t="str">
        <f>B204</f>
        <v>HEAVY FUEL OIL</v>
      </c>
      <c r="C609" s="330"/>
      <c r="D609" s="330"/>
      <c r="E609" s="330"/>
      <c r="F609" s="330"/>
      <c r="G609" s="330"/>
      <c r="H609" s="330"/>
      <c r="I609" s="330"/>
      <c r="J609" s="330"/>
      <c r="K609" s="330"/>
      <c r="L609" s="330"/>
      <c r="M609" s="330"/>
      <c r="N609" s="330"/>
      <c r="O609" s="330"/>
      <c r="P609" s="330"/>
      <c r="Q609" s="330"/>
      <c r="R609" s="330"/>
      <c r="S609" s="330"/>
      <c r="T609" s="330"/>
      <c r="U609" s="330"/>
      <c r="V609" s="330"/>
      <c r="W609" s="330"/>
      <c r="X609" s="330"/>
      <c r="Y609" s="330"/>
      <c r="Z609" s="330"/>
      <c r="AA609" s="330"/>
      <c r="AB609" s="330"/>
      <c r="AC609" s="330"/>
      <c r="AD609" s="330"/>
      <c r="AE609" s="330"/>
      <c r="AF609" s="330"/>
      <c r="AG609" s="330"/>
      <c r="AH609" s="330"/>
      <c r="AI609" s="330"/>
      <c r="AJ609" s="330"/>
      <c r="AK609" s="330"/>
      <c r="AL609" s="330"/>
      <c r="AM609" s="330"/>
      <c r="AN609" s="330"/>
      <c r="AO609" s="330"/>
      <c r="AP609" s="330"/>
      <c r="AQ609" s="330"/>
      <c r="AR609" s="330"/>
      <c r="AS609" s="330"/>
      <c r="AT609" s="330"/>
      <c r="AU609" s="330"/>
      <c r="AV609" s="330"/>
      <c r="AW609" s="330"/>
      <c r="AX609" s="330"/>
      <c r="AY609" s="330"/>
      <c r="AZ609" s="330"/>
      <c r="BA609" s="330"/>
      <c r="BB609" s="330"/>
      <c r="BC609" s="330"/>
      <c r="BD609" s="330"/>
      <c r="BE609" s="331"/>
    </row>
    <row r="610" spans="2:57" x14ac:dyDescent="0.25">
      <c r="B610" s="332"/>
      <c r="C610" s="333"/>
      <c r="D610" s="333"/>
      <c r="E610" s="333"/>
      <c r="F610" s="333"/>
      <c r="G610" s="333"/>
      <c r="H610" s="333"/>
      <c r="I610" s="333"/>
      <c r="J610" s="333"/>
      <c r="K610" s="333"/>
      <c r="L610" s="333"/>
      <c r="M610" s="333"/>
      <c r="N610" s="333"/>
      <c r="O610" s="333"/>
      <c r="P610" s="333"/>
      <c r="Q610" s="333"/>
      <c r="R610" s="333"/>
      <c r="S610" s="333"/>
      <c r="T610" s="333"/>
      <c r="U610" s="333"/>
      <c r="V610" s="333"/>
      <c r="W610" s="333"/>
      <c r="X610" s="333"/>
      <c r="Y610" s="333"/>
      <c r="Z610" s="333"/>
      <c r="AA610" s="333"/>
      <c r="AB610" s="333"/>
      <c r="AC610" s="333"/>
      <c r="AD610" s="333"/>
      <c r="AE610" s="333"/>
      <c r="AF610" s="333"/>
      <c r="AG610" s="333"/>
      <c r="AH610" s="333"/>
      <c r="AI610" s="333"/>
      <c r="AJ610" s="333"/>
      <c r="AK610" s="333"/>
      <c r="AL610" s="333"/>
      <c r="AM610" s="333"/>
      <c r="AN610" s="333"/>
      <c r="AO610" s="333"/>
      <c r="AP610" s="333"/>
      <c r="AQ610" s="333"/>
      <c r="AR610" s="333"/>
      <c r="AS610" s="333"/>
      <c r="AT610" s="333"/>
      <c r="AU610" s="333"/>
      <c r="AV610" s="333"/>
      <c r="AW610" s="333"/>
      <c r="AX610" s="333"/>
      <c r="AY610" s="333"/>
      <c r="AZ610" s="333"/>
      <c r="BA610" s="333"/>
      <c r="BB610" s="333"/>
      <c r="BC610" s="333"/>
      <c r="BD610" s="333"/>
      <c r="BE610" s="334"/>
    </row>
    <row r="611" spans="2:57" x14ac:dyDescent="0.25">
      <c r="B611" s="344" t="s">
        <v>258</v>
      </c>
      <c r="C611" s="333"/>
      <c r="D611" s="333"/>
      <c r="E611" s="333"/>
      <c r="F611" s="333"/>
      <c r="G611" s="333"/>
      <c r="H611" s="333"/>
      <c r="I611" s="333"/>
      <c r="J611" s="333"/>
      <c r="K611" s="333"/>
      <c r="L611" s="333"/>
      <c r="M611" s="333"/>
      <c r="N611" s="333"/>
      <c r="O611" s="333"/>
      <c r="P611" s="333"/>
      <c r="Q611" s="333"/>
      <c r="R611" s="333"/>
      <c r="S611" s="333"/>
      <c r="T611" s="333"/>
      <c r="U611" s="333"/>
      <c r="V611" s="333"/>
      <c r="W611" s="333"/>
      <c r="X611" s="333"/>
      <c r="Y611" s="333"/>
      <c r="Z611" s="333"/>
      <c r="AA611" s="333"/>
      <c r="AB611" s="333"/>
      <c r="AC611" s="333"/>
      <c r="AD611" s="333"/>
      <c r="AE611" s="333"/>
      <c r="AF611" s="333"/>
      <c r="AG611" s="333"/>
      <c r="AH611" s="333"/>
      <c r="AI611" s="333"/>
      <c r="AJ611" s="333"/>
      <c r="AK611" s="333"/>
      <c r="AL611" s="333"/>
      <c r="AM611" s="333"/>
      <c r="AN611" s="333"/>
      <c r="AO611" s="333"/>
      <c r="AP611" s="333"/>
      <c r="AQ611" s="333"/>
      <c r="AR611" s="333"/>
      <c r="AS611" s="333"/>
      <c r="AT611" s="333"/>
      <c r="AU611" s="333"/>
      <c r="AV611" s="333"/>
      <c r="AW611" s="333"/>
      <c r="AX611" s="333"/>
      <c r="AY611" s="333"/>
      <c r="AZ611" s="333"/>
      <c r="BA611" s="333"/>
      <c r="BB611" s="333"/>
      <c r="BC611" s="333"/>
      <c r="BD611" s="333"/>
      <c r="BE611" s="334"/>
    </row>
    <row r="612" spans="2:57" x14ac:dyDescent="0.25">
      <c r="B612" s="332"/>
      <c r="C612" s="408" t="s">
        <v>68</v>
      </c>
      <c r="D612" s="336" t="s">
        <v>631</v>
      </c>
      <c r="E612" s="333"/>
      <c r="F612" s="333"/>
      <c r="G612" s="1279">
        <f>IF('II. Inputs, Baseline Energy Mix'!$R$15&gt;0,('II. Inputs, Baseline Energy Mix'!$R$16*'II. Inputs, Baseline Energy Mix'!$R$17*'II. Inputs, Baseline Energy Mix'!$R$30*'II. Inputs, Baseline Energy Mix'!$R$32),0)</f>
        <v>0</v>
      </c>
      <c r="H612" s="333"/>
      <c r="I612" s="333"/>
      <c r="J612" s="333"/>
      <c r="K612" s="333"/>
      <c r="L612" s="333"/>
      <c r="M612" s="333"/>
      <c r="N612" s="333"/>
      <c r="O612" s="333"/>
      <c r="P612" s="333"/>
      <c r="Q612" s="333"/>
      <c r="R612" s="333"/>
      <c r="S612" s="333"/>
      <c r="T612" s="333"/>
      <c r="U612" s="333"/>
      <c r="V612" s="333"/>
      <c r="W612" s="333"/>
      <c r="X612" s="333"/>
      <c r="Y612" s="333"/>
      <c r="Z612" s="333"/>
      <c r="AA612" s="333"/>
      <c r="AB612" s="333"/>
      <c r="AC612" s="333"/>
      <c r="AD612" s="333"/>
      <c r="AE612" s="333"/>
      <c r="AF612" s="333"/>
      <c r="AG612" s="333"/>
      <c r="AH612" s="333"/>
      <c r="AI612" s="333"/>
      <c r="AJ612" s="333"/>
      <c r="AK612" s="333"/>
      <c r="AL612" s="333"/>
      <c r="AM612" s="333"/>
      <c r="AN612" s="333"/>
      <c r="AO612" s="333"/>
      <c r="AP612" s="333"/>
      <c r="AQ612" s="333"/>
      <c r="AR612" s="333"/>
      <c r="AS612" s="333"/>
      <c r="AT612" s="333"/>
      <c r="AU612" s="333"/>
      <c r="AV612" s="333"/>
      <c r="AW612" s="333"/>
      <c r="AX612" s="333"/>
      <c r="AY612" s="333"/>
      <c r="AZ612" s="333"/>
      <c r="BA612" s="333"/>
      <c r="BB612" s="333"/>
      <c r="BC612" s="333"/>
      <c r="BD612" s="333"/>
      <c r="BE612" s="334"/>
    </row>
    <row r="613" spans="2:57" x14ac:dyDescent="0.25">
      <c r="B613" s="332"/>
      <c r="C613" s="408" t="s">
        <v>69</v>
      </c>
      <c r="D613" s="336" t="s">
        <v>20</v>
      </c>
      <c r="E613" s="333"/>
      <c r="F613" s="333"/>
      <c r="G613" s="335">
        <f>SUM('II. Inputs, Baseline Energy Mix'!$R$69)</f>
        <v>0</v>
      </c>
      <c r="H613" s="333"/>
      <c r="I613" s="333"/>
      <c r="J613" s="333"/>
      <c r="K613" s="333"/>
      <c r="L613" s="333"/>
      <c r="M613" s="333"/>
      <c r="N613" s="333"/>
      <c r="O613" s="333"/>
      <c r="P613" s="333"/>
      <c r="Q613" s="333"/>
      <c r="R613" s="333"/>
      <c r="S613" s="333"/>
      <c r="T613" s="333"/>
      <c r="U613" s="333"/>
      <c r="V613" s="333"/>
      <c r="W613" s="333"/>
      <c r="X613" s="333"/>
      <c r="Y613" s="333"/>
      <c r="Z613" s="333"/>
      <c r="AA613" s="333"/>
      <c r="AB613" s="333"/>
      <c r="AC613" s="333"/>
      <c r="AD613" s="333"/>
      <c r="AE613" s="333"/>
      <c r="AF613" s="333"/>
      <c r="AG613" s="333"/>
      <c r="AH613" s="333"/>
      <c r="AI613" s="333"/>
      <c r="AJ613" s="333"/>
      <c r="AK613" s="333"/>
      <c r="AL613" s="333"/>
      <c r="AM613" s="333"/>
      <c r="AN613" s="333"/>
      <c r="AO613" s="333"/>
      <c r="AP613" s="333"/>
      <c r="AQ613" s="333"/>
      <c r="AR613" s="333"/>
      <c r="AS613" s="333"/>
      <c r="AT613" s="333"/>
      <c r="AU613" s="333"/>
      <c r="AV613" s="333"/>
      <c r="AW613" s="333"/>
      <c r="AX613" s="333"/>
      <c r="AY613" s="333"/>
      <c r="AZ613" s="333"/>
      <c r="BA613" s="333"/>
      <c r="BB613" s="333"/>
      <c r="BC613" s="333"/>
      <c r="BD613" s="333"/>
      <c r="BE613" s="334"/>
    </row>
    <row r="614" spans="2:57" x14ac:dyDescent="0.25">
      <c r="B614" s="332"/>
      <c r="C614" s="408" t="s">
        <v>70</v>
      </c>
      <c r="D614" s="336" t="s">
        <v>16</v>
      </c>
      <c r="E614" s="333"/>
      <c r="F614" s="333"/>
      <c r="G614" s="409">
        <f>SUM('II. Inputs, Baseline Energy Mix'!$R$68)</f>
        <v>0</v>
      </c>
      <c r="H614" s="333"/>
      <c r="I614" s="333"/>
      <c r="J614" s="333"/>
      <c r="K614" s="333"/>
      <c r="L614" s="333"/>
      <c r="M614" s="333"/>
      <c r="N614" s="333"/>
      <c r="O614" s="333"/>
      <c r="P614" s="333"/>
      <c r="Q614" s="333"/>
      <c r="R614" s="333"/>
      <c r="S614" s="333"/>
      <c r="T614" s="333"/>
      <c r="U614" s="333"/>
      <c r="V614" s="333"/>
      <c r="W614" s="333"/>
      <c r="X614" s="333"/>
      <c r="Y614" s="333"/>
      <c r="Z614" s="333"/>
      <c r="AA614" s="333"/>
      <c r="AB614" s="333"/>
      <c r="AC614" s="333"/>
      <c r="AD614" s="333"/>
      <c r="AE614" s="333"/>
      <c r="AF614" s="333"/>
      <c r="AG614" s="333"/>
      <c r="AH614" s="333"/>
      <c r="AI614" s="333"/>
      <c r="AJ614" s="333"/>
      <c r="AK614" s="333"/>
      <c r="AL614" s="333"/>
      <c r="AM614" s="333"/>
      <c r="AN614" s="333"/>
      <c r="AO614" s="333"/>
      <c r="AP614" s="333"/>
      <c r="AQ614" s="333"/>
      <c r="AR614" s="333"/>
      <c r="AS614" s="333"/>
      <c r="AT614" s="333"/>
      <c r="AU614" s="333"/>
      <c r="AV614" s="333"/>
      <c r="AW614" s="333"/>
      <c r="AX614" s="333"/>
      <c r="AY614" s="333"/>
      <c r="AZ614" s="333"/>
      <c r="BA614" s="333"/>
      <c r="BB614" s="333"/>
      <c r="BC614" s="333"/>
      <c r="BD614" s="333"/>
      <c r="BE614" s="334"/>
    </row>
    <row r="615" spans="2:57" x14ac:dyDescent="0.25">
      <c r="B615" s="332"/>
      <c r="C615" s="333"/>
      <c r="D615" s="333"/>
      <c r="E615" s="333"/>
      <c r="F615" s="333"/>
      <c r="G615" s="333"/>
      <c r="H615" s="333"/>
      <c r="I615" s="333"/>
      <c r="J615" s="333"/>
      <c r="K615" s="333"/>
      <c r="L615" s="333"/>
      <c r="M615" s="333"/>
      <c r="N615" s="333"/>
      <c r="O615" s="333"/>
      <c r="P615" s="333"/>
      <c r="Q615" s="333"/>
      <c r="R615" s="333"/>
      <c r="S615" s="333"/>
      <c r="T615" s="333"/>
      <c r="U615" s="333"/>
      <c r="V615" s="333"/>
      <c r="W615" s="333"/>
      <c r="X615" s="333"/>
      <c r="Y615" s="333"/>
      <c r="Z615" s="333"/>
      <c r="AA615" s="333"/>
      <c r="AB615" s="333"/>
      <c r="AC615" s="333"/>
      <c r="AD615" s="333"/>
      <c r="AE615" s="333"/>
      <c r="AF615" s="333"/>
      <c r="AG615" s="333"/>
      <c r="AH615" s="333"/>
      <c r="AI615" s="333"/>
      <c r="AJ615" s="333"/>
      <c r="AK615" s="333"/>
      <c r="AL615" s="333"/>
      <c r="AM615" s="333"/>
      <c r="AN615" s="333"/>
      <c r="AO615" s="333"/>
      <c r="AP615" s="333"/>
      <c r="AQ615" s="333"/>
      <c r="AR615" s="333"/>
      <c r="AS615" s="333"/>
      <c r="AT615" s="333"/>
      <c r="AU615" s="333"/>
      <c r="AV615" s="333"/>
      <c r="AW615" s="333"/>
      <c r="AX615" s="333"/>
      <c r="AY615" s="333"/>
      <c r="AZ615" s="333"/>
      <c r="BA615" s="333"/>
      <c r="BB615" s="333"/>
      <c r="BC615" s="333"/>
      <c r="BD615" s="333"/>
      <c r="BE615" s="334"/>
    </row>
    <row r="616" spans="2:57" x14ac:dyDescent="0.25">
      <c r="B616" s="332"/>
      <c r="C616" s="410" t="s">
        <v>67</v>
      </c>
      <c r="D616" s="333"/>
      <c r="E616" s="333"/>
      <c r="F616" s="333"/>
      <c r="G616" s="333"/>
      <c r="H616" s="333"/>
      <c r="I616" s="333"/>
      <c r="J616" s="333"/>
      <c r="K616" s="333"/>
      <c r="L616" s="333"/>
      <c r="M616" s="333"/>
      <c r="N616" s="333"/>
      <c r="O616" s="333"/>
      <c r="P616" s="333"/>
      <c r="Q616" s="333"/>
      <c r="R616" s="333"/>
      <c r="S616" s="333"/>
      <c r="T616" s="333"/>
      <c r="U616" s="333"/>
      <c r="V616" s="333"/>
      <c r="W616" s="333"/>
      <c r="X616" s="333"/>
      <c r="Y616" s="333"/>
      <c r="Z616" s="333"/>
      <c r="AA616" s="333"/>
      <c r="AB616" s="333"/>
      <c r="AC616" s="333"/>
      <c r="AD616" s="333"/>
      <c r="AE616" s="333"/>
      <c r="AF616" s="333"/>
      <c r="AG616" s="333"/>
      <c r="AH616" s="333"/>
      <c r="AI616" s="333"/>
      <c r="AJ616" s="333"/>
      <c r="AK616" s="333"/>
      <c r="AL616" s="333"/>
      <c r="AM616" s="333"/>
      <c r="AN616" s="333"/>
      <c r="AO616" s="333"/>
      <c r="AP616" s="333"/>
      <c r="AQ616" s="333"/>
      <c r="AR616" s="333"/>
      <c r="AS616" s="333"/>
      <c r="AT616" s="333"/>
      <c r="AU616" s="333"/>
      <c r="AV616" s="333"/>
      <c r="AW616" s="333"/>
      <c r="AX616" s="333"/>
      <c r="AY616" s="333"/>
      <c r="AZ616" s="333"/>
      <c r="BA616" s="333"/>
      <c r="BB616" s="333"/>
      <c r="BC616" s="333"/>
      <c r="BD616" s="333"/>
      <c r="BE616" s="334"/>
    </row>
    <row r="617" spans="2:57" x14ac:dyDescent="0.25">
      <c r="B617" s="332"/>
      <c r="C617" s="333" t="s">
        <v>73</v>
      </c>
      <c r="D617" s="333"/>
      <c r="E617" s="333"/>
      <c r="F617" s="333"/>
      <c r="G617" s="1279"/>
      <c r="H617" s="1279">
        <f>IF(H$299&gt;$G613,0,IPMT($G614,H$299,$G613,-$G612))</f>
        <v>0</v>
      </c>
      <c r="I617" s="1279">
        <f>IF(I$299&gt;$G613,0,IPMT($G614,I$299,$G613,-$G612))</f>
        <v>0</v>
      </c>
      <c r="J617" s="1279">
        <f>IF(J$299&gt;$G613,0,IPMT($G614,J$299,$G613,-$G612))</f>
        <v>0</v>
      </c>
      <c r="K617" s="1279">
        <f>IF(K$299&gt;$G613,0,IPMT($G614,K$299,$G613,-$G612))</f>
        <v>0</v>
      </c>
      <c r="L617" s="1279">
        <f t="shared" ref="L617:BE617" si="203">IF(L$299&gt;$G613,0,IPMT($G614,L$299,$G613,-$G612))</f>
        <v>0</v>
      </c>
      <c r="M617" s="1279">
        <f t="shared" si="203"/>
        <v>0</v>
      </c>
      <c r="N617" s="1279">
        <f t="shared" si="203"/>
        <v>0</v>
      </c>
      <c r="O617" s="1279">
        <f t="shared" si="203"/>
        <v>0</v>
      </c>
      <c r="P617" s="1279">
        <f t="shared" si="203"/>
        <v>0</v>
      </c>
      <c r="Q617" s="1279">
        <f t="shared" si="203"/>
        <v>0</v>
      </c>
      <c r="R617" s="1279">
        <f t="shared" si="203"/>
        <v>0</v>
      </c>
      <c r="S617" s="1279">
        <f t="shared" si="203"/>
        <v>0</v>
      </c>
      <c r="T617" s="1279">
        <f t="shared" si="203"/>
        <v>0</v>
      </c>
      <c r="U617" s="1279">
        <f t="shared" si="203"/>
        <v>0</v>
      </c>
      <c r="V617" s="1279">
        <f t="shared" si="203"/>
        <v>0</v>
      </c>
      <c r="W617" s="1279">
        <f t="shared" si="203"/>
        <v>0</v>
      </c>
      <c r="X617" s="1279">
        <f t="shared" si="203"/>
        <v>0</v>
      </c>
      <c r="Y617" s="1279">
        <f t="shared" si="203"/>
        <v>0</v>
      </c>
      <c r="Z617" s="1279">
        <f t="shared" si="203"/>
        <v>0</v>
      </c>
      <c r="AA617" s="1279">
        <f t="shared" si="203"/>
        <v>0</v>
      </c>
      <c r="AB617" s="1279">
        <f t="shared" si="203"/>
        <v>0</v>
      </c>
      <c r="AC617" s="1279">
        <f t="shared" si="203"/>
        <v>0</v>
      </c>
      <c r="AD617" s="1279">
        <f t="shared" si="203"/>
        <v>0</v>
      </c>
      <c r="AE617" s="1279">
        <f t="shared" si="203"/>
        <v>0</v>
      </c>
      <c r="AF617" s="1279">
        <f t="shared" si="203"/>
        <v>0</v>
      </c>
      <c r="AG617" s="1279">
        <f t="shared" si="203"/>
        <v>0</v>
      </c>
      <c r="AH617" s="1279">
        <f t="shared" si="203"/>
        <v>0</v>
      </c>
      <c r="AI617" s="1279">
        <f t="shared" si="203"/>
        <v>0</v>
      </c>
      <c r="AJ617" s="1279">
        <f t="shared" si="203"/>
        <v>0</v>
      </c>
      <c r="AK617" s="1279">
        <f t="shared" si="203"/>
        <v>0</v>
      </c>
      <c r="AL617" s="1279">
        <f t="shared" si="203"/>
        <v>0</v>
      </c>
      <c r="AM617" s="1279">
        <f t="shared" si="203"/>
        <v>0</v>
      </c>
      <c r="AN617" s="1279">
        <f t="shared" si="203"/>
        <v>0</v>
      </c>
      <c r="AO617" s="1279">
        <f t="shared" si="203"/>
        <v>0</v>
      </c>
      <c r="AP617" s="1279">
        <f t="shared" si="203"/>
        <v>0</v>
      </c>
      <c r="AQ617" s="1279">
        <f t="shared" si="203"/>
        <v>0</v>
      </c>
      <c r="AR617" s="1279">
        <f t="shared" si="203"/>
        <v>0</v>
      </c>
      <c r="AS617" s="1279">
        <f t="shared" si="203"/>
        <v>0</v>
      </c>
      <c r="AT617" s="1279">
        <f t="shared" si="203"/>
        <v>0</v>
      </c>
      <c r="AU617" s="1279">
        <f t="shared" si="203"/>
        <v>0</v>
      </c>
      <c r="AV617" s="1279">
        <f t="shared" si="203"/>
        <v>0</v>
      </c>
      <c r="AW617" s="1279">
        <f t="shared" si="203"/>
        <v>0</v>
      </c>
      <c r="AX617" s="1279">
        <f t="shared" si="203"/>
        <v>0</v>
      </c>
      <c r="AY617" s="1279">
        <f t="shared" si="203"/>
        <v>0</v>
      </c>
      <c r="AZ617" s="1279">
        <f t="shared" si="203"/>
        <v>0</v>
      </c>
      <c r="BA617" s="1279">
        <f t="shared" si="203"/>
        <v>0</v>
      </c>
      <c r="BB617" s="1279">
        <f t="shared" si="203"/>
        <v>0</v>
      </c>
      <c r="BC617" s="1279">
        <f t="shared" si="203"/>
        <v>0</v>
      </c>
      <c r="BD617" s="1279">
        <f t="shared" si="203"/>
        <v>0</v>
      </c>
      <c r="BE617" s="1280">
        <f t="shared" si="203"/>
        <v>0</v>
      </c>
    </row>
    <row r="618" spans="2:57" x14ac:dyDescent="0.25">
      <c r="B618" s="332"/>
      <c r="C618" s="340" t="s">
        <v>72</v>
      </c>
      <c r="D618" s="340"/>
      <c r="E618" s="340"/>
      <c r="F618" s="340"/>
      <c r="G618" s="1281"/>
      <c r="H618" s="1281">
        <f>IF(H$299&gt;$G613,0,PPMT($G614,H$299,$G613,-$G612))</f>
        <v>0</v>
      </c>
      <c r="I618" s="1281">
        <f>IF(I$299&gt;$G613,0,PPMT($G614,I$299,$G613,-$G612))</f>
        <v>0</v>
      </c>
      <c r="J618" s="1281">
        <f>IF(J$299&gt;$G613,0,PPMT($G614,J$299,$G613,-$G612))</f>
        <v>0</v>
      </c>
      <c r="K618" s="1281">
        <f>IF(K$299&gt;$G613,0,PPMT($G614,K$299,$G613,-$G612))</f>
        <v>0</v>
      </c>
      <c r="L618" s="1281">
        <f t="shared" ref="L618:BE618" si="204">IF(L$299&gt;$G613,0,PPMT($G614,L$299,$G613,-$G612))</f>
        <v>0</v>
      </c>
      <c r="M618" s="1281">
        <f t="shared" si="204"/>
        <v>0</v>
      </c>
      <c r="N618" s="1281">
        <f t="shared" si="204"/>
        <v>0</v>
      </c>
      <c r="O618" s="1281">
        <f t="shared" si="204"/>
        <v>0</v>
      </c>
      <c r="P618" s="1281">
        <f t="shared" si="204"/>
        <v>0</v>
      </c>
      <c r="Q618" s="1281">
        <f t="shared" si="204"/>
        <v>0</v>
      </c>
      <c r="R618" s="1281">
        <f t="shared" si="204"/>
        <v>0</v>
      </c>
      <c r="S618" s="1281">
        <f t="shared" si="204"/>
        <v>0</v>
      </c>
      <c r="T618" s="1281">
        <f t="shared" si="204"/>
        <v>0</v>
      </c>
      <c r="U618" s="1281">
        <f t="shared" si="204"/>
        <v>0</v>
      </c>
      <c r="V618" s="1281">
        <f t="shared" si="204"/>
        <v>0</v>
      </c>
      <c r="W618" s="1281">
        <f t="shared" si="204"/>
        <v>0</v>
      </c>
      <c r="X618" s="1281">
        <f t="shared" si="204"/>
        <v>0</v>
      </c>
      <c r="Y618" s="1281">
        <f t="shared" si="204"/>
        <v>0</v>
      </c>
      <c r="Z618" s="1281">
        <f t="shared" si="204"/>
        <v>0</v>
      </c>
      <c r="AA618" s="1281">
        <f t="shared" si="204"/>
        <v>0</v>
      </c>
      <c r="AB618" s="1281">
        <f t="shared" si="204"/>
        <v>0</v>
      </c>
      <c r="AC618" s="1281">
        <f t="shared" si="204"/>
        <v>0</v>
      </c>
      <c r="AD618" s="1281">
        <f t="shared" si="204"/>
        <v>0</v>
      </c>
      <c r="AE618" s="1281">
        <f t="shared" si="204"/>
        <v>0</v>
      </c>
      <c r="AF618" s="1281">
        <f t="shared" si="204"/>
        <v>0</v>
      </c>
      <c r="AG618" s="1281">
        <f t="shared" si="204"/>
        <v>0</v>
      </c>
      <c r="AH618" s="1281">
        <f t="shared" si="204"/>
        <v>0</v>
      </c>
      <c r="AI618" s="1281">
        <f t="shared" si="204"/>
        <v>0</v>
      </c>
      <c r="AJ618" s="1281">
        <f t="shared" si="204"/>
        <v>0</v>
      </c>
      <c r="AK618" s="1281">
        <f t="shared" si="204"/>
        <v>0</v>
      </c>
      <c r="AL618" s="1281">
        <f t="shared" si="204"/>
        <v>0</v>
      </c>
      <c r="AM618" s="1281">
        <f t="shared" si="204"/>
        <v>0</v>
      </c>
      <c r="AN618" s="1281">
        <f t="shared" si="204"/>
        <v>0</v>
      </c>
      <c r="AO618" s="1281">
        <f t="shared" si="204"/>
        <v>0</v>
      </c>
      <c r="AP618" s="1281">
        <f t="shared" si="204"/>
        <v>0</v>
      </c>
      <c r="AQ618" s="1281">
        <f t="shared" si="204"/>
        <v>0</v>
      </c>
      <c r="AR618" s="1281">
        <f t="shared" si="204"/>
        <v>0</v>
      </c>
      <c r="AS618" s="1281">
        <f t="shared" si="204"/>
        <v>0</v>
      </c>
      <c r="AT618" s="1281">
        <f t="shared" si="204"/>
        <v>0</v>
      </c>
      <c r="AU618" s="1281">
        <f t="shared" si="204"/>
        <v>0</v>
      </c>
      <c r="AV618" s="1281">
        <f t="shared" si="204"/>
        <v>0</v>
      </c>
      <c r="AW618" s="1281">
        <f t="shared" si="204"/>
        <v>0</v>
      </c>
      <c r="AX618" s="1281">
        <f t="shared" si="204"/>
        <v>0</v>
      </c>
      <c r="AY618" s="1281">
        <f t="shared" si="204"/>
        <v>0</v>
      </c>
      <c r="AZ618" s="1281">
        <f t="shared" si="204"/>
        <v>0</v>
      </c>
      <c r="BA618" s="1281">
        <f t="shared" si="204"/>
        <v>0</v>
      </c>
      <c r="BB618" s="1281">
        <f t="shared" si="204"/>
        <v>0</v>
      </c>
      <c r="BC618" s="1281">
        <f t="shared" si="204"/>
        <v>0</v>
      </c>
      <c r="BD618" s="1281">
        <f t="shared" si="204"/>
        <v>0</v>
      </c>
      <c r="BE618" s="1282">
        <f t="shared" si="204"/>
        <v>0</v>
      </c>
    </row>
    <row r="619" spans="2:57" x14ac:dyDescent="0.25">
      <c r="B619" s="332"/>
      <c r="C619" s="333" t="s">
        <v>74</v>
      </c>
      <c r="D619" s="333"/>
      <c r="E619" s="333"/>
      <c r="F619" s="333"/>
      <c r="G619" s="1279"/>
      <c r="H619" s="1279">
        <f>SUM(H617:H618)</f>
        <v>0</v>
      </c>
      <c r="I619" s="1279">
        <f t="shared" ref="I619:BE619" si="205">SUM(I617:I618)</f>
        <v>0</v>
      </c>
      <c r="J619" s="1279">
        <f t="shared" si="205"/>
        <v>0</v>
      </c>
      <c r="K619" s="1279">
        <f t="shared" si="205"/>
        <v>0</v>
      </c>
      <c r="L619" s="1279">
        <f t="shared" si="205"/>
        <v>0</v>
      </c>
      <c r="M619" s="1279">
        <f t="shared" si="205"/>
        <v>0</v>
      </c>
      <c r="N619" s="1279">
        <f t="shared" si="205"/>
        <v>0</v>
      </c>
      <c r="O619" s="1279">
        <f t="shared" si="205"/>
        <v>0</v>
      </c>
      <c r="P619" s="1279">
        <f t="shared" si="205"/>
        <v>0</v>
      </c>
      <c r="Q619" s="1279">
        <f t="shared" si="205"/>
        <v>0</v>
      </c>
      <c r="R619" s="1279">
        <f t="shared" si="205"/>
        <v>0</v>
      </c>
      <c r="S619" s="1279">
        <f t="shared" si="205"/>
        <v>0</v>
      </c>
      <c r="T619" s="1279">
        <f t="shared" si="205"/>
        <v>0</v>
      </c>
      <c r="U619" s="1279">
        <f t="shared" si="205"/>
        <v>0</v>
      </c>
      <c r="V619" s="1279">
        <f t="shared" si="205"/>
        <v>0</v>
      </c>
      <c r="W619" s="1279">
        <f t="shared" si="205"/>
        <v>0</v>
      </c>
      <c r="X619" s="1279">
        <f t="shared" si="205"/>
        <v>0</v>
      </c>
      <c r="Y619" s="1279">
        <f t="shared" si="205"/>
        <v>0</v>
      </c>
      <c r="Z619" s="1279">
        <f t="shared" si="205"/>
        <v>0</v>
      </c>
      <c r="AA619" s="1279">
        <f t="shared" si="205"/>
        <v>0</v>
      </c>
      <c r="AB619" s="1279">
        <f t="shared" si="205"/>
        <v>0</v>
      </c>
      <c r="AC619" s="1279">
        <f t="shared" si="205"/>
        <v>0</v>
      </c>
      <c r="AD619" s="1279">
        <f t="shared" si="205"/>
        <v>0</v>
      </c>
      <c r="AE619" s="1279">
        <f t="shared" si="205"/>
        <v>0</v>
      </c>
      <c r="AF619" s="1279">
        <f t="shared" si="205"/>
        <v>0</v>
      </c>
      <c r="AG619" s="1279">
        <f t="shared" si="205"/>
        <v>0</v>
      </c>
      <c r="AH619" s="1279">
        <f t="shared" si="205"/>
        <v>0</v>
      </c>
      <c r="AI619" s="1279">
        <f t="shared" si="205"/>
        <v>0</v>
      </c>
      <c r="AJ619" s="1279">
        <f t="shared" si="205"/>
        <v>0</v>
      </c>
      <c r="AK619" s="1279">
        <f t="shared" si="205"/>
        <v>0</v>
      </c>
      <c r="AL619" s="1279">
        <f t="shared" si="205"/>
        <v>0</v>
      </c>
      <c r="AM619" s="1279">
        <f t="shared" si="205"/>
        <v>0</v>
      </c>
      <c r="AN619" s="1279">
        <f t="shared" si="205"/>
        <v>0</v>
      </c>
      <c r="AO619" s="1279">
        <f t="shared" si="205"/>
        <v>0</v>
      </c>
      <c r="AP619" s="1279">
        <f t="shared" si="205"/>
        <v>0</v>
      </c>
      <c r="AQ619" s="1279">
        <f t="shared" si="205"/>
        <v>0</v>
      </c>
      <c r="AR619" s="1279">
        <f t="shared" si="205"/>
        <v>0</v>
      </c>
      <c r="AS619" s="1279">
        <f t="shared" si="205"/>
        <v>0</v>
      </c>
      <c r="AT619" s="1279">
        <f t="shared" si="205"/>
        <v>0</v>
      </c>
      <c r="AU619" s="1279">
        <f t="shared" si="205"/>
        <v>0</v>
      </c>
      <c r="AV619" s="1279">
        <f t="shared" si="205"/>
        <v>0</v>
      </c>
      <c r="AW619" s="1279">
        <f t="shared" si="205"/>
        <v>0</v>
      </c>
      <c r="AX619" s="1279">
        <f t="shared" si="205"/>
        <v>0</v>
      </c>
      <c r="AY619" s="1279">
        <f t="shared" si="205"/>
        <v>0</v>
      </c>
      <c r="AZ619" s="1279">
        <f t="shared" si="205"/>
        <v>0</v>
      </c>
      <c r="BA619" s="1279">
        <f t="shared" si="205"/>
        <v>0</v>
      </c>
      <c r="BB619" s="1279">
        <f t="shared" si="205"/>
        <v>0</v>
      </c>
      <c r="BC619" s="1279">
        <f t="shared" si="205"/>
        <v>0</v>
      </c>
      <c r="BD619" s="1279">
        <f t="shared" si="205"/>
        <v>0</v>
      </c>
      <c r="BE619" s="1280">
        <f t="shared" si="205"/>
        <v>0</v>
      </c>
    </row>
    <row r="620" spans="2:57" x14ac:dyDescent="0.25">
      <c r="B620" s="332"/>
      <c r="C620" s="333"/>
      <c r="D620" s="333"/>
      <c r="E620" s="333"/>
      <c r="F620" s="333"/>
      <c r="G620" s="1279"/>
      <c r="H620" s="1279"/>
      <c r="I620" s="1279"/>
      <c r="J620" s="1279"/>
      <c r="K620" s="1279"/>
      <c r="L620" s="1279"/>
      <c r="M620" s="1279"/>
      <c r="N620" s="1279"/>
      <c r="O620" s="1279"/>
      <c r="P620" s="1279"/>
      <c r="Q620" s="1279"/>
      <c r="R620" s="1279"/>
      <c r="S620" s="1279"/>
      <c r="T620" s="1279"/>
      <c r="U620" s="1279"/>
      <c r="V620" s="1279"/>
      <c r="W620" s="1279"/>
      <c r="X620" s="1279"/>
      <c r="Y620" s="1279"/>
      <c r="Z620" s="1279"/>
      <c r="AA620" s="1279"/>
      <c r="AB620" s="1279"/>
      <c r="AC620" s="1279"/>
      <c r="AD620" s="1279"/>
      <c r="AE620" s="1279"/>
      <c r="AF620" s="1279"/>
      <c r="AG620" s="1279"/>
      <c r="AH620" s="1279"/>
      <c r="AI620" s="1279"/>
      <c r="AJ620" s="1279"/>
      <c r="AK620" s="1279"/>
      <c r="AL620" s="1279"/>
      <c r="AM620" s="1279"/>
      <c r="AN620" s="1279"/>
      <c r="AO620" s="1279"/>
      <c r="AP620" s="1279"/>
      <c r="AQ620" s="1279"/>
      <c r="AR620" s="1279"/>
      <c r="AS620" s="1279"/>
      <c r="AT620" s="1279"/>
      <c r="AU620" s="1279"/>
      <c r="AV620" s="1279"/>
      <c r="AW620" s="1279"/>
      <c r="AX620" s="1279"/>
      <c r="AY620" s="1279"/>
      <c r="AZ620" s="1279"/>
      <c r="BA620" s="1279"/>
      <c r="BB620" s="1279"/>
      <c r="BC620" s="1279"/>
      <c r="BD620" s="1279"/>
      <c r="BE620" s="1280"/>
    </row>
    <row r="621" spans="2:57" x14ac:dyDescent="0.25">
      <c r="B621" s="332"/>
      <c r="C621" s="411" t="s">
        <v>65</v>
      </c>
      <c r="D621" s="333"/>
      <c r="E621" s="333"/>
      <c r="F621" s="333"/>
      <c r="G621" s="1279"/>
      <c r="H621" s="1279"/>
      <c r="I621" s="1279"/>
      <c r="J621" s="1279"/>
      <c r="K621" s="1279"/>
      <c r="L621" s="1279"/>
      <c r="M621" s="1279"/>
      <c r="N621" s="1279"/>
      <c r="O621" s="1279"/>
      <c r="P621" s="1279"/>
      <c r="Q621" s="1279"/>
      <c r="R621" s="1279"/>
      <c r="S621" s="1279"/>
      <c r="T621" s="1279"/>
      <c r="U621" s="1279"/>
      <c r="V621" s="1279"/>
      <c r="W621" s="1279"/>
      <c r="X621" s="1279"/>
      <c r="Y621" s="1279"/>
      <c r="Z621" s="1279"/>
      <c r="AA621" s="1279"/>
      <c r="AB621" s="1279"/>
      <c r="AC621" s="1279"/>
      <c r="AD621" s="1279"/>
      <c r="AE621" s="1279"/>
      <c r="AF621" s="1279"/>
      <c r="AG621" s="1279"/>
      <c r="AH621" s="1279"/>
      <c r="AI621" s="1279"/>
      <c r="AJ621" s="1279"/>
      <c r="AK621" s="1279"/>
      <c r="AL621" s="1279"/>
      <c r="AM621" s="1279"/>
      <c r="AN621" s="1279"/>
      <c r="AO621" s="1279"/>
      <c r="AP621" s="1279"/>
      <c r="AQ621" s="1279"/>
      <c r="AR621" s="1279"/>
      <c r="AS621" s="1279"/>
      <c r="AT621" s="1279"/>
      <c r="AU621" s="1279"/>
      <c r="AV621" s="1279"/>
      <c r="AW621" s="1279"/>
      <c r="AX621" s="1279"/>
      <c r="AY621" s="1279"/>
      <c r="AZ621" s="1279"/>
      <c r="BA621" s="1279"/>
      <c r="BB621" s="1279"/>
      <c r="BC621" s="1279"/>
      <c r="BD621" s="1279"/>
      <c r="BE621" s="1280"/>
    </row>
    <row r="622" spans="2:57" x14ac:dyDescent="0.25">
      <c r="B622" s="332"/>
      <c r="C622" s="333" t="s">
        <v>75</v>
      </c>
      <c r="D622" s="333"/>
      <c r="E622" s="333"/>
      <c r="F622" s="333"/>
      <c r="G622" s="1279">
        <v>0</v>
      </c>
      <c r="H622" s="1279">
        <f t="shared" ref="H622:AM622" si="206">G625</f>
        <v>0</v>
      </c>
      <c r="I622" s="1279">
        <f t="shared" si="206"/>
        <v>0</v>
      </c>
      <c r="J622" s="1279">
        <f t="shared" si="206"/>
        <v>0</v>
      </c>
      <c r="K622" s="1279">
        <f t="shared" si="206"/>
        <v>0</v>
      </c>
      <c r="L622" s="1279">
        <f t="shared" si="206"/>
        <v>0</v>
      </c>
      <c r="M622" s="1279">
        <f t="shared" si="206"/>
        <v>0</v>
      </c>
      <c r="N622" s="1279">
        <f t="shared" si="206"/>
        <v>0</v>
      </c>
      <c r="O622" s="1279">
        <f t="shared" si="206"/>
        <v>0</v>
      </c>
      <c r="P622" s="1279">
        <f t="shared" si="206"/>
        <v>0</v>
      </c>
      <c r="Q622" s="1279">
        <f t="shared" si="206"/>
        <v>0</v>
      </c>
      <c r="R622" s="1279">
        <f t="shared" si="206"/>
        <v>0</v>
      </c>
      <c r="S622" s="1279">
        <f t="shared" si="206"/>
        <v>0</v>
      </c>
      <c r="T622" s="1279">
        <f t="shared" si="206"/>
        <v>0</v>
      </c>
      <c r="U622" s="1279">
        <f t="shared" si="206"/>
        <v>0</v>
      </c>
      <c r="V622" s="1279">
        <f t="shared" si="206"/>
        <v>0</v>
      </c>
      <c r="W622" s="1279">
        <f t="shared" si="206"/>
        <v>0</v>
      </c>
      <c r="X622" s="1279">
        <f t="shared" si="206"/>
        <v>0</v>
      </c>
      <c r="Y622" s="1279">
        <f t="shared" si="206"/>
        <v>0</v>
      </c>
      <c r="Z622" s="1279">
        <f t="shared" si="206"/>
        <v>0</v>
      </c>
      <c r="AA622" s="1279">
        <f t="shared" si="206"/>
        <v>0</v>
      </c>
      <c r="AB622" s="1279">
        <f t="shared" si="206"/>
        <v>0</v>
      </c>
      <c r="AC622" s="1279">
        <f t="shared" si="206"/>
        <v>0</v>
      </c>
      <c r="AD622" s="1279">
        <f t="shared" si="206"/>
        <v>0</v>
      </c>
      <c r="AE622" s="1279">
        <f t="shared" si="206"/>
        <v>0</v>
      </c>
      <c r="AF622" s="1279">
        <f t="shared" si="206"/>
        <v>0</v>
      </c>
      <c r="AG622" s="1279">
        <f t="shared" si="206"/>
        <v>0</v>
      </c>
      <c r="AH622" s="1279">
        <f t="shared" si="206"/>
        <v>0</v>
      </c>
      <c r="AI622" s="1279">
        <f t="shared" si="206"/>
        <v>0</v>
      </c>
      <c r="AJ622" s="1279">
        <f t="shared" si="206"/>
        <v>0</v>
      </c>
      <c r="AK622" s="1279">
        <f t="shared" si="206"/>
        <v>0</v>
      </c>
      <c r="AL622" s="1279">
        <f t="shared" si="206"/>
        <v>0</v>
      </c>
      <c r="AM622" s="1279">
        <f t="shared" si="206"/>
        <v>0</v>
      </c>
      <c r="AN622" s="1279">
        <f t="shared" ref="AN622:BE622" si="207">AM625</f>
        <v>0</v>
      </c>
      <c r="AO622" s="1279">
        <f t="shared" si="207"/>
        <v>0</v>
      </c>
      <c r="AP622" s="1279">
        <f t="shared" si="207"/>
        <v>0</v>
      </c>
      <c r="AQ622" s="1279">
        <f t="shared" si="207"/>
        <v>0</v>
      </c>
      <c r="AR622" s="1279">
        <f t="shared" si="207"/>
        <v>0</v>
      </c>
      <c r="AS622" s="1279">
        <f t="shared" si="207"/>
        <v>0</v>
      </c>
      <c r="AT622" s="1279">
        <f t="shared" si="207"/>
        <v>0</v>
      </c>
      <c r="AU622" s="1279">
        <f t="shared" si="207"/>
        <v>0</v>
      </c>
      <c r="AV622" s="1279">
        <f t="shared" si="207"/>
        <v>0</v>
      </c>
      <c r="AW622" s="1279">
        <f t="shared" si="207"/>
        <v>0</v>
      </c>
      <c r="AX622" s="1279">
        <f t="shared" si="207"/>
        <v>0</v>
      </c>
      <c r="AY622" s="1279">
        <f t="shared" si="207"/>
        <v>0</v>
      </c>
      <c r="AZ622" s="1279">
        <f t="shared" si="207"/>
        <v>0</v>
      </c>
      <c r="BA622" s="1279">
        <f t="shared" si="207"/>
        <v>0</v>
      </c>
      <c r="BB622" s="1279">
        <f t="shared" si="207"/>
        <v>0</v>
      </c>
      <c r="BC622" s="1279">
        <f t="shared" si="207"/>
        <v>0</v>
      </c>
      <c r="BD622" s="1279">
        <f t="shared" si="207"/>
        <v>0</v>
      </c>
      <c r="BE622" s="1280">
        <f t="shared" si="207"/>
        <v>0</v>
      </c>
    </row>
    <row r="623" spans="2:57" x14ac:dyDescent="0.25">
      <c r="B623" s="332"/>
      <c r="C623" s="333" t="s">
        <v>76</v>
      </c>
      <c r="D623" s="333"/>
      <c r="E623" s="333"/>
      <c r="F623" s="333"/>
      <c r="G623" s="1279">
        <f>G612</f>
        <v>0</v>
      </c>
      <c r="H623" s="1279">
        <v>0</v>
      </c>
      <c r="I623" s="1279">
        <v>0</v>
      </c>
      <c r="J623" s="1279">
        <v>0</v>
      </c>
      <c r="K623" s="1279">
        <v>0</v>
      </c>
      <c r="L623" s="1279">
        <v>0</v>
      </c>
      <c r="M623" s="1279">
        <v>0</v>
      </c>
      <c r="N623" s="1279">
        <v>0</v>
      </c>
      <c r="O623" s="1279">
        <v>0</v>
      </c>
      <c r="P623" s="1279">
        <v>0</v>
      </c>
      <c r="Q623" s="1279">
        <v>0</v>
      </c>
      <c r="R623" s="1279">
        <v>0</v>
      </c>
      <c r="S623" s="1279">
        <v>0</v>
      </c>
      <c r="T623" s="1279">
        <v>0</v>
      </c>
      <c r="U623" s="1279">
        <v>0</v>
      </c>
      <c r="V623" s="1279">
        <v>0</v>
      </c>
      <c r="W623" s="1279">
        <v>0</v>
      </c>
      <c r="X623" s="1279">
        <v>0</v>
      </c>
      <c r="Y623" s="1279">
        <v>0</v>
      </c>
      <c r="Z623" s="1279">
        <v>0</v>
      </c>
      <c r="AA623" s="1279">
        <v>0</v>
      </c>
      <c r="AB623" s="1279">
        <v>0</v>
      </c>
      <c r="AC623" s="1279">
        <v>0</v>
      </c>
      <c r="AD623" s="1279">
        <v>0</v>
      </c>
      <c r="AE623" s="1279">
        <v>0</v>
      </c>
      <c r="AF623" s="1279">
        <v>0</v>
      </c>
      <c r="AG623" s="1279">
        <v>0</v>
      </c>
      <c r="AH623" s="1279">
        <v>0</v>
      </c>
      <c r="AI623" s="1279">
        <v>0</v>
      </c>
      <c r="AJ623" s="1279">
        <v>0</v>
      </c>
      <c r="AK623" s="1279">
        <v>0</v>
      </c>
      <c r="AL623" s="1279">
        <v>0</v>
      </c>
      <c r="AM623" s="1279">
        <v>0</v>
      </c>
      <c r="AN623" s="1279">
        <v>0</v>
      </c>
      <c r="AO623" s="1279">
        <v>0</v>
      </c>
      <c r="AP623" s="1279">
        <v>0</v>
      </c>
      <c r="AQ623" s="1279">
        <v>0</v>
      </c>
      <c r="AR623" s="1279">
        <v>0</v>
      </c>
      <c r="AS623" s="1279">
        <v>0</v>
      </c>
      <c r="AT623" s="1279">
        <v>0</v>
      </c>
      <c r="AU623" s="1279">
        <v>0</v>
      </c>
      <c r="AV623" s="1279">
        <v>0</v>
      </c>
      <c r="AW623" s="1279">
        <v>0</v>
      </c>
      <c r="AX623" s="1279">
        <v>0</v>
      </c>
      <c r="AY623" s="1279">
        <v>0</v>
      </c>
      <c r="AZ623" s="1279">
        <v>0</v>
      </c>
      <c r="BA623" s="1279">
        <v>0</v>
      </c>
      <c r="BB623" s="1279">
        <v>0</v>
      </c>
      <c r="BC623" s="1279">
        <v>0</v>
      </c>
      <c r="BD623" s="1279">
        <v>0</v>
      </c>
      <c r="BE623" s="1280">
        <v>0</v>
      </c>
    </row>
    <row r="624" spans="2:57" x14ac:dyDescent="0.25">
      <c r="B624" s="332"/>
      <c r="C624" s="340" t="s">
        <v>77</v>
      </c>
      <c r="D624" s="340"/>
      <c r="E624" s="340"/>
      <c r="F624" s="340"/>
      <c r="G624" s="1281">
        <v>0</v>
      </c>
      <c r="H624" s="1281">
        <f t="shared" ref="H624:BE624" si="208">-H618</f>
        <v>0</v>
      </c>
      <c r="I624" s="1281">
        <f t="shared" si="208"/>
        <v>0</v>
      </c>
      <c r="J624" s="1281">
        <f t="shared" si="208"/>
        <v>0</v>
      </c>
      <c r="K624" s="1281">
        <f t="shared" si="208"/>
        <v>0</v>
      </c>
      <c r="L624" s="1281">
        <f t="shared" si="208"/>
        <v>0</v>
      </c>
      <c r="M624" s="1281">
        <f t="shared" si="208"/>
        <v>0</v>
      </c>
      <c r="N624" s="1281">
        <f t="shared" si="208"/>
        <v>0</v>
      </c>
      <c r="O624" s="1281">
        <f t="shared" si="208"/>
        <v>0</v>
      </c>
      <c r="P624" s="1281">
        <f t="shared" si="208"/>
        <v>0</v>
      </c>
      <c r="Q624" s="1281">
        <f t="shared" si="208"/>
        <v>0</v>
      </c>
      <c r="R624" s="1281">
        <f t="shared" si="208"/>
        <v>0</v>
      </c>
      <c r="S624" s="1281">
        <f t="shared" si="208"/>
        <v>0</v>
      </c>
      <c r="T624" s="1281">
        <f t="shared" si="208"/>
        <v>0</v>
      </c>
      <c r="U624" s="1281">
        <f t="shared" si="208"/>
        <v>0</v>
      </c>
      <c r="V624" s="1281">
        <f t="shared" si="208"/>
        <v>0</v>
      </c>
      <c r="W624" s="1281">
        <f t="shared" si="208"/>
        <v>0</v>
      </c>
      <c r="X624" s="1281">
        <f t="shared" si="208"/>
        <v>0</v>
      </c>
      <c r="Y624" s="1281">
        <f t="shared" si="208"/>
        <v>0</v>
      </c>
      <c r="Z624" s="1281">
        <f t="shared" si="208"/>
        <v>0</v>
      </c>
      <c r="AA624" s="1281">
        <f t="shared" si="208"/>
        <v>0</v>
      </c>
      <c r="AB624" s="1281">
        <f t="shared" si="208"/>
        <v>0</v>
      </c>
      <c r="AC624" s="1281">
        <f t="shared" si="208"/>
        <v>0</v>
      </c>
      <c r="AD624" s="1281">
        <f t="shared" si="208"/>
        <v>0</v>
      </c>
      <c r="AE624" s="1281">
        <f t="shared" si="208"/>
        <v>0</v>
      </c>
      <c r="AF624" s="1281">
        <f t="shared" si="208"/>
        <v>0</v>
      </c>
      <c r="AG624" s="1281">
        <f t="shared" si="208"/>
        <v>0</v>
      </c>
      <c r="AH624" s="1281">
        <f t="shared" si="208"/>
        <v>0</v>
      </c>
      <c r="AI624" s="1281">
        <f t="shared" si="208"/>
        <v>0</v>
      </c>
      <c r="AJ624" s="1281">
        <f t="shared" si="208"/>
        <v>0</v>
      </c>
      <c r="AK624" s="1281">
        <f t="shared" si="208"/>
        <v>0</v>
      </c>
      <c r="AL624" s="1281">
        <f t="shared" si="208"/>
        <v>0</v>
      </c>
      <c r="AM624" s="1281">
        <f t="shared" si="208"/>
        <v>0</v>
      </c>
      <c r="AN624" s="1281">
        <f t="shared" si="208"/>
        <v>0</v>
      </c>
      <c r="AO624" s="1281">
        <f t="shared" si="208"/>
        <v>0</v>
      </c>
      <c r="AP624" s="1281">
        <f t="shared" si="208"/>
        <v>0</v>
      </c>
      <c r="AQ624" s="1281">
        <f t="shared" si="208"/>
        <v>0</v>
      </c>
      <c r="AR624" s="1281">
        <f t="shared" si="208"/>
        <v>0</v>
      </c>
      <c r="AS624" s="1281">
        <f t="shared" si="208"/>
        <v>0</v>
      </c>
      <c r="AT624" s="1281">
        <f t="shared" si="208"/>
        <v>0</v>
      </c>
      <c r="AU624" s="1281">
        <f t="shared" si="208"/>
        <v>0</v>
      </c>
      <c r="AV624" s="1281">
        <f t="shared" si="208"/>
        <v>0</v>
      </c>
      <c r="AW624" s="1281">
        <f t="shared" si="208"/>
        <v>0</v>
      </c>
      <c r="AX624" s="1281">
        <f t="shared" si="208"/>
        <v>0</v>
      </c>
      <c r="AY624" s="1281">
        <f t="shared" si="208"/>
        <v>0</v>
      </c>
      <c r="AZ624" s="1281">
        <f t="shared" si="208"/>
        <v>0</v>
      </c>
      <c r="BA624" s="1281">
        <f t="shared" si="208"/>
        <v>0</v>
      </c>
      <c r="BB624" s="1281">
        <f t="shared" si="208"/>
        <v>0</v>
      </c>
      <c r="BC624" s="1281">
        <f t="shared" si="208"/>
        <v>0</v>
      </c>
      <c r="BD624" s="1281">
        <f t="shared" si="208"/>
        <v>0</v>
      </c>
      <c r="BE624" s="1282">
        <f t="shared" si="208"/>
        <v>0</v>
      </c>
    </row>
    <row r="625" spans="2:57" x14ac:dyDescent="0.25">
      <c r="B625" s="332"/>
      <c r="C625" s="333" t="s">
        <v>66</v>
      </c>
      <c r="D625" s="333"/>
      <c r="E625" s="333"/>
      <c r="F625" s="333"/>
      <c r="G625" s="1279">
        <f t="shared" ref="G625:BE625" si="209">SUM(G622:G624)</f>
        <v>0</v>
      </c>
      <c r="H625" s="1279">
        <f t="shared" si="209"/>
        <v>0</v>
      </c>
      <c r="I625" s="1279">
        <f t="shared" si="209"/>
        <v>0</v>
      </c>
      <c r="J625" s="1279">
        <f t="shared" si="209"/>
        <v>0</v>
      </c>
      <c r="K625" s="1279">
        <f t="shared" si="209"/>
        <v>0</v>
      </c>
      <c r="L625" s="1279">
        <f t="shared" si="209"/>
        <v>0</v>
      </c>
      <c r="M625" s="1279">
        <f t="shared" si="209"/>
        <v>0</v>
      </c>
      <c r="N625" s="1279">
        <f t="shared" si="209"/>
        <v>0</v>
      </c>
      <c r="O625" s="1279">
        <f t="shared" si="209"/>
        <v>0</v>
      </c>
      <c r="P625" s="1279">
        <f t="shared" si="209"/>
        <v>0</v>
      </c>
      <c r="Q625" s="1279">
        <f t="shared" si="209"/>
        <v>0</v>
      </c>
      <c r="R625" s="1279">
        <f t="shared" si="209"/>
        <v>0</v>
      </c>
      <c r="S625" s="1279">
        <f t="shared" si="209"/>
        <v>0</v>
      </c>
      <c r="T625" s="1279">
        <f t="shared" si="209"/>
        <v>0</v>
      </c>
      <c r="U625" s="1279">
        <f t="shared" si="209"/>
        <v>0</v>
      </c>
      <c r="V625" s="1279">
        <f t="shared" si="209"/>
        <v>0</v>
      </c>
      <c r="W625" s="1279">
        <f t="shared" si="209"/>
        <v>0</v>
      </c>
      <c r="X625" s="1279">
        <f t="shared" si="209"/>
        <v>0</v>
      </c>
      <c r="Y625" s="1279">
        <f t="shared" si="209"/>
        <v>0</v>
      </c>
      <c r="Z625" s="1279">
        <f t="shared" si="209"/>
        <v>0</v>
      </c>
      <c r="AA625" s="1279">
        <f t="shared" si="209"/>
        <v>0</v>
      </c>
      <c r="AB625" s="1279">
        <f t="shared" si="209"/>
        <v>0</v>
      </c>
      <c r="AC625" s="1279">
        <f t="shared" si="209"/>
        <v>0</v>
      </c>
      <c r="AD625" s="1279">
        <f t="shared" si="209"/>
        <v>0</v>
      </c>
      <c r="AE625" s="1279">
        <f t="shared" si="209"/>
        <v>0</v>
      </c>
      <c r="AF625" s="1279">
        <f t="shared" si="209"/>
        <v>0</v>
      </c>
      <c r="AG625" s="1279">
        <f t="shared" si="209"/>
        <v>0</v>
      </c>
      <c r="AH625" s="1279">
        <f t="shared" si="209"/>
        <v>0</v>
      </c>
      <c r="AI625" s="1279">
        <f t="shared" si="209"/>
        <v>0</v>
      </c>
      <c r="AJ625" s="1279">
        <f t="shared" si="209"/>
        <v>0</v>
      </c>
      <c r="AK625" s="1279">
        <f t="shared" si="209"/>
        <v>0</v>
      </c>
      <c r="AL625" s="1279">
        <f t="shared" si="209"/>
        <v>0</v>
      </c>
      <c r="AM625" s="1279">
        <f t="shared" si="209"/>
        <v>0</v>
      </c>
      <c r="AN625" s="1279">
        <f t="shared" si="209"/>
        <v>0</v>
      </c>
      <c r="AO625" s="1279">
        <f t="shared" si="209"/>
        <v>0</v>
      </c>
      <c r="AP625" s="1279">
        <f t="shared" si="209"/>
        <v>0</v>
      </c>
      <c r="AQ625" s="1279">
        <f t="shared" si="209"/>
        <v>0</v>
      </c>
      <c r="AR625" s="1279">
        <f t="shared" si="209"/>
        <v>0</v>
      </c>
      <c r="AS625" s="1279">
        <f t="shared" si="209"/>
        <v>0</v>
      </c>
      <c r="AT625" s="1279">
        <f t="shared" si="209"/>
        <v>0</v>
      </c>
      <c r="AU625" s="1279">
        <f t="shared" si="209"/>
        <v>0</v>
      </c>
      <c r="AV625" s="1279">
        <f t="shared" si="209"/>
        <v>0</v>
      </c>
      <c r="AW625" s="1279">
        <f t="shared" si="209"/>
        <v>0</v>
      </c>
      <c r="AX625" s="1279">
        <f t="shared" si="209"/>
        <v>0</v>
      </c>
      <c r="AY625" s="1279">
        <f t="shared" si="209"/>
        <v>0</v>
      </c>
      <c r="AZ625" s="1279">
        <f t="shared" si="209"/>
        <v>0</v>
      </c>
      <c r="BA625" s="1279">
        <f t="shared" si="209"/>
        <v>0</v>
      </c>
      <c r="BB625" s="1279">
        <f t="shared" si="209"/>
        <v>0</v>
      </c>
      <c r="BC625" s="1279">
        <f t="shared" si="209"/>
        <v>0</v>
      </c>
      <c r="BD625" s="1279">
        <f t="shared" si="209"/>
        <v>0</v>
      </c>
      <c r="BE625" s="1280">
        <f t="shared" si="209"/>
        <v>0</v>
      </c>
    </row>
    <row r="626" spans="2:57" x14ac:dyDescent="0.25">
      <c r="B626" s="332"/>
      <c r="C626" s="333"/>
      <c r="D626" s="333"/>
      <c r="E626" s="333"/>
      <c r="F626" s="333"/>
      <c r="G626" s="1279"/>
      <c r="H626" s="1279"/>
      <c r="I626" s="1279"/>
      <c r="J626" s="1279"/>
      <c r="K626" s="1279"/>
      <c r="L626" s="1279"/>
      <c r="M626" s="1279"/>
      <c r="N626" s="1279"/>
      <c r="O626" s="1279"/>
      <c r="P626" s="1279"/>
      <c r="Q626" s="1279"/>
      <c r="R626" s="1279"/>
      <c r="S626" s="1279"/>
      <c r="T626" s="1279"/>
      <c r="U626" s="1279"/>
      <c r="V626" s="1279"/>
      <c r="W626" s="1279"/>
      <c r="X626" s="1279"/>
      <c r="Y626" s="1279"/>
      <c r="Z626" s="1279"/>
      <c r="AA626" s="1279"/>
      <c r="AB626" s="1279"/>
      <c r="AC626" s="1279"/>
      <c r="AD626" s="1279"/>
      <c r="AE626" s="1279"/>
      <c r="AF626" s="1279"/>
      <c r="AG626" s="1279"/>
      <c r="AH626" s="1279"/>
      <c r="AI626" s="1279"/>
      <c r="AJ626" s="1279"/>
      <c r="AK626" s="1279"/>
      <c r="AL626" s="1279"/>
      <c r="AM626" s="1279"/>
      <c r="AN626" s="1279"/>
      <c r="AO626" s="1279"/>
      <c r="AP626" s="1279"/>
      <c r="AQ626" s="1279"/>
      <c r="AR626" s="1279"/>
      <c r="AS626" s="1279"/>
      <c r="AT626" s="1279"/>
      <c r="AU626" s="1279"/>
      <c r="AV626" s="1279"/>
      <c r="AW626" s="1279"/>
      <c r="AX626" s="1279"/>
      <c r="AY626" s="1279"/>
      <c r="AZ626" s="1279"/>
      <c r="BA626" s="1279"/>
      <c r="BB626" s="1279"/>
      <c r="BC626" s="1279"/>
      <c r="BD626" s="1279"/>
      <c r="BE626" s="1280"/>
    </row>
    <row r="627" spans="2:57" x14ac:dyDescent="0.25">
      <c r="B627" s="332"/>
      <c r="C627" s="411" t="s">
        <v>71</v>
      </c>
      <c r="D627" s="333"/>
      <c r="E627" s="333"/>
      <c r="F627" s="333"/>
      <c r="G627" s="1279"/>
      <c r="H627" s="1279"/>
      <c r="I627" s="1279"/>
      <c r="J627" s="1279"/>
      <c r="K627" s="1279"/>
      <c r="L627" s="1279"/>
      <c r="M627" s="1279"/>
      <c r="N627" s="1279"/>
      <c r="O627" s="1279"/>
      <c r="P627" s="1279"/>
      <c r="Q627" s="1279"/>
      <c r="R627" s="1279"/>
      <c r="S627" s="1279"/>
      <c r="T627" s="1279"/>
      <c r="U627" s="1279"/>
      <c r="V627" s="1279"/>
      <c r="W627" s="1279"/>
      <c r="X627" s="1279"/>
      <c r="Y627" s="1279"/>
      <c r="Z627" s="1279"/>
      <c r="AA627" s="1279"/>
      <c r="AB627" s="1279"/>
      <c r="AC627" s="1279"/>
      <c r="AD627" s="1279"/>
      <c r="AE627" s="1279"/>
      <c r="AF627" s="1279"/>
      <c r="AG627" s="1279"/>
      <c r="AH627" s="1279"/>
      <c r="AI627" s="1279"/>
      <c r="AJ627" s="1279"/>
      <c r="AK627" s="1279"/>
      <c r="AL627" s="1279"/>
      <c r="AM627" s="1279"/>
      <c r="AN627" s="1279"/>
      <c r="AO627" s="1279"/>
      <c r="AP627" s="1279"/>
      <c r="AQ627" s="1279"/>
      <c r="AR627" s="1279"/>
      <c r="AS627" s="1279"/>
      <c r="AT627" s="1279"/>
      <c r="AU627" s="1279"/>
      <c r="AV627" s="1279"/>
      <c r="AW627" s="1279"/>
      <c r="AX627" s="1279"/>
      <c r="AY627" s="1279"/>
      <c r="AZ627" s="1279"/>
      <c r="BA627" s="1279"/>
      <c r="BB627" s="1279"/>
      <c r="BC627" s="1279"/>
      <c r="BD627" s="1279"/>
      <c r="BE627" s="1280"/>
    </row>
    <row r="628" spans="2:57" x14ac:dyDescent="0.25">
      <c r="B628" s="332"/>
      <c r="C628" s="333" t="str">
        <f>'II. Inputs, Baseline Energy Mix'!$E$70</f>
        <v>Front-end Fee</v>
      </c>
      <c r="D628" s="333"/>
      <c r="E628" s="333"/>
      <c r="F628" s="333"/>
      <c r="G628" s="1279"/>
      <c r="H628" s="1279">
        <f>IF($G612&gt;0, G612*'II. Inputs, Baseline Energy Mix'!$R$70/10000,0)</f>
        <v>0</v>
      </c>
      <c r="I628" s="1279">
        <v>0</v>
      </c>
      <c r="J628" s="1279">
        <v>0</v>
      </c>
      <c r="K628" s="1279">
        <v>0</v>
      </c>
      <c r="L628" s="1279">
        <v>0</v>
      </c>
      <c r="M628" s="1279">
        <v>0</v>
      </c>
      <c r="N628" s="1279">
        <v>0</v>
      </c>
      <c r="O628" s="1279">
        <v>0</v>
      </c>
      <c r="P628" s="1279">
        <v>0</v>
      </c>
      <c r="Q628" s="1279">
        <v>0</v>
      </c>
      <c r="R628" s="1279">
        <v>0</v>
      </c>
      <c r="S628" s="1279">
        <v>0</v>
      </c>
      <c r="T628" s="1279">
        <v>0</v>
      </c>
      <c r="U628" s="1279">
        <v>0</v>
      </c>
      <c r="V628" s="1279">
        <v>0</v>
      </c>
      <c r="W628" s="1279">
        <v>0</v>
      </c>
      <c r="X628" s="1279">
        <v>0</v>
      </c>
      <c r="Y628" s="1279">
        <v>0</v>
      </c>
      <c r="Z628" s="1279">
        <v>0</v>
      </c>
      <c r="AA628" s="1279">
        <v>0</v>
      </c>
      <c r="AB628" s="1279">
        <v>0</v>
      </c>
      <c r="AC628" s="1279">
        <v>0</v>
      </c>
      <c r="AD628" s="1279">
        <v>0</v>
      </c>
      <c r="AE628" s="1279">
        <v>0</v>
      </c>
      <c r="AF628" s="1279">
        <v>0</v>
      </c>
      <c r="AG628" s="1279">
        <v>0</v>
      </c>
      <c r="AH628" s="1279">
        <v>0</v>
      </c>
      <c r="AI628" s="1279">
        <v>0</v>
      </c>
      <c r="AJ628" s="1279">
        <v>0</v>
      </c>
      <c r="AK628" s="1279">
        <v>0</v>
      </c>
      <c r="AL628" s="1279">
        <v>0</v>
      </c>
      <c r="AM628" s="1279">
        <v>0</v>
      </c>
      <c r="AN628" s="1279">
        <v>0</v>
      </c>
      <c r="AO628" s="1279">
        <v>0</v>
      </c>
      <c r="AP628" s="1279">
        <v>0</v>
      </c>
      <c r="AQ628" s="1279">
        <v>0</v>
      </c>
      <c r="AR628" s="1279">
        <v>0</v>
      </c>
      <c r="AS628" s="1279">
        <v>0</v>
      </c>
      <c r="AT628" s="1279">
        <v>0</v>
      </c>
      <c r="AU628" s="1279">
        <v>0</v>
      </c>
      <c r="AV628" s="1279">
        <v>0</v>
      </c>
      <c r="AW628" s="1279">
        <v>0</v>
      </c>
      <c r="AX628" s="1279">
        <v>0</v>
      </c>
      <c r="AY628" s="1279">
        <v>0</v>
      </c>
      <c r="AZ628" s="1279">
        <v>0</v>
      </c>
      <c r="BA628" s="1279">
        <v>0</v>
      </c>
      <c r="BB628" s="1279">
        <v>0</v>
      </c>
      <c r="BC628" s="1279">
        <v>0</v>
      </c>
      <c r="BD628" s="1279">
        <v>0</v>
      </c>
      <c r="BE628" s="1280">
        <v>0</v>
      </c>
    </row>
    <row r="629" spans="2:57" x14ac:dyDescent="0.25">
      <c r="B629" s="332"/>
      <c r="C629" s="333"/>
      <c r="D629" s="333"/>
      <c r="E629" s="333"/>
      <c r="F629" s="333"/>
      <c r="G629" s="333"/>
      <c r="H629" s="333"/>
      <c r="I629" s="333"/>
      <c r="J629" s="333"/>
      <c r="K629" s="333"/>
      <c r="L629" s="333"/>
      <c r="M629" s="333"/>
      <c r="N629" s="333"/>
      <c r="O629" s="333"/>
      <c r="P629" s="333"/>
      <c r="Q629" s="333"/>
      <c r="R629" s="333"/>
      <c r="S629" s="333"/>
      <c r="T629" s="333"/>
      <c r="U629" s="333"/>
      <c r="V629" s="333"/>
      <c r="W629" s="333"/>
      <c r="X629" s="333"/>
      <c r="Y629" s="333"/>
      <c r="Z629" s="333"/>
      <c r="AA629" s="333"/>
      <c r="AB629" s="333"/>
      <c r="AC629" s="333"/>
      <c r="AD629" s="333"/>
      <c r="AE629" s="333"/>
      <c r="AF629" s="333"/>
      <c r="AG629" s="333"/>
      <c r="AH629" s="333"/>
      <c r="AI629" s="333"/>
      <c r="AJ629" s="333"/>
      <c r="AK629" s="333"/>
      <c r="AL629" s="333"/>
      <c r="AM629" s="333"/>
      <c r="AN629" s="333"/>
      <c r="AO629" s="333"/>
      <c r="AP629" s="333"/>
      <c r="AQ629" s="333"/>
      <c r="AR629" s="333"/>
      <c r="AS629" s="333"/>
      <c r="AT629" s="333"/>
      <c r="AU629" s="333"/>
      <c r="AV629" s="333"/>
      <c r="AW629" s="333"/>
      <c r="AX629" s="333"/>
      <c r="AY629" s="333"/>
      <c r="AZ629" s="333"/>
      <c r="BA629" s="333"/>
      <c r="BB629" s="333"/>
      <c r="BC629" s="333"/>
      <c r="BD629" s="333"/>
      <c r="BE629" s="334"/>
    </row>
    <row r="630" spans="2:57" x14ac:dyDescent="0.25">
      <c r="B630" s="344" t="s">
        <v>180</v>
      </c>
      <c r="C630" s="333"/>
      <c r="D630" s="333"/>
      <c r="E630" s="333"/>
      <c r="F630" s="333"/>
      <c r="G630" s="333"/>
      <c r="H630" s="333"/>
      <c r="I630" s="333"/>
      <c r="J630" s="333"/>
      <c r="K630" s="333"/>
      <c r="L630" s="333"/>
      <c r="M630" s="333"/>
      <c r="N630" s="333"/>
      <c r="O630" s="333"/>
      <c r="P630" s="333"/>
      <c r="Q630" s="333"/>
      <c r="R630" s="333"/>
      <c r="S630" s="333"/>
      <c r="T630" s="333"/>
      <c r="U630" s="333"/>
      <c r="V630" s="333"/>
      <c r="W630" s="333"/>
      <c r="X630" s="333"/>
      <c r="Y630" s="333"/>
      <c r="Z630" s="333"/>
      <c r="AA630" s="333"/>
      <c r="AB630" s="333"/>
      <c r="AC630" s="333"/>
      <c r="AD630" s="333"/>
      <c r="AE630" s="333"/>
      <c r="AF630" s="333"/>
      <c r="AG630" s="333"/>
      <c r="AH630" s="333"/>
      <c r="AI630" s="333"/>
      <c r="AJ630" s="333"/>
      <c r="AK630" s="333"/>
      <c r="AL630" s="333"/>
      <c r="AM630" s="333"/>
      <c r="AN630" s="333"/>
      <c r="AO630" s="333"/>
      <c r="AP630" s="333"/>
      <c r="AQ630" s="333"/>
      <c r="AR630" s="333"/>
      <c r="AS630" s="333"/>
      <c r="AT630" s="333"/>
      <c r="AU630" s="333"/>
      <c r="AV630" s="333"/>
      <c r="AW630" s="333"/>
      <c r="AX630" s="333"/>
      <c r="AY630" s="333"/>
      <c r="AZ630" s="333"/>
      <c r="BA630" s="333"/>
      <c r="BB630" s="333"/>
      <c r="BC630" s="333"/>
      <c r="BD630" s="333"/>
      <c r="BE630" s="334"/>
    </row>
    <row r="631" spans="2:57" x14ac:dyDescent="0.25">
      <c r="B631" s="332"/>
      <c r="C631" s="408" t="s">
        <v>68</v>
      </c>
      <c r="D631" s="336" t="s">
        <v>631</v>
      </c>
      <c r="E631" s="333"/>
      <c r="F631" s="333"/>
      <c r="G631" s="1279">
        <f>IF('II. Inputs, Baseline Energy Mix'!$R$15&gt;0,('II. Inputs, Baseline Energy Mix'!$R$16*'II. Inputs, Baseline Energy Mix'!$R$17*'II. Inputs, Baseline Energy Mix'!$R$30*'II. Inputs, Baseline Energy Mix'!$R$33),0)</f>
        <v>0</v>
      </c>
      <c r="H631" s="333"/>
      <c r="I631" s="333"/>
      <c r="J631" s="333"/>
      <c r="K631" s="333"/>
      <c r="L631" s="333"/>
      <c r="M631" s="333"/>
      <c r="N631" s="333"/>
      <c r="O631" s="333"/>
      <c r="P631" s="333"/>
      <c r="Q631" s="333"/>
      <c r="R631" s="333"/>
      <c r="S631" s="333"/>
      <c r="T631" s="333"/>
      <c r="U631" s="333"/>
      <c r="V631" s="333"/>
      <c r="W631" s="333"/>
      <c r="X631" s="333"/>
      <c r="Y631" s="333"/>
      <c r="Z631" s="333"/>
      <c r="AA631" s="333"/>
      <c r="AB631" s="333"/>
      <c r="AC631" s="333"/>
      <c r="AD631" s="333"/>
      <c r="AE631" s="333"/>
      <c r="AF631" s="333"/>
      <c r="AG631" s="333"/>
      <c r="AH631" s="333"/>
      <c r="AI631" s="333"/>
      <c r="AJ631" s="333"/>
      <c r="AK631" s="333"/>
      <c r="AL631" s="333"/>
      <c r="AM631" s="333"/>
      <c r="AN631" s="333"/>
      <c r="AO631" s="333"/>
      <c r="AP631" s="333"/>
      <c r="AQ631" s="333"/>
      <c r="AR631" s="333"/>
      <c r="AS631" s="333"/>
      <c r="AT631" s="333"/>
      <c r="AU631" s="333"/>
      <c r="AV631" s="333"/>
      <c r="AW631" s="333"/>
      <c r="AX631" s="333"/>
      <c r="AY631" s="333"/>
      <c r="AZ631" s="333"/>
      <c r="BA631" s="333"/>
      <c r="BB631" s="333"/>
      <c r="BC631" s="333"/>
      <c r="BD631" s="333"/>
      <c r="BE631" s="334"/>
    </row>
    <row r="632" spans="2:57" x14ac:dyDescent="0.25">
      <c r="B632" s="332"/>
      <c r="C632" s="408" t="s">
        <v>69</v>
      </c>
      <c r="D632" s="336" t="s">
        <v>20</v>
      </c>
      <c r="E632" s="333"/>
      <c r="F632" s="333"/>
      <c r="G632" s="335">
        <f>SUM('II. Inputs, Baseline Energy Mix'!$R$73)</f>
        <v>0</v>
      </c>
      <c r="H632" s="333"/>
      <c r="I632" s="333"/>
      <c r="J632" s="333"/>
      <c r="K632" s="333"/>
      <c r="L632" s="333"/>
      <c r="M632" s="333"/>
      <c r="N632" s="333"/>
      <c r="O632" s="333"/>
      <c r="P632" s="333"/>
      <c r="Q632" s="333"/>
      <c r="R632" s="333"/>
      <c r="S632" s="333"/>
      <c r="T632" s="333"/>
      <c r="U632" s="333"/>
      <c r="V632" s="333"/>
      <c r="W632" s="333"/>
      <c r="X632" s="333"/>
      <c r="Y632" s="333"/>
      <c r="Z632" s="333"/>
      <c r="AA632" s="333"/>
      <c r="AB632" s="333"/>
      <c r="AC632" s="333"/>
      <c r="AD632" s="333"/>
      <c r="AE632" s="333"/>
      <c r="AF632" s="333"/>
      <c r="AG632" s="333"/>
      <c r="AH632" s="333"/>
      <c r="AI632" s="333"/>
      <c r="AJ632" s="333"/>
      <c r="AK632" s="333"/>
      <c r="AL632" s="333"/>
      <c r="AM632" s="333"/>
      <c r="AN632" s="333"/>
      <c r="AO632" s="333"/>
      <c r="AP632" s="333"/>
      <c r="AQ632" s="333"/>
      <c r="AR632" s="333"/>
      <c r="AS632" s="333"/>
      <c r="AT632" s="333"/>
      <c r="AU632" s="333"/>
      <c r="AV632" s="333"/>
      <c r="AW632" s="333"/>
      <c r="AX632" s="333"/>
      <c r="AY632" s="333"/>
      <c r="AZ632" s="333"/>
      <c r="BA632" s="333"/>
      <c r="BB632" s="333"/>
      <c r="BC632" s="333"/>
      <c r="BD632" s="333"/>
      <c r="BE632" s="334"/>
    </row>
    <row r="633" spans="2:57" x14ac:dyDescent="0.25">
      <c r="B633" s="332"/>
      <c r="C633" s="408" t="s">
        <v>70</v>
      </c>
      <c r="D633" s="336" t="s">
        <v>16</v>
      </c>
      <c r="E633" s="333"/>
      <c r="F633" s="333"/>
      <c r="G633" s="409">
        <f>SUM('II. Inputs, Baseline Energy Mix'!$R$72)</f>
        <v>0</v>
      </c>
      <c r="H633" s="333"/>
      <c r="I633" s="333"/>
      <c r="J633" s="333"/>
      <c r="K633" s="333"/>
      <c r="L633" s="333"/>
      <c r="M633" s="333"/>
      <c r="N633" s="333"/>
      <c r="O633" s="333"/>
      <c r="P633" s="333"/>
      <c r="Q633" s="333"/>
      <c r="R633" s="333"/>
      <c r="S633" s="333"/>
      <c r="T633" s="333"/>
      <c r="U633" s="333"/>
      <c r="V633" s="333"/>
      <c r="W633" s="333"/>
      <c r="X633" s="333"/>
      <c r="Y633" s="333"/>
      <c r="Z633" s="333"/>
      <c r="AA633" s="333"/>
      <c r="AB633" s="333"/>
      <c r="AC633" s="333"/>
      <c r="AD633" s="333"/>
      <c r="AE633" s="333"/>
      <c r="AF633" s="333"/>
      <c r="AG633" s="333"/>
      <c r="AH633" s="333"/>
      <c r="AI633" s="333"/>
      <c r="AJ633" s="333"/>
      <c r="AK633" s="333"/>
      <c r="AL633" s="333"/>
      <c r="AM633" s="333"/>
      <c r="AN633" s="333"/>
      <c r="AO633" s="333"/>
      <c r="AP633" s="333"/>
      <c r="AQ633" s="333"/>
      <c r="AR633" s="333"/>
      <c r="AS633" s="333"/>
      <c r="AT633" s="333"/>
      <c r="AU633" s="333"/>
      <c r="AV633" s="333"/>
      <c r="AW633" s="333"/>
      <c r="AX633" s="333"/>
      <c r="AY633" s="333"/>
      <c r="AZ633" s="333"/>
      <c r="BA633" s="333"/>
      <c r="BB633" s="333"/>
      <c r="BC633" s="333"/>
      <c r="BD633" s="333"/>
      <c r="BE633" s="334"/>
    </row>
    <row r="634" spans="2:57" x14ac:dyDescent="0.25">
      <c r="B634" s="332"/>
      <c r="C634" s="408" t="str">
        <f>'II. Inputs, Baseline Energy Mix'!$E$75</f>
        <v>Guarantee Coverage, as a % of Commercial Loan Value</v>
      </c>
      <c r="D634" s="336" t="s">
        <v>16</v>
      </c>
      <c r="E634" s="333"/>
      <c r="F634" s="333"/>
      <c r="G634" s="412">
        <f>SUM('II. Inputs, Baseline Energy Mix'!$R$75)</f>
        <v>0</v>
      </c>
      <c r="H634" s="333"/>
      <c r="I634" s="333"/>
      <c r="J634" s="333"/>
      <c r="K634" s="333"/>
      <c r="L634" s="333"/>
      <c r="M634" s="333"/>
      <c r="N634" s="333"/>
      <c r="O634" s="333"/>
      <c r="P634" s="333"/>
      <c r="Q634" s="333"/>
      <c r="R634" s="333"/>
      <c r="S634" s="333"/>
      <c r="T634" s="333"/>
      <c r="U634" s="333"/>
      <c r="V634" s="333"/>
      <c r="W634" s="333"/>
      <c r="X634" s="333"/>
      <c r="Y634" s="333"/>
      <c r="Z634" s="333"/>
      <c r="AA634" s="333"/>
      <c r="AB634" s="333"/>
      <c r="AC634" s="333"/>
      <c r="AD634" s="333"/>
      <c r="AE634" s="333"/>
      <c r="AF634" s="333"/>
      <c r="AG634" s="333"/>
      <c r="AH634" s="333"/>
      <c r="AI634" s="333"/>
      <c r="AJ634" s="333"/>
      <c r="AK634" s="333"/>
      <c r="AL634" s="333"/>
      <c r="AM634" s="333"/>
      <c r="AN634" s="333"/>
      <c r="AO634" s="333"/>
      <c r="AP634" s="333"/>
      <c r="AQ634" s="333"/>
      <c r="AR634" s="333"/>
      <c r="AS634" s="333"/>
      <c r="AT634" s="333"/>
      <c r="AU634" s="333"/>
      <c r="AV634" s="333"/>
      <c r="AW634" s="333"/>
      <c r="AX634" s="333"/>
      <c r="AY634" s="333"/>
      <c r="AZ634" s="333"/>
      <c r="BA634" s="333"/>
      <c r="BB634" s="333"/>
      <c r="BC634" s="333"/>
      <c r="BD634" s="333"/>
      <c r="BE634" s="334"/>
    </row>
    <row r="635" spans="2:57" x14ac:dyDescent="0.25">
      <c r="B635" s="332"/>
      <c r="C635" s="408" t="str">
        <f>'II. Inputs, Baseline Energy Mix'!$E$76</f>
        <v xml:space="preserve">Term of Public Guarantee Coverage </v>
      </c>
      <c r="D635" s="336" t="s">
        <v>20</v>
      </c>
      <c r="E635" s="333"/>
      <c r="F635" s="333"/>
      <c r="G635" s="335">
        <f>'II. Inputs, Baseline Energy Mix'!$R$76</f>
        <v>0</v>
      </c>
      <c r="H635" s="333"/>
      <c r="I635" s="333"/>
      <c r="J635" s="333"/>
      <c r="K635" s="333"/>
      <c r="L635" s="333"/>
      <c r="M635" s="333"/>
      <c r="N635" s="333"/>
      <c r="O635" s="333"/>
      <c r="P635" s="333"/>
      <c r="Q635" s="333"/>
      <c r="R635" s="333"/>
      <c r="S635" s="333"/>
      <c r="T635" s="333"/>
      <c r="U635" s="333"/>
      <c r="V635" s="333"/>
      <c r="W635" s="333"/>
      <c r="X635" s="333"/>
      <c r="Y635" s="333"/>
      <c r="Z635" s="333"/>
      <c r="AA635" s="333"/>
      <c r="AB635" s="333"/>
      <c r="AC635" s="333"/>
      <c r="AD635" s="333"/>
      <c r="AE635" s="333"/>
      <c r="AF635" s="333"/>
      <c r="AG635" s="333"/>
      <c r="AH635" s="333"/>
      <c r="AI635" s="333"/>
      <c r="AJ635" s="333"/>
      <c r="AK635" s="333"/>
      <c r="AL635" s="333"/>
      <c r="AM635" s="333"/>
      <c r="AN635" s="333"/>
      <c r="AO635" s="333"/>
      <c r="AP635" s="333"/>
      <c r="AQ635" s="333"/>
      <c r="AR635" s="333"/>
      <c r="AS635" s="333"/>
      <c r="AT635" s="333"/>
      <c r="AU635" s="333"/>
      <c r="AV635" s="333"/>
      <c r="AW635" s="333"/>
      <c r="AX635" s="333"/>
      <c r="AY635" s="333"/>
      <c r="AZ635" s="333"/>
      <c r="BA635" s="333"/>
      <c r="BB635" s="333"/>
      <c r="BC635" s="333"/>
      <c r="BD635" s="333"/>
      <c r="BE635" s="334"/>
    </row>
    <row r="636" spans="2:57" x14ac:dyDescent="0.25">
      <c r="B636" s="332"/>
      <c r="C636" s="333"/>
      <c r="D636" s="333"/>
      <c r="E636" s="333"/>
      <c r="F636" s="333"/>
      <c r="G636" s="333"/>
      <c r="H636" s="333"/>
      <c r="I636" s="333"/>
      <c r="J636" s="333"/>
      <c r="K636" s="333"/>
      <c r="L636" s="333"/>
      <c r="M636" s="333"/>
      <c r="N636" s="333"/>
      <c r="O636" s="333"/>
      <c r="P636" s="333"/>
      <c r="Q636" s="333"/>
      <c r="R636" s="333"/>
      <c r="S636" s="333"/>
      <c r="T636" s="333"/>
      <c r="U636" s="333"/>
      <c r="V636" s="333"/>
      <c r="W636" s="333"/>
      <c r="X636" s="333"/>
      <c r="Y636" s="333"/>
      <c r="Z636" s="333"/>
      <c r="AA636" s="333"/>
      <c r="AB636" s="333"/>
      <c r="AC636" s="333"/>
      <c r="AD636" s="333"/>
      <c r="AE636" s="333"/>
      <c r="AF636" s="333"/>
      <c r="AG636" s="333"/>
      <c r="AH636" s="333"/>
      <c r="AI636" s="333"/>
      <c r="AJ636" s="333"/>
      <c r="AK636" s="333"/>
      <c r="AL636" s="333"/>
      <c r="AM636" s="333"/>
      <c r="AN636" s="333"/>
      <c r="AO636" s="333"/>
      <c r="AP636" s="333"/>
      <c r="AQ636" s="333"/>
      <c r="AR636" s="333"/>
      <c r="AS636" s="333"/>
      <c r="AT636" s="333"/>
      <c r="AU636" s="333"/>
      <c r="AV636" s="333"/>
      <c r="AW636" s="333"/>
      <c r="AX636" s="333"/>
      <c r="AY636" s="333"/>
      <c r="AZ636" s="333"/>
      <c r="BA636" s="333"/>
      <c r="BB636" s="333"/>
      <c r="BC636" s="333"/>
      <c r="BD636" s="333"/>
      <c r="BE636" s="334"/>
    </row>
    <row r="637" spans="2:57" x14ac:dyDescent="0.25">
      <c r="B637" s="332"/>
      <c r="C637" s="410" t="s">
        <v>67</v>
      </c>
      <c r="D637" s="333"/>
      <c r="E637" s="333"/>
      <c r="F637" s="333"/>
      <c r="G637" s="333"/>
      <c r="H637" s="333"/>
      <c r="I637" s="333"/>
      <c r="J637" s="333"/>
      <c r="K637" s="333"/>
      <c r="L637" s="333"/>
      <c r="M637" s="333"/>
      <c r="N637" s="333"/>
      <c r="O637" s="333"/>
      <c r="P637" s="333"/>
      <c r="Q637" s="333"/>
      <c r="R637" s="333"/>
      <c r="S637" s="333"/>
      <c r="T637" s="333"/>
      <c r="U637" s="333"/>
      <c r="V637" s="333"/>
      <c r="W637" s="333"/>
      <c r="X637" s="333"/>
      <c r="Y637" s="333"/>
      <c r="Z637" s="333"/>
      <c r="AA637" s="333"/>
      <c r="AB637" s="333"/>
      <c r="AC637" s="333"/>
      <c r="AD637" s="333"/>
      <c r="AE637" s="333"/>
      <c r="AF637" s="333"/>
      <c r="AG637" s="333"/>
      <c r="AH637" s="333"/>
      <c r="AI637" s="333"/>
      <c r="AJ637" s="333"/>
      <c r="AK637" s="333"/>
      <c r="AL637" s="333"/>
      <c r="AM637" s="333"/>
      <c r="AN637" s="333"/>
      <c r="AO637" s="333"/>
      <c r="AP637" s="333"/>
      <c r="AQ637" s="333"/>
      <c r="AR637" s="333"/>
      <c r="AS637" s="333"/>
      <c r="AT637" s="333"/>
      <c r="AU637" s="333"/>
      <c r="AV637" s="333"/>
      <c r="AW637" s="333"/>
      <c r="AX637" s="333"/>
      <c r="AY637" s="333"/>
      <c r="AZ637" s="333"/>
      <c r="BA637" s="333"/>
      <c r="BB637" s="333"/>
      <c r="BC637" s="333"/>
      <c r="BD637" s="333"/>
      <c r="BE637" s="334"/>
    </row>
    <row r="638" spans="2:57" x14ac:dyDescent="0.25">
      <c r="B638" s="332"/>
      <c r="C638" s="333" t="s">
        <v>73</v>
      </c>
      <c r="D638" s="333"/>
      <c r="E638" s="333"/>
      <c r="F638" s="333"/>
      <c r="G638" s="1279"/>
      <c r="H638" s="1279">
        <f>IF(H$299&gt;$G632,0,IPMT($G633,H$299,$G632,-$G631))</f>
        <v>0</v>
      </c>
      <c r="I638" s="1279">
        <f t="shared" ref="I638:BE638" si="210">IF(I$299&gt;$G632,0,IPMT($G633,I$299,$G632,-$G631))</f>
        <v>0</v>
      </c>
      <c r="J638" s="1279">
        <f t="shared" si="210"/>
        <v>0</v>
      </c>
      <c r="K638" s="1279">
        <f t="shared" si="210"/>
        <v>0</v>
      </c>
      <c r="L638" s="1279">
        <f t="shared" si="210"/>
        <v>0</v>
      </c>
      <c r="M638" s="1279">
        <f t="shared" si="210"/>
        <v>0</v>
      </c>
      <c r="N638" s="1279">
        <f t="shared" si="210"/>
        <v>0</v>
      </c>
      <c r="O638" s="1279">
        <f t="shared" si="210"/>
        <v>0</v>
      </c>
      <c r="P638" s="1279">
        <f t="shared" si="210"/>
        <v>0</v>
      </c>
      <c r="Q638" s="1279">
        <f t="shared" si="210"/>
        <v>0</v>
      </c>
      <c r="R638" s="1279">
        <f t="shared" si="210"/>
        <v>0</v>
      </c>
      <c r="S638" s="1279">
        <f t="shared" si="210"/>
        <v>0</v>
      </c>
      <c r="T638" s="1279">
        <f t="shared" si="210"/>
        <v>0</v>
      </c>
      <c r="U638" s="1279">
        <f t="shared" si="210"/>
        <v>0</v>
      </c>
      <c r="V638" s="1279">
        <f t="shared" si="210"/>
        <v>0</v>
      </c>
      <c r="W638" s="1279">
        <f t="shared" si="210"/>
        <v>0</v>
      </c>
      <c r="X638" s="1279">
        <f t="shared" si="210"/>
        <v>0</v>
      </c>
      <c r="Y638" s="1279">
        <f t="shared" si="210"/>
        <v>0</v>
      </c>
      <c r="Z638" s="1279">
        <f t="shared" si="210"/>
        <v>0</v>
      </c>
      <c r="AA638" s="1279">
        <f t="shared" si="210"/>
        <v>0</v>
      </c>
      <c r="AB638" s="1279">
        <f t="shared" si="210"/>
        <v>0</v>
      </c>
      <c r="AC638" s="1279">
        <f t="shared" si="210"/>
        <v>0</v>
      </c>
      <c r="AD638" s="1279">
        <f t="shared" si="210"/>
        <v>0</v>
      </c>
      <c r="AE638" s="1279">
        <f t="shared" si="210"/>
        <v>0</v>
      </c>
      <c r="AF638" s="1279">
        <f t="shared" si="210"/>
        <v>0</v>
      </c>
      <c r="AG638" s="1279">
        <f t="shared" si="210"/>
        <v>0</v>
      </c>
      <c r="AH638" s="1279">
        <f t="shared" si="210"/>
        <v>0</v>
      </c>
      <c r="AI638" s="1279">
        <f t="shared" si="210"/>
        <v>0</v>
      </c>
      <c r="AJ638" s="1279">
        <f t="shared" si="210"/>
        <v>0</v>
      </c>
      <c r="AK638" s="1279">
        <f t="shared" si="210"/>
        <v>0</v>
      </c>
      <c r="AL638" s="1279">
        <f t="shared" si="210"/>
        <v>0</v>
      </c>
      <c r="AM638" s="1279">
        <f t="shared" si="210"/>
        <v>0</v>
      </c>
      <c r="AN638" s="1279">
        <f t="shared" si="210"/>
        <v>0</v>
      </c>
      <c r="AO638" s="1279">
        <f t="shared" si="210"/>
        <v>0</v>
      </c>
      <c r="AP638" s="1279">
        <f t="shared" si="210"/>
        <v>0</v>
      </c>
      <c r="AQ638" s="1279">
        <f t="shared" si="210"/>
        <v>0</v>
      </c>
      <c r="AR638" s="1279">
        <f t="shared" si="210"/>
        <v>0</v>
      </c>
      <c r="AS638" s="1279">
        <f t="shared" si="210"/>
        <v>0</v>
      </c>
      <c r="AT638" s="1279">
        <f t="shared" si="210"/>
        <v>0</v>
      </c>
      <c r="AU638" s="1279">
        <f t="shared" si="210"/>
        <v>0</v>
      </c>
      <c r="AV638" s="1279">
        <f t="shared" si="210"/>
        <v>0</v>
      </c>
      <c r="AW638" s="1279">
        <f t="shared" si="210"/>
        <v>0</v>
      </c>
      <c r="AX638" s="1279">
        <f t="shared" si="210"/>
        <v>0</v>
      </c>
      <c r="AY638" s="1279">
        <f t="shared" si="210"/>
        <v>0</v>
      </c>
      <c r="AZ638" s="1279">
        <f t="shared" si="210"/>
        <v>0</v>
      </c>
      <c r="BA638" s="1279">
        <f t="shared" si="210"/>
        <v>0</v>
      </c>
      <c r="BB638" s="1279">
        <f t="shared" si="210"/>
        <v>0</v>
      </c>
      <c r="BC638" s="1279">
        <f t="shared" si="210"/>
        <v>0</v>
      </c>
      <c r="BD638" s="1279">
        <f t="shared" si="210"/>
        <v>0</v>
      </c>
      <c r="BE638" s="1280">
        <f t="shared" si="210"/>
        <v>0</v>
      </c>
    </row>
    <row r="639" spans="2:57" x14ac:dyDescent="0.25">
      <c r="B639" s="332"/>
      <c r="C639" s="340" t="s">
        <v>72</v>
      </c>
      <c r="D639" s="340"/>
      <c r="E639" s="340"/>
      <c r="F639" s="340"/>
      <c r="G639" s="1281"/>
      <c r="H639" s="1281">
        <f>IF(H$299&gt;$G632,0,PPMT($G633,H$299,$G632,-$G631))</f>
        <v>0</v>
      </c>
      <c r="I639" s="1281">
        <f t="shared" ref="I639:BE639" si="211">IF(I$299&gt;$G632,0,PPMT($G633,I$299,$G632,-$G631))</f>
        <v>0</v>
      </c>
      <c r="J639" s="1281">
        <f t="shared" si="211"/>
        <v>0</v>
      </c>
      <c r="K639" s="1281">
        <f t="shared" si="211"/>
        <v>0</v>
      </c>
      <c r="L639" s="1281">
        <f t="shared" si="211"/>
        <v>0</v>
      </c>
      <c r="M639" s="1281">
        <f t="shared" si="211"/>
        <v>0</v>
      </c>
      <c r="N639" s="1281">
        <f t="shared" si="211"/>
        <v>0</v>
      </c>
      <c r="O639" s="1281">
        <f t="shared" si="211"/>
        <v>0</v>
      </c>
      <c r="P639" s="1281">
        <f t="shared" si="211"/>
        <v>0</v>
      </c>
      <c r="Q639" s="1281">
        <f t="shared" si="211"/>
        <v>0</v>
      </c>
      <c r="R639" s="1281">
        <f t="shared" si="211"/>
        <v>0</v>
      </c>
      <c r="S639" s="1281">
        <f t="shared" si="211"/>
        <v>0</v>
      </c>
      <c r="T639" s="1281">
        <f t="shared" si="211"/>
        <v>0</v>
      </c>
      <c r="U639" s="1281">
        <f t="shared" si="211"/>
        <v>0</v>
      </c>
      <c r="V639" s="1281">
        <f t="shared" si="211"/>
        <v>0</v>
      </c>
      <c r="W639" s="1281">
        <f t="shared" si="211"/>
        <v>0</v>
      </c>
      <c r="X639" s="1281">
        <f t="shared" si="211"/>
        <v>0</v>
      </c>
      <c r="Y639" s="1281">
        <f t="shared" si="211"/>
        <v>0</v>
      </c>
      <c r="Z639" s="1281">
        <f t="shared" si="211"/>
        <v>0</v>
      </c>
      <c r="AA639" s="1281">
        <f t="shared" si="211"/>
        <v>0</v>
      </c>
      <c r="AB639" s="1281">
        <f t="shared" si="211"/>
        <v>0</v>
      </c>
      <c r="AC639" s="1281">
        <f t="shared" si="211"/>
        <v>0</v>
      </c>
      <c r="AD639" s="1281">
        <f t="shared" si="211"/>
        <v>0</v>
      </c>
      <c r="AE639" s="1281">
        <f t="shared" si="211"/>
        <v>0</v>
      </c>
      <c r="AF639" s="1281">
        <f t="shared" si="211"/>
        <v>0</v>
      </c>
      <c r="AG639" s="1281">
        <f t="shared" si="211"/>
        <v>0</v>
      </c>
      <c r="AH639" s="1281">
        <f t="shared" si="211"/>
        <v>0</v>
      </c>
      <c r="AI639" s="1281">
        <f t="shared" si="211"/>
        <v>0</v>
      </c>
      <c r="AJ639" s="1281">
        <f t="shared" si="211"/>
        <v>0</v>
      </c>
      <c r="AK639" s="1281">
        <f t="shared" si="211"/>
        <v>0</v>
      </c>
      <c r="AL639" s="1281">
        <f t="shared" si="211"/>
        <v>0</v>
      </c>
      <c r="AM639" s="1281">
        <f t="shared" si="211"/>
        <v>0</v>
      </c>
      <c r="AN639" s="1281">
        <f t="shared" si="211"/>
        <v>0</v>
      </c>
      <c r="AO639" s="1281">
        <f t="shared" si="211"/>
        <v>0</v>
      </c>
      <c r="AP639" s="1281">
        <f t="shared" si="211"/>
        <v>0</v>
      </c>
      <c r="AQ639" s="1281">
        <f t="shared" si="211"/>
        <v>0</v>
      </c>
      <c r="AR639" s="1281">
        <f t="shared" si="211"/>
        <v>0</v>
      </c>
      <c r="AS639" s="1281">
        <f t="shared" si="211"/>
        <v>0</v>
      </c>
      <c r="AT639" s="1281">
        <f t="shared" si="211"/>
        <v>0</v>
      </c>
      <c r="AU639" s="1281">
        <f t="shared" si="211"/>
        <v>0</v>
      </c>
      <c r="AV639" s="1281">
        <f t="shared" si="211"/>
        <v>0</v>
      </c>
      <c r="AW639" s="1281">
        <f t="shared" si="211"/>
        <v>0</v>
      </c>
      <c r="AX639" s="1281">
        <f t="shared" si="211"/>
        <v>0</v>
      </c>
      <c r="AY639" s="1281">
        <f t="shared" si="211"/>
        <v>0</v>
      </c>
      <c r="AZ639" s="1281">
        <f t="shared" si="211"/>
        <v>0</v>
      </c>
      <c r="BA639" s="1281">
        <f t="shared" si="211"/>
        <v>0</v>
      </c>
      <c r="BB639" s="1281">
        <f t="shared" si="211"/>
        <v>0</v>
      </c>
      <c r="BC639" s="1281">
        <f t="shared" si="211"/>
        <v>0</v>
      </c>
      <c r="BD639" s="1281">
        <f t="shared" si="211"/>
        <v>0</v>
      </c>
      <c r="BE639" s="1282">
        <f t="shared" si="211"/>
        <v>0</v>
      </c>
    </row>
    <row r="640" spans="2:57" x14ac:dyDescent="0.25">
      <c r="B640" s="332"/>
      <c r="C640" s="333" t="s">
        <v>74</v>
      </c>
      <c r="D640" s="333"/>
      <c r="E640" s="333"/>
      <c r="F640" s="333"/>
      <c r="G640" s="1279"/>
      <c r="H640" s="1279">
        <f>SUM(H638:H639)</f>
        <v>0</v>
      </c>
      <c r="I640" s="1279">
        <f t="shared" ref="I640:BE640" si="212">SUM(I638:I639)</f>
        <v>0</v>
      </c>
      <c r="J640" s="1279">
        <f t="shared" si="212"/>
        <v>0</v>
      </c>
      <c r="K640" s="1279">
        <f t="shared" si="212"/>
        <v>0</v>
      </c>
      <c r="L640" s="1279">
        <f t="shared" si="212"/>
        <v>0</v>
      </c>
      <c r="M640" s="1279">
        <f t="shared" si="212"/>
        <v>0</v>
      </c>
      <c r="N640" s="1279">
        <f t="shared" si="212"/>
        <v>0</v>
      </c>
      <c r="O640" s="1279">
        <f t="shared" si="212"/>
        <v>0</v>
      </c>
      <c r="P640" s="1279">
        <f t="shared" si="212"/>
        <v>0</v>
      </c>
      <c r="Q640" s="1279">
        <f t="shared" si="212"/>
        <v>0</v>
      </c>
      <c r="R640" s="1279">
        <f t="shared" si="212"/>
        <v>0</v>
      </c>
      <c r="S640" s="1279">
        <f t="shared" si="212"/>
        <v>0</v>
      </c>
      <c r="T640" s="1279">
        <f t="shared" si="212"/>
        <v>0</v>
      </c>
      <c r="U640" s="1279">
        <f t="shared" si="212"/>
        <v>0</v>
      </c>
      <c r="V640" s="1279">
        <f t="shared" si="212"/>
        <v>0</v>
      </c>
      <c r="W640" s="1279">
        <f t="shared" si="212"/>
        <v>0</v>
      </c>
      <c r="X640" s="1279">
        <f t="shared" si="212"/>
        <v>0</v>
      </c>
      <c r="Y640" s="1279">
        <f t="shared" si="212"/>
        <v>0</v>
      </c>
      <c r="Z640" s="1279">
        <f t="shared" si="212"/>
        <v>0</v>
      </c>
      <c r="AA640" s="1279">
        <f t="shared" si="212"/>
        <v>0</v>
      </c>
      <c r="AB640" s="1279">
        <f t="shared" si="212"/>
        <v>0</v>
      </c>
      <c r="AC640" s="1279">
        <f t="shared" si="212"/>
        <v>0</v>
      </c>
      <c r="AD640" s="1279">
        <f t="shared" si="212"/>
        <v>0</v>
      </c>
      <c r="AE640" s="1279">
        <f t="shared" si="212"/>
        <v>0</v>
      </c>
      <c r="AF640" s="1279">
        <f t="shared" si="212"/>
        <v>0</v>
      </c>
      <c r="AG640" s="1279">
        <f t="shared" si="212"/>
        <v>0</v>
      </c>
      <c r="AH640" s="1279">
        <f t="shared" si="212"/>
        <v>0</v>
      </c>
      <c r="AI640" s="1279">
        <f t="shared" si="212"/>
        <v>0</v>
      </c>
      <c r="AJ640" s="1279">
        <f t="shared" si="212"/>
        <v>0</v>
      </c>
      <c r="AK640" s="1279">
        <f t="shared" si="212"/>
        <v>0</v>
      </c>
      <c r="AL640" s="1279">
        <f t="shared" si="212"/>
        <v>0</v>
      </c>
      <c r="AM640" s="1279">
        <f t="shared" si="212"/>
        <v>0</v>
      </c>
      <c r="AN640" s="1279">
        <f t="shared" si="212"/>
        <v>0</v>
      </c>
      <c r="AO640" s="1279">
        <f t="shared" si="212"/>
        <v>0</v>
      </c>
      <c r="AP640" s="1279">
        <f t="shared" si="212"/>
        <v>0</v>
      </c>
      <c r="AQ640" s="1279">
        <f t="shared" si="212"/>
        <v>0</v>
      </c>
      <c r="AR640" s="1279">
        <f t="shared" si="212"/>
        <v>0</v>
      </c>
      <c r="AS640" s="1279">
        <f t="shared" si="212"/>
        <v>0</v>
      </c>
      <c r="AT640" s="1279">
        <f t="shared" si="212"/>
        <v>0</v>
      </c>
      <c r="AU640" s="1279">
        <f t="shared" si="212"/>
        <v>0</v>
      </c>
      <c r="AV640" s="1279">
        <f t="shared" si="212"/>
        <v>0</v>
      </c>
      <c r="AW640" s="1279">
        <f t="shared" si="212"/>
        <v>0</v>
      </c>
      <c r="AX640" s="1279">
        <f t="shared" si="212"/>
        <v>0</v>
      </c>
      <c r="AY640" s="1279">
        <f t="shared" si="212"/>
        <v>0</v>
      </c>
      <c r="AZ640" s="1279">
        <f t="shared" si="212"/>
        <v>0</v>
      </c>
      <c r="BA640" s="1279">
        <f t="shared" si="212"/>
        <v>0</v>
      </c>
      <c r="BB640" s="1279">
        <f t="shared" si="212"/>
        <v>0</v>
      </c>
      <c r="BC640" s="1279">
        <f t="shared" si="212"/>
        <v>0</v>
      </c>
      <c r="BD640" s="1279">
        <f t="shared" si="212"/>
        <v>0</v>
      </c>
      <c r="BE640" s="1280">
        <f t="shared" si="212"/>
        <v>0</v>
      </c>
    </row>
    <row r="641" spans="2:57" x14ac:dyDescent="0.25">
      <c r="B641" s="332"/>
      <c r="C641" s="333"/>
      <c r="D641" s="333"/>
      <c r="E641" s="333"/>
      <c r="F641" s="333"/>
      <c r="G641" s="1279"/>
      <c r="H641" s="1279"/>
      <c r="I641" s="1279"/>
      <c r="J641" s="1279"/>
      <c r="K641" s="1279"/>
      <c r="L641" s="1279"/>
      <c r="M641" s="1279"/>
      <c r="N641" s="1279"/>
      <c r="O641" s="1279"/>
      <c r="P641" s="1279"/>
      <c r="Q641" s="1279"/>
      <c r="R641" s="1279"/>
      <c r="S641" s="1279"/>
      <c r="T641" s="1279"/>
      <c r="U641" s="1279"/>
      <c r="V641" s="1279"/>
      <c r="W641" s="1279"/>
      <c r="X641" s="1279"/>
      <c r="Y641" s="1279"/>
      <c r="Z641" s="1279"/>
      <c r="AA641" s="1279"/>
      <c r="AB641" s="1279"/>
      <c r="AC641" s="1279"/>
      <c r="AD641" s="1279"/>
      <c r="AE641" s="1279"/>
      <c r="AF641" s="1279"/>
      <c r="AG641" s="1279"/>
      <c r="AH641" s="1279"/>
      <c r="AI641" s="1279"/>
      <c r="AJ641" s="1279"/>
      <c r="AK641" s="1279"/>
      <c r="AL641" s="1279"/>
      <c r="AM641" s="1279"/>
      <c r="AN641" s="1279"/>
      <c r="AO641" s="1279"/>
      <c r="AP641" s="1279"/>
      <c r="AQ641" s="1279"/>
      <c r="AR641" s="1279"/>
      <c r="AS641" s="1279"/>
      <c r="AT641" s="1279"/>
      <c r="AU641" s="1279"/>
      <c r="AV641" s="1279"/>
      <c r="AW641" s="1279"/>
      <c r="AX641" s="1279"/>
      <c r="AY641" s="1279"/>
      <c r="AZ641" s="1279"/>
      <c r="BA641" s="1279"/>
      <c r="BB641" s="1279"/>
      <c r="BC641" s="1279"/>
      <c r="BD641" s="1279"/>
      <c r="BE641" s="1280"/>
    </row>
    <row r="642" spans="2:57" x14ac:dyDescent="0.25">
      <c r="B642" s="332"/>
      <c r="C642" s="411" t="s">
        <v>65</v>
      </c>
      <c r="D642" s="333"/>
      <c r="E642" s="333"/>
      <c r="F642" s="333"/>
      <c r="G642" s="1279"/>
      <c r="H642" s="1279"/>
      <c r="I642" s="1279"/>
      <c r="J642" s="1279"/>
      <c r="K642" s="1279"/>
      <c r="L642" s="1279"/>
      <c r="M642" s="1279"/>
      <c r="N642" s="1279"/>
      <c r="O642" s="1279"/>
      <c r="P642" s="1279"/>
      <c r="Q642" s="1279"/>
      <c r="R642" s="1279"/>
      <c r="S642" s="1279"/>
      <c r="T642" s="1279"/>
      <c r="U642" s="1279"/>
      <c r="V642" s="1279"/>
      <c r="W642" s="1279"/>
      <c r="X642" s="1279"/>
      <c r="Y642" s="1279"/>
      <c r="Z642" s="1279"/>
      <c r="AA642" s="1279"/>
      <c r="AB642" s="1279"/>
      <c r="AC642" s="1279"/>
      <c r="AD642" s="1279"/>
      <c r="AE642" s="1279"/>
      <c r="AF642" s="1279"/>
      <c r="AG642" s="1279"/>
      <c r="AH642" s="1279"/>
      <c r="AI642" s="1279"/>
      <c r="AJ642" s="1279"/>
      <c r="AK642" s="1279"/>
      <c r="AL642" s="1279"/>
      <c r="AM642" s="1279"/>
      <c r="AN642" s="1279"/>
      <c r="AO642" s="1279"/>
      <c r="AP642" s="1279"/>
      <c r="AQ642" s="1279"/>
      <c r="AR642" s="1279"/>
      <c r="AS642" s="1279"/>
      <c r="AT642" s="1279"/>
      <c r="AU642" s="1279"/>
      <c r="AV642" s="1279"/>
      <c r="AW642" s="1279"/>
      <c r="AX642" s="1279"/>
      <c r="AY642" s="1279"/>
      <c r="AZ642" s="1279"/>
      <c r="BA642" s="1279"/>
      <c r="BB642" s="1279"/>
      <c r="BC642" s="1279"/>
      <c r="BD642" s="1279"/>
      <c r="BE642" s="1280"/>
    </row>
    <row r="643" spans="2:57" x14ac:dyDescent="0.25">
      <c r="B643" s="332"/>
      <c r="C643" s="333" t="s">
        <v>75</v>
      </c>
      <c r="D643" s="333"/>
      <c r="E643" s="333"/>
      <c r="F643" s="333"/>
      <c r="G643" s="1279">
        <v>0</v>
      </c>
      <c r="H643" s="1279">
        <f t="shared" ref="H643:AM643" si="213">G646</f>
        <v>0</v>
      </c>
      <c r="I643" s="1279">
        <f t="shared" si="213"/>
        <v>0</v>
      </c>
      <c r="J643" s="1279">
        <f t="shared" si="213"/>
        <v>0</v>
      </c>
      <c r="K643" s="1279">
        <f t="shared" si="213"/>
        <v>0</v>
      </c>
      <c r="L643" s="1279">
        <f t="shared" si="213"/>
        <v>0</v>
      </c>
      <c r="M643" s="1279">
        <f t="shared" si="213"/>
        <v>0</v>
      </c>
      <c r="N643" s="1279">
        <f t="shared" si="213"/>
        <v>0</v>
      </c>
      <c r="O643" s="1279">
        <f t="shared" si="213"/>
        <v>0</v>
      </c>
      <c r="P643" s="1279">
        <f t="shared" si="213"/>
        <v>0</v>
      </c>
      <c r="Q643" s="1279">
        <f t="shared" si="213"/>
        <v>0</v>
      </c>
      <c r="R643" s="1279">
        <f t="shared" si="213"/>
        <v>0</v>
      </c>
      <c r="S643" s="1279">
        <f t="shared" si="213"/>
        <v>0</v>
      </c>
      <c r="T643" s="1279">
        <f t="shared" si="213"/>
        <v>0</v>
      </c>
      <c r="U643" s="1279">
        <f t="shared" si="213"/>
        <v>0</v>
      </c>
      <c r="V643" s="1279">
        <f t="shared" si="213"/>
        <v>0</v>
      </c>
      <c r="W643" s="1279">
        <f t="shared" si="213"/>
        <v>0</v>
      </c>
      <c r="X643" s="1279">
        <f t="shared" si="213"/>
        <v>0</v>
      </c>
      <c r="Y643" s="1279">
        <f t="shared" si="213"/>
        <v>0</v>
      </c>
      <c r="Z643" s="1279">
        <f t="shared" si="213"/>
        <v>0</v>
      </c>
      <c r="AA643" s="1279">
        <f t="shared" si="213"/>
        <v>0</v>
      </c>
      <c r="AB643" s="1279">
        <f t="shared" si="213"/>
        <v>0</v>
      </c>
      <c r="AC643" s="1279">
        <f t="shared" si="213"/>
        <v>0</v>
      </c>
      <c r="AD643" s="1279">
        <f t="shared" si="213"/>
        <v>0</v>
      </c>
      <c r="AE643" s="1279">
        <f t="shared" si="213"/>
        <v>0</v>
      </c>
      <c r="AF643" s="1279">
        <f t="shared" si="213"/>
        <v>0</v>
      </c>
      <c r="AG643" s="1279">
        <f t="shared" si="213"/>
        <v>0</v>
      </c>
      <c r="AH643" s="1279">
        <f t="shared" si="213"/>
        <v>0</v>
      </c>
      <c r="AI643" s="1279">
        <f t="shared" si="213"/>
        <v>0</v>
      </c>
      <c r="AJ643" s="1279">
        <f t="shared" si="213"/>
        <v>0</v>
      </c>
      <c r="AK643" s="1279">
        <f t="shared" si="213"/>
        <v>0</v>
      </c>
      <c r="AL643" s="1279">
        <f t="shared" si="213"/>
        <v>0</v>
      </c>
      <c r="AM643" s="1279">
        <f t="shared" si="213"/>
        <v>0</v>
      </c>
      <c r="AN643" s="1279">
        <f t="shared" ref="AN643:BE643" si="214">AM646</f>
        <v>0</v>
      </c>
      <c r="AO643" s="1279">
        <f t="shared" si="214"/>
        <v>0</v>
      </c>
      <c r="AP643" s="1279">
        <f t="shared" si="214"/>
        <v>0</v>
      </c>
      <c r="AQ643" s="1279">
        <f t="shared" si="214"/>
        <v>0</v>
      </c>
      <c r="AR643" s="1279">
        <f t="shared" si="214"/>
        <v>0</v>
      </c>
      <c r="AS643" s="1279">
        <f t="shared" si="214"/>
        <v>0</v>
      </c>
      <c r="AT643" s="1279">
        <f t="shared" si="214"/>
        <v>0</v>
      </c>
      <c r="AU643" s="1279">
        <f t="shared" si="214"/>
        <v>0</v>
      </c>
      <c r="AV643" s="1279">
        <f t="shared" si="214"/>
        <v>0</v>
      </c>
      <c r="AW643" s="1279">
        <f t="shared" si="214"/>
        <v>0</v>
      </c>
      <c r="AX643" s="1279">
        <f t="shared" si="214"/>
        <v>0</v>
      </c>
      <c r="AY643" s="1279">
        <f t="shared" si="214"/>
        <v>0</v>
      </c>
      <c r="AZ643" s="1279">
        <f t="shared" si="214"/>
        <v>0</v>
      </c>
      <c r="BA643" s="1279">
        <f t="shared" si="214"/>
        <v>0</v>
      </c>
      <c r="BB643" s="1279">
        <f t="shared" si="214"/>
        <v>0</v>
      </c>
      <c r="BC643" s="1279">
        <f t="shared" si="214"/>
        <v>0</v>
      </c>
      <c r="BD643" s="1279">
        <f t="shared" si="214"/>
        <v>0</v>
      </c>
      <c r="BE643" s="1280">
        <f t="shared" si="214"/>
        <v>0</v>
      </c>
    </row>
    <row r="644" spans="2:57" x14ac:dyDescent="0.25">
      <c r="B644" s="332"/>
      <c r="C644" s="333" t="s">
        <v>76</v>
      </c>
      <c r="D644" s="333"/>
      <c r="E644" s="333"/>
      <c r="F644" s="333"/>
      <c r="G644" s="1279">
        <f>G631</f>
        <v>0</v>
      </c>
      <c r="H644" s="1279">
        <v>0</v>
      </c>
      <c r="I644" s="1279">
        <v>0</v>
      </c>
      <c r="J644" s="1279">
        <v>0</v>
      </c>
      <c r="K644" s="1279">
        <v>0</v>
      </c>
      <c r="L644" s="1279">
        <v>0</v>
      </c>
      <c r="M644" s="1279">
        <v>0</v>
      </c>
      <c r="N644" s="1279">
        <v>0</v>
      </c>
      <c r="O644" s="1279">
        <v>0</v>
      </c>
      <c r="P644" s="1279">
        <v>0</v>
      </c>
      <c r="Q644" s="1279">
        <v>0</v>
      </c>
      <c r="R644" s="1279">
        <v>0</v>
      </c>
      <c r="S644" s="1279">
        <v>0</v>
      </c>
      <c r="T644" s="1279">
        <v>0</v>
      </c>
      <c r="U644" s="1279">
        <v>0</v>
      </c>
      <c r="V644" s="1279">
        <v>0</v>
      </c>
      <c r="W644" s="1279">
        <v>0</v>
      </c>
      <c r="X644" s="1279">
        <v>0</v>
      </c>
      <c r="Y644" s="1279">
        <v>0</v>
      </c>
      <c r="Z644" s="1279">
        <v>0</v>
      </c>
      <c r="AA644" s="1279">
        <v>0</v>
      </c>
      <c r="AB644" s="1279">
        <v>0</v>
      </c>
      <c r="AC644" s="1279">
        <v>0</v>
      </c>
      <c r="AD644" s="1279">
        <v>0</v>
      </c>
      <c r="AE644" s="1279">
        <v>0</v>
      </c>
      <c r="AF644" s="1279">
        <v>0</v>
      </c>
      <c r="AG644" s="1279">
        <v>0</v>
      </c>
      <c r="AH644" s="1279">
        <v>0</v>
      </c>
      <c r="AI644" s="1279">
        <v>0</v>
      </c>
      <c r="AJ644" s="1279">
        <v>0</v>
      </c>
      <c r="AK644" s="1279">
        <v>0</v>
      </c>
      <c r="AL644" s="1279">
        <v>0</v>
      </c>
      <c r="AM644" s="1279">
        <v>0</v>
      </c>
      <c r="AN644" s="1279">
        <v>0</v>
      </c>
      <c r="AO644" s="1279">
        <v>0</v>
      </c>
      <c r="AP644" s="1279">
        <v>0</v>
      </c>
      <c r="AQ644" s="1279">
        <v>0</v>
      </c>
      <c r="AR644" s="1279">
        <v>0</v>
      </c>
      <c r="AS644" s="1279">
        <v>0</v>
      </c>
      <c r="AT644" s="1279">
        <v>0</v>
      </c>
      <c r="AU644" s="1279">
        <v>0</v>
      </c>
      <c r="AV644" s="1279">
        <v>0</v>
      </c>
      <c r="AW644" s="1279">
        <v>0</v>
      </c>
      <c r="AX644" s="1279">
        <v>0</v>
      </c>
      <c r="AY644" s="1279">
        <v>0</v>
      </c>
      <c r="AZ644" s="1279">
        <v>0</v>
      </c>
      <c r="BA644" s="1279">
        <v>0</v>
      </c>
      <c r="BB644" s="1279">
        <v>0</v>
      </c>
      <c r="BC644" s="1279">
        <v>0</v>
      </c>
      <c r="BD644" s="1279">
        <v>0</v>
      </c>
      <c r="BE644" s="1280">
        <v>0</v>
      </c>
    </row>
    <row r="645" spans="2:57" x14ac:dyDescent="0.25">
      <c r="B645" s="332"/>
      <c r="C645" s="340" t="s">
        <v>77</v>
      </c>
      <c r="D645" s="340"/>
      <c r="E645" s="340"/>
      <c r="F645" s="340"/>
      <c r="G645" s="1281">
        <v>0</v>
      </c>
      <c r="H645" s="1281">
        <f>-H639</f>
        <v>0</v>
      </c>
      <c r="I645" s="1281">
        <f t="shared" ref="I645:BE645" si="215">-I639</f>
        <v>0</v>
      </c>
      <c r="J645" s="1281">
        <f t="shared" si="215"/>
        <v>0</v>
      </c>
      <c r="K645" s="1281">
        <f t="shared" si="215"/>
        <v>0</v>
      </c>
      <c r="L645" s="1281">
        <f t="shared" si="215"/>
        <v>0</v>
      </c>
      <c r="M645" s="1281">
        <f t="shared" si="215"/>
        <v>0</v>
      </c>
      <c r="N645" s="1281">
        <f t="shared" si="215"/>
        <v>0</v>
      </c>
      <c r="O645" s="1281">
        <f t="shared" si="215"/>
        <v>0</v>
      </c>
      <c r="P645" s="1281">
        <f t="shared" si="215"/>
        <v>0</v>
      </c>
      <c r="Q645" s="1281">
        <f t="shared" si="215"/>
        <v>0</v>
      </c>
      <c r="R645" s="1281">
        <f t="shared" si="215"/>
        <v>0</v>
      </c>
      <c r="S645" s="1281">
        <f t="shared" si="215"/>
        <v>0</v>
      </c>
      <c r="T645" s="1281">
        <f t="shared" si="215"/>
        <v>0</v>
      </c>
      <c r="U645" s="1281">
        <f t="shared" si="215"/>
        <v>0</v>
      </c>
      <c r="V645" s="1281">
        <f t="shared" si="215"/>
        <v>0</v>
      </c>
      <c r="W645" s="1281">
        <f t="shared" si="215"/>
        <v>0</v>
      </c>
      <c r="X645" s="1281">
        <f t="shared" si="215"/>
        <v>0</v>
      </c>
      <c r="Y645" s="1281">
        <f t="shared" si="215"/>
        <v>0</v>
      </c>
      <c r="Z645" s="1281">
        <f t="shared" si="215"/>
        <v>0</v>
      </c>
      <c r="AA645" s="1281">
        <f t="shared" si="215"/>
        <v>0</v>
      </c>
      <c r="AB645" s="1281">
        <f t="shared" si="215"/>
        <v>0</v>
      </c>
      <c r="AC645" s="1281">
        <f t="shared" si="215"/>
        <v>0</v>
      </c>
      <c r="AD645" s="1281">
        <f t="shared" si="215"/>
        <v>0</v>
      </c>
      <c r="AE645" s="1281">
        <f t="shared" si="215"/>
        <v>0</v>
      </c>
      <c r="AF645" s="1281">
        <f t="shared" si="215"/>
        <v>0</v>
      </c>
      <c r="AG645" s="1281">
        <f t="shared" si="215"/>
        <v>0</v>
      </c>
      <c r="AH645" s="1281">
        <f t="shared" si="215"/>
        <v>0</v>
      </c>
      <c r="AI645" s="1281">
        <f t="shared" si="215"/>
        <v>0</v>
      </c>
      <c r="AJ645" s="1281">
        <f t="shared" si="215"/>
        <v>0</v>
      </c>
      <c r="AK645" s="1281">
        <f t="shared" si="215"/>
        <v>0</v>
      </c>
      <c r="AL645" s="1281">
        <f t="shared" si="215"/>
        <v>0</v>
      </c>
      <c r="AM645" s="1281">
        <f t="shared" si="215"/>
        <v>0</v>
      </c>
      <c r="AN645" s="1281">
        <f t="shared" si="215"/>
        <v>0</v>
      </c>
      <c r="AO645" s="1281">
        <f t="shared" si="215"/>
        <v>0</v>
      </c>
      <c r="AP645" s="1281">
        <f t="shared" si="215"/>
        <v>0</v>
      </c>
      <c r="AQ645" s="1281">
        <f t="shared" si="215"/>
        <v>0</v>
      </c>
      <c r="AR645" s="1281">
        <f t="shared" si="215"/>
        <v>0</v>
      </c>
      <c r="AS645" s="1281">
        <f t="shared" si="215"/>
        <v>0</v>
      </c>
      <c r="AT645" s="1281">
        <f t="shared" si="215"/>
        <v>0</v>
      </c>
      <c r="AU645" s="1281">
        <f t="shared" si="215"/>
        <v>0</v>
      </c>
      <c r="AV645" s="1281">
        <f t="shared" si="215"/>
        <v>0</v>
      </c>
      <c r="AW645" s="1281">
        <f t="shared" si="215"/>
        <v>0</v>
      </c>
      <c r="AX645" s="1281">
        <f t="shared" si="215"/>
        <v>0</v>
      </c>
      <c r="AY645" s="1281">
        <f t="shared" si="215"/>
        <v>0</v>
      </c>
      <c r="AZ645" s="1281">
        <f t="shared" si="215"/>
        <v>0</v>
      </c>
      <c r="BA645" s="1281">
        <f t="shared" si="215"/>
        <v>0</v>
      </c>
      <c r="BB645" s="1281">
        <f t="shared" si="215"/>
        <v>0</v>
      </c>
      <c r="BC645" s="1281">
        <f t="shared" si="215"/>
        <v>0</v>
      </c>
      <c r="BD645" s="1281">
        <f t="shared" si="215"/>
        <v>0</v>
      </c>
      <c r="BE645" s="1282">
        <f t="shared" si="215"/>
        <v>0</v>
      </c>
    </row>
    <row r="646" spans="2:57" x14ac:dyDescent="0.25">
      <c r="B646" s="332"/>
      <c r="C646" s="333" t="s">
        <v>66</v>
      </c>
      <c r="D646" s="333"/>
      <c r="E646" s="333"/>
      <c r="F646" s="333"/>
      <c r="G646" s="1279">
        <f>SUM(G643:G645)</f>
        <v>0</v>
      </c>
      <c r="H646" s="1279">
        <f>SUM(H643:H645)</f>
        <v>0</v>
      </c>
      <c r="I646" s="1279">
        <f t="shared" ref="I646:BE646" si="216">SUM(I643:I645)</f>
        <v>0</v>
      </c>
      <c r="J646" s="1279">
        <f t="shared" si="216"/>
        <v>0</v>
      </c>
      <c r="K646" s="1279">
        <f t="shared" si="216"/>
        <v>0</v>
      </c>
      <c r="L646" s="1279">
        <f t="shared" si="216"/>
        <v>0</v>
      </c>
      <c r="M646" s="1279">
        <f t="shared" si="216"/>
        <v>0</v>
      </c>
      <c r="N646" s="1279">
        <f t="shared" si="216"/>
        <v>0</v>
      </c>
      <c r="O646" s="1279">
        <f t="shared" si="216"/>
        <v>0</v>
      </c>
      <c r="P646" s="1279">
        <f t="shared" si="216"/>
        <v>0</v>
      </c>
      <c r="Q646" s="1279">
        <f t="shared" si="216"/>
        <v>0</v>
      </c>
      <c r="R646" s="1279">
        <f t="shared" si="216"/>
        <v>0</v>
      </c>
      <c r="S646" s="1279">
        <f t="shared" si="216"/>
        <v>0</v>
      </c>
      <c r="T646" s="1279">
        <f t="shared" si="216"/>
        <v>0</v>
      </c>
      <c r="U646" s="1279">
        <f t="shared" si="216"/>
        <v>0</v>
      </c>
      <c r="V646" s="1279">
        <f t="shared" si="216"/>
        <v>0</v>
      </c>
      <c r="W646" s="1279">
        <f t="shared" si="216"/>
        <v>0</v>
      </c>
      <c r="X646" s="1279">
        <f t="shared" si="216"/>
        <v>0</v>
      </c>
      <c r="Y646" s="1279">
        <f t="shared" si="216"/>
        <v>0</v>
      </c>
      <c r="Z646" s="1279">
        <f t="shared" si="216"/>
        <v>0</v>
      </c>
      <c r="AA646" s="1279">
        <f t="shared" si="216"/>
        <v>0</v>
      </c>
      <c r="AB646" s="1279">
        <f t="shared" si="216"/>
        <v>0</v>
      </c>
      <c r="AC646" s="1279">
        <f t="shared" si="216"/>
        <v>0</v>
      </c>
      <c r="AD646" s="1279">
        <f t="shared" si="216"/>
        <v>0</v>
      </c>
      <c r="AE646" s="1279">
        <f t="shared" si="216"/>
        <v>0</v>
      </c>
      <c r="AF646" s="1279">
        <f t="shared" si="216"/>
        <v>0</v>
      </c>
      <c r="AG646" s="1279">
        <f t="shared" si="216"/>
        <v>0</v>
      </c>
      <c r="AH646" s="1279">
        <f t="shared" si="216"/>
        <v>0</v>
      </c>
      <c r="AI646" s="1279">
        <f t="shared" si="216"/>
        <v>0</v>
      </c>
      <c r="AJ646" s="1279">
        <f t="shared" si="216"/>
        <v>0</v>
      </c>
      <c r="AK646" s="1279">
        <f t="shared" si="216"/>
        <v>0</v>
      </c>
      <c r="AL646" s="1279">
        <f t="shared" si="216"/>
        <v>0</v>
      </c>
      <c r="AM646" s="1279">
        <f t="shared" si="216"/>
        <v>0</v>
      </c>
      <c r="AN646" s="1279">
        <f t="shared" si="216"/>
        <v>0</v>
      </c>
      <c r="AO646" s="1279">
        <f t="shared" si="216"/>
        <v>0</v>
      </c>
      <c r="AP646" s="1279">
        <f t="shared" si="216"/>
        <v>0</v>
      </c>
      <c r="AQ646" s="1279">
        <f t="shared" si="216"/>
        <v>0</v>
      </c>
      <c r="AR646" s="1279">
        <f t="shared" si="216"/>
        <v>0</v>
      </c>
      <c r="AS646" s="1279">
        <f t="shared" si="216"/>
        <v>0</v>
      </c>
      <c r="AT646" s="1279">
        <f t="shared" si="216"/>
        <v>0</v>
      </c>
      <c r="AU646" s="1279">
        <f t="shared" si="216"/>
        <v>0</v>
      </c>
      <c r="AV646" s="1279">
        <f t="shared" si="216"/>
        <v>0</v>
      </c>
      <c r="AW646" s="1279">
        <f t="shared" si="216"/>
        <v>0</v>
      </c>
      <c r="AX646" s="1279">
        <f t="shared" si="216"/>
        <v>0</v>
      </c>
      <c r="AY646" s="1279">
        <f t="shared" si="216"/>
        <v>0</v>
      </c>
      <c r="AZ646" s="1279">
        <f t="shared" si="216"/>
        <v>0</v>
      </c>
      <c r="BA646" s="1279">
        <f t="shared" si="216"/>
        <v>0</v>
      </c>
      <c r="BB646" s="1279">
        <f t="shared" si="216"/>
        <v>0</v>
      </c>
      <c r="BC646" s="1279">
        <f t="shared" si="216"/>
        <v>0</v>
      </c>
      <c r="BD646" s="1279">
        <f t="shared" si="216"/>
        <v>0</v>
      </c>
      <c r="BE646" s="1280">
        <f t="shared" si="216"/>
        <v>0</v>
      </c>
    </row>
    <row r="647" spans="2:57" x14ac:dyDescent="0.25">
      <c r="B647" s="332"/>
      <c r="C647" s="333"/>
      <c r="D647" s="333"/>
      <c r="E647" s="333"/>
      <c r="F647" s="333"/>
      <c r="G647" s="1279"/>
      <c r="H647" s="1279"/>
      <c r="I647" s="1279"/>
      <c r="J647" s="1279"/>
      <c r="K647" s="1279"/>
      <c r="L647" s="1279"/>
      <c r="M647" s="1279"/>
      <c r="N647" s="1279"/>
      <c r="O647" s="1279"/>
      <c r="P647" s="1279"/>
      <c r="Q647" s="1279"/>
      <c r="R647" s="1279"/>
      <c r="S647" s="1279"/>
      <c r="T647" s="1279"/>
      <c r="U647" s="1279"/>
      <c r="V647" s="1279"/>
      <c r="W647" s="1279"/>
      <c r="X647" s="1279"/>
      <c r="Y647" s="1279"/>
      <c r="Z647" s="1279"/>
      <c r="AA647" s="1279"/>
      <c r="AB647" s="1279"/>
      <c r="AC647" s="1279"/>
      <c r="AD647" s="1279"/>
      <c r="AE647" s="1279"/>
      <c r="AF647" s="1279"/>
      <c r="AG647" s="1279"/>
      <c r="AH647" s="1279"/>
      <c r="AI647" s="1279"/>
      <c r="AJ647" s="1279"/>
      <c r="AK647" s="1279"/>
      <c r="AL647" s="1279"/>
      <c r="AM647" s="1279"/>
      <c r="AN647" s="1279"/>
      <c r="AO647" s="1279"/>
      <c r="AP647" s="1279"/>
      <c r="AQ647" s="1279"/>
      <c r="AR647" s="1279"/>
      <c r="AS647" s="1279"/>
      <c r="AT647" s="1279"/>
      <c r="AU647" s="1279"/>
      <c r="AV647" s="1279"/>
      <c r="AW647" s="1279"/>
      <c r="AX647" s="1279"/>
      <c r="AY647" s="1279"/>
      <c r="AZ647" s="1279"/>
      <c r="BA647" s="1279"/>
      <c r="BB647" s="1279"/>
      <c r="BC647" s="1279"/>
      <c r="BD647" s="1279"/>
      <c r="BE647" s="1280"/>
    </row>
    <row r="648" spans="2:57" x14ac:dyDescent="0.25">
      <c r="B648" s="332"/>
      <c r="C648" s="411" t="s">
        <v>71</v>
      </c>
      <c r="D648" s="333"/>
      <c r="E648" s="333"/>
      <c r="F648" s="333"/>
      <c r="G648" s="1279"/>
      <c r="H648" s="1279"/>
      <c r="I648" s="1279"/>
      <c r="J648" s="1279"/>
      <c r="K648" s="1279"/>
      <c r="L648" s="1279"/>
      <c r="M648" s="1279"/>
      <c r="N648" s="1279"/>
      <c r="O648" s="1279"/>
      <c r="P648" s="1279"/>
      <c r="Q648" s="1279"/>
      <c r="R648" s="1279"/>
      <c r="S648" s="1279"/>
      <c r="T648" s="1279"/>
      <c r="U648" s="1279"/>
      <c r="V648" s="1279"/>
      <c r="W648" s="1279"/>
      <c r="X648" s="1279"/>
      <c r="Y648" s="1279"/>
      <c r="Z648" s="1279"/>
      <c r="AA648" s="1279"/>
      <c r="AB648" s="1279"/>
      <c r="AC648" s="1279"/>
      <c r="AD648" s="1279"/>
      <c r="AE648" s="1279"/>
      <c r="AF648" s="1279"/>
      <c r="AG648" s="1279"/>
      <c r="AH648" s="1279"/>
      <c r="AI648" s="1279"/>
      <c r="AJ648" s="1279"/>
      <c r="AK648" s="1279"/>
      <c r="AL648" s="1279"/>
      <c r="AM648" s="1279"/>
      <c r="AN648" s="1279"/>
      <c r="AO648" s="1279"/>
      <c r="AP648" s="1279"/>
      <c r="AQ648" s="1279"/>
      <c r="AR648" s="1279"/>
      <c r="AS648" s="1279"/>
      <c r="AT648" s="1279"/>
      <c r="AU648" s="1279"/>
      <c r="AV648" s="1279"/>
      <c r="AW648" s="1279"/>
      <c r="AX648" s="1279"/>
      <c r="AY648" s="1279"/>
      <c r="AZ648" s="1279"/>
      <c r="BA648" s="1279"/>
      <c r="BB648" s="1279"/>
      <c r="BC648" s="1279"/>
      <c r="BD648" s="1279"/>
      <c r="BE648" s="1280"/>
    </row>
    <row r="649" spans="2:57" x14ac:dyDescent="0.25">
      <c r="B649" s="332"/>
      <c r="C649" s="333" t="s">
        <v>234</v>
      </c>
      <c r="D649" s="333"/>
      <c r="E649" s="333"/>
      <c r="F649" s="333"/>
      <c r="G649" s="1279"/>
      <c r="H649" s="1279">
        <f>IF($G631&gt;0, $G631*'II. Inputs, Baseline Energy Mix'!$R$74/10000,0)</f>
        <v>0</v>
      </c>
      <c r="I649" s="1279">
        <v>0</v>
      </c>
      <c r="J649" s="1279">
        <v>0</v>
      </c>
      <c r="K649" s="1279">
        <v>0</v>
      </c>
      <c r="L649" s="1279">
        <v>0</v>
      </c>
      <c r="M649" s="1279">
        <v>0</v>
      </c>
      <c r="N649" s="1279">
        <v>0</v>
      </c>
      <c r="O649" s="1279">
        <v>0</v>
      </c>
      <c r="P649" s="1279">
        <v>0</v>
      </c>
      <c r="Q649" s="1279">
        <v>0</v>
      </c>
      <c r="R649" s="1279">
        <v>0</v>
      </c>
      <c r="S649" s="1279">
        <v>0</v>
      </c>
      <c r="T649" s="1279">
        <v>0</v>
      </c>
      <c r="U649" s="1279">
        <v>0</v>
      </c>
      <c r="V649" s="1279">
        <v>0</v>
      </c>
      <c r="W649" s="1279">
        <v>0</v>
      </c>
      <c r="X649" s="1279">
        <v>0</v>
      </c>
      <c r="Y649" s="1279">
        <v>0</v>
      </c>
      <c r="Z649" s="1279">
        <v>0</v>
      </c>
      <c r="AA649" s="1279">
        <v>0</v>
      </c>
      <c r="AB649" s="1279">
        <v>0</v>
      </c>
      <c r="AC649" s="1279">
        <v>0</v>
      </c>
      <c r="AD649" s="1279">
        <v>0</v>
      </c>
      <c r="AE649" s="1279">
        <v>0</v>
      </c>
      <c r="AF649" s="1279">
        <v>0</v>
      </c>
      <c r="AG649" s="1279">
        <v>0</v>
      </c>
      <c r="AH649" s="1279">
        <v>0</v>
      </c>
      <c r="AI649" s="1279">
        <v>0</v>
      </c>
      <c r="AJ649" s="1279">
        <v>0</v>
      </c>
      <c r="AK649" s="1279">
        <v>0</v>
      </c>
      <c r="AL649" s="1279">
        <v>0</v>
      </c>
      <c r="AM649" s="1279">
        <v>0</v>
      </c>
      <c r="AN649" s="1279">
        <v>0</v>
      </c>
      <c r="AO649" s="1279">
        <v>0</v>
      </c>
      <c r="AP649" s="1279">
        <v>0</v>
      </c>
      <c r="AQ649" s="1279">
        <v>0</v>
      </c>
      <c r="AR649" s="1279">
        <v>0</v>
      </c>
      <c r="AS649" s="1279">
        <v>0</v>
      </c>
      <c r="AT649" s="1279">
        <v>0</v>
      </c>
      <c r="AU649" s="1279">
        <v>0</v>
      </c>
      <c r="AV649" s="1279">
        <v>0</v>
      </c>
      <c r="AW649" s="1279">
        <v>0</v>
      </c>
      <c r="AX649" s="1279">
        <v>0</v>
      </c>
      <c r="AY649" s="1279">
        <v>0</v>
      </c>
      <c r="AZ649" s="1279">
        <v>0</v>
      </c>
      <c r="BA649" s="1279">
        <v>0</v>
      </c>
      <c r="BB649" s="1279">
        <v>0</v>
      </c>
      <c r="BC649" s="1279">
        <v>0</v>
      </c>
      <c r="BD649" s="1279">
        <v>0</v>
      </c>
      <c r="BE649" s="1280">
        <v>0</v>
      </c>
    </row>
    <row r="650" spans="2:57" x14ac:dyDescent="0.25">
      <c r="B650" s="332"/>
      <c r="C650" s="333" t="str">
        <f>'II. Inputs, Baseline Energy Mix'!$E$77</f>
        <v>Front-end Fee, Public Guarantee</v>
      </c>
      <c r="D650" s="333"/>
      <c r="E650" s="333"/>
      <c r="F650" s="333"/>
      <c r="G650" s="1279"/>
      <c r="H650" s="1279">
        <f>IF($G631&gt;0, $G631*$G634*'II. Inputs, Baseline Energy Mix'!$R$77/10000,0)</f>
        <v>0</v>
      </c>
      <c r="I650" s="1279">
        <v>0</v>
      </c>
      <c r="J650" s="1279">
        <v>0</v>
      </c>
      <c r="K650" s="1279">
        <v>0</v>
      </c>
      <c r="L650" s="1279">
        <v>0</v>
      </c>
      <c r="M650" s="1279">
        <v>0</v>
      </c>
      <c r="N650" s="1279">
        <v>0</v>
      </c>
      <c r="O650" s="1279">
        <v>0</v>
      </c>
      <c r="P650" s="1279">
        <v>0</v>
      </c>
      <c r="Q650" s="1279">
        <v>0</v>
      </c>
      <c r="R650" s="1279">
        <v>0</v>
      </c>
      <c r="S650" s="1279">
        <v>0</v>
      </c>
      <c r="T650" s="1279">
        <v>0</v>
      </c>
      <c r="U650" s="1279">
        <v>0</v>
      </c>
      <c r="V650" s="1279">
        <v>0</v>
      </c>
      <c r="W650" s="1279">
        <v>0</v>
      </c>
      <c r="X650" s="1279">
        <v>0</v>
      </c>
      <c r="Y650" s="1279">
        <v>0</v>
      </c>
      <c r="Z650" s="1279">
        <v>0</v>
      </c>
      <c r="AA650" s="1279">
        <v>0</v>
      </c>
      <c r="AB650" s="1279">
        <v>0</v>
      </c>
      <c r="AC650" s="1279">
        <v>0</v>
      </c>
      <c r="AD650" s="1279">
        <v>0</v>
      </c>
      <c r="AE650" s="1279">
        <v>0</v>
      </c>
      <c r="AF650" s="1279">
        <v>0</v>
      </c>
      <c r="AG650" s="1279">
        <v>0</v>
      </c>
      <c r="AH650" s="1279">
        <v>0</v>
      </c>
      <c r="AI650" s="1279">
        <v>0</v>
      </c>
      <c r="AJ650" s="1279">
        <v>0</v>
      </c>
      <c r="AK650" s="1279">
        <v>0</v>
      </c>
      <c r="AL650" s="1279">
        <v>0</v>
      </c>
      <c r="AM650" s="1279">
        <v>0</v>
      </c>
      <c r="AN650" s="1279">
        <v>0</v>
      </c>
      <c r="AO650" s="1279">
        <v>0</v>
      </c>
      <c r="AP650" s="1279">
        <v>0</v>
      </c>
      <c r="AQ650" s="1279">
        <v>0</v>
      </c>
      <c r="AR650" s="1279">
        <v>0</v>
      </c>
      <c r="AS650" s="1279">
        <v>0</v>
      </c>
      <c r="AT650" s="1279">
        <v>0</v>
      </c>
      <c r="AU650" s="1279">
        <v>0</v>
      </c>
      <c r="AV650" s="1279">
        <v>0</v>
      </c>
      <c r="AW650" s="1279">
        <v>0</v>
      </c>
      <c r="AX650" s="1279">
        <v>0</v>
      </c>
      <c r="AY650" s="1279">
        <v>0</v>
      </c>
      <c r="AZ650" s="1279">
        <v>0</v>
      </c>
      <c r="BA650" s="1279">
        <v>0</v>
      </c>
      <c r="BB650" s="1279">
        <v>0</v>
      </c>
      <c r="BC650" s="1279">
        <v>0</v>
      </c>
      <c r="BD650" s="1279">
        <v>0</v>
      </c>
      <c r="BE650" s="1280">
        <v>0</v>
      </c>
    </row>
    <row r="651" spans="2:57" x14ac:dyDescent="0.25">
      <c r="B651" s="332"/>
      <c r="C651" s="333" t="str">
        <f>'II. Inputs, Baseline Energy Mix'!$E$78</f>
        <v xml:space="preserve">Annual Public Guarantee Fee </v>
      </c>
      <c r="D651" s="333"/>
      <c r="E651" s="333"/>
      <c r="F651" s="333"/>
      <c r="G651" s="1279"/>
      <c r="H651" s="1279">
        <f>IF(H$299&gt;$G635,0,((H643+H646)/2)*$G634*'II. Inputs, Baseline Energy Mix'!$R$78/10000)</f>
        <v>0</v>
      </c>
      <c r="I651" s="1279">
        <f>IF(I$299&gt;$G635,0,((I643+I646)/2)*$G634*'II. Inputs, Baseline Energy Mix'!$R$78/10000)</f>
        <v>0</v>
      </c>
      <c r="J651" s="1279">
        <f>IF(J$299&gt;$G635,0,((J643+J646)/2)*$G634*'II. Inputs, Baseline Energy Mix'!$R$78/10000)</f>
        <v>0</v>
      </c>
      <c r="K651" s="1279">
        <f>IF(K$299&gt;$G635,0,((K643+K646)/2)*$G634*'II. Inputs, Baseline Energy Mix'!$R$78/10000)</f>
        <v>0</v>
      </c>
      <c r="L651" s="1279">
        <f>IF(L$299&gt;$G635,0,((L643+L646)/2)*$G634*'II. Inputs, Baseline Energy Mix'!$R$78/10000)</f>
        <v>0</v>
      </c>
      <c r="M651" s="1279">
        <f>IF(M$299&gt;$G635,0,((M643+M646)/2)*$G634*'II. Inputs, Baseline Energy Mix'!$R$78/10000)</f>
        <v>0</v>
      </c>
      <c r="N651" s="1279">
        <f>IF(N$299&gt;$G635,0,((N643+N646)/2)*$G634*'II. Inputs, Baseline Energy Mix'!$R$78/10000)</f>
        <v>0</v>
      </c>
      <c r="O651" s="1279">
        <f>IF(O$299&gt;$G635,0,((O643+O646)/2)*$G634*'II. Inputs, Baseline Energy Mix'!$R$78/10000)</f>
        <v>0</v>
      </c>
      <c r="P651" s="1279">
        <f>IF(P$299&gt;$G635,0,((P643+P646)/2)*$G634*'II. Inputs, Baseline Energy Mix'!$R$78/10000)</f>
        <v>0</v>
      </c>
      <c r="Q651" s="1279">
        <f>IF(Q$299&gt;$G635,0,((Q643+Q646)/2)*$G634*'II. Inputs, Baseline Energy Mix'!$R$78/10000)</f>
        <v>0</v>
      </c>
      <c r="R651" s="1279">
        <f>IF(R$299&gt;$G635,0,((R643+R646)/2)*$G634*'II. Inputs, Baseline Energy Mix'!$R$78/10000)</f>
        <v>0</v>
      </c>
      <c r="S651" s="1279">
        <f>IF(S$299&gt;$G635,0,((S643+S646)/2)*$G634*'II. Inputs, Baseline Energy Mix'!$R$78/10000)</f>
        <v>0</v>
      </c>
      <c r="T651" s="1279">
        <f>IF(T$299&gt;$G635,0,((T643+T646)/2)*$G634*'II. Inputs, Baseline Energy Mix'!$R$78/10000)</f>
        <v>0</v>
      </c>
      <c r="U651" s="1279">
        <f>IF(U$299&gt;$G635,0,((U643+U646)/2)*$G634*'II. Inputs, Baseline Energy Mix'!$R$78/10000)</f>
        <v>0</v>
      </c>
      <c r="V651" s="1279">
        <f>IF(V$299&gt;$G635,0,((V643+V646)/2)*$G634*'II. Inputs, Baseline Energy Mix'!$R$78/10000)</f>
        <v>0</v>
      </c>
      <c r="W651" s="1279">
        <f>IF(W$299&gt;$G635,0,((W643+W646)/2)*$G634*'II. Inputs, Baseline Energy Mix'!$R$78/10000)</f>
        <v>0</v>
      </c>
      <c r="X651" s="1279">
        <f>IF(X$299&gt;$G635,0,((X643+X646)/2)*$G634*'II. Inputs, Baseline Energy Mix'!$R$78/10000)</f>
        <v>0</v>
      </c>
      <c r="Y651" s="1279">
        <f>IF(Y$299&gt;$G635,0,((Y643+Y646)/2)*$G634*'II. Inputs, Baseline Energy Mix'!$R$78/10000)</f>
        <v>0</v>
      </c>
      <c r="Z651" s="1279">
        <f>IF(Z$299&gt;$G635,0,((Z643+Z646)/2)*$G634*'II. Inputs, Baseline Energy Mix'!$R$78/10000)</f>
        <v>0</v>
      </c>
      <c r="AA651" s="1279">
        <f>IF(AA$299&gt;$G635,0,((AA643+AA646)/2)*$G634*'II. Inputs, Baseline Energy Mix'!$R$78/10000)</f>
        <v>0</v>
      </c>
      <c r="AB651" s="1279">
        <f>IF(AB$299&gt;$G635,0,((AB643+AB646)/2)*$G634*'II. Inputs, Baseline Energy Mix'!$R$78/10000)</f>
        <v>0</v>
      </c>
      <c r="AC651" s="1279">
        <f>IF(AC$299&gt;$G635,0,((AC643+AC646)/2)*$G634*'II. Inputs, Baseline Energy Mix'!$R$78/10000)</f>
        <v>0</v>
      </c>
      <c r="AD651" s="1279">
        <f>IF(AD$299&gt;$G635,0,((AD643+AD646)/2)*$G634*'II. Inputs, Baseline Energy Mix'!$R$78/10000)</f>
        <v>0</v>
      </c>
      <c r="AE651" s="1279">
        <f>IF(AE$299&gt;$G635,0,((AE643+AE646)/2)*$G634*'II. Inputs, Baseline Energy Mix'!$R$78/10000)</f>
        <v>0</v>
      </c>
      <c r="AF651" s="1279">
        <f>IF(AF$299&gt;$G635,0,((AF643+AF646)/2)*$G634*'II. Inputs, Baseline Energy Mix'!$R$78/10000)</f>
        <v>0</v>
      </c>
      <c r="AG651" s="1279">
        <f>IF(AG$299&gt;$G635,0,((AG643+AG646)/2)*$G634*'II. Inputs, Baseline Energy Mix'!$R$78/10000)</f>
        <v>0</v>
      </c>
      <c r="AH651" s="1279">
        <f>IF(AH$299&gt;$G635,0,((AH643+AH646)/2)*$G634*'II. Inputs, Baseline Energy Mix'!$R$78/10000)</f>
        <v>0</v>
      </c>
      <c r="AI651" s="1279">
        <f>IF(AI$299&gt;$G635,0,((AI643+AI646)/2)*$G634*'II. Inputs, Baseline Energy Mix'!$R$78/10000)</f>
        <v>0</v>
      </c>
      <c r="AJ651" s="1279">
        <f>IF(AJ$299&gt;$G635,0,((AJ643+AJ646)/2)*$G634*'II. Inputs, Baseline Energy Mix'!$R$78/10000)</f>
        <v>0</v>
      </c>
      <c r="AK651" s="1279">
        <f>IF(AK$299&gt;$G635,0,((AK643+AK646)/2)*$G634*'II. Inputs, Baseline Energy Mix'!$R$78/10000)</f>
        <v>0</v>
      </c>
      <c r="AL651" s="1279">
        <f>IF(AL$299&gt;$G635,0,((AL643+AL646)/2)*$G634*'II. Inputs, Baseline Energy Mix'!$R$78/10000)</f>
        <v>0</v>
      </c>
      <c r="AM651" s="1279">
        <f>IF(AM$299&gt;$G635,0,((AM643+AM646)/2)*$G634*'II. Inputs, Baseline Energy Mix'!$R$78/10000)</f>
        <v>0</v>
      </c>
      <c r="AN651" s="1279">
        <f>IF(AN$299&gt;$G635,0,((AN643+AN646)/2)*$G634*'II. Inputs, Baseline Energy Mix'!$R$78/10000)</f>
        <v>0</v>
      </c>
      <c r="AO651" s="1279">
        <f>IF(AO$299&gt;$G635,0,((AO643+AO646)/2)*$G634*'II. Inputs, Baseline Energy Mix'!$R$78/10000)</f>
        <v>0</v>
      </c>
      <c r="AP651" s="1279">
        <f>IF(AP$299&gt;$G635,0,((AP643+AP646)/2)*$G634*'II. Inputs, Baseline Energy Mix'!$R$78/10000)</f>
        <v>0</v>
      </c>
      <c r="AQ651" s="1279">
        <f>IF(AQ$299&gt;$G635,0,((AQ643+AQ646)/2)*$G634*'II. Inputs, Baseline Energy Mix'!$R$78/10000)</f>
        <v>0</v>
      </c>
      <c r="AR651" s="1279">
        <f>IF(AR$299&gt;$G635,0,((AR643+AR646)/2)*$G634*'II. Inputs, Baseline Energy Mix'!$R$78/10000)</f>
        <v>0</v>
      </c>
      <c r="AS651" s="1279">
        <f>IF(AS$299&gt;$G635,0,((AS643+AS646)/2)*$G634*'II. Inputs, Baseline Energy Mix'!$R$78/10000)</f>
        <v>0</v>
      </c>
      <c r="AT651" s="1279">
        <f>IF(AT$299&gt;$G635,0,((AT643+AT646)/2)*$G634*'II. Inputs, Baseline Energy Mix'!$R$78/10000)</f>
        <v>0</v>
      </c>
      <c r="AU651" s="1279">
        <f>IF(AU$299&gt;$G635,0,((AU643+AU646)/2)*$G634*'II. Inputs, Baseline Energy Mix'!$R$78/10000)</f>
        <v>0</v>
      </c>
      <c r="AV651" s="1279">
        <f>IF(AV$299&gt;$G635,0,((AV643+AV646)/2)*$G634*'II. Inputs, Baseline Energy Mix'!$R$78/10000)</f>
        <v>0</v>
      </c>
      <c r="AW651" s="1279">
        <f>IF(AW$299&gt;$G635,0,((AW643+AW646)/2)*$G634*'II. Inputs, Baseline Energy Mix'!$R$78/10000)</f>
        <v>0</v>
      </c>
      <c r="AX651" s="1279">
        <f>IF(AX$299&gt;$G635,0,((AX643+AX646)/2)*$G634*'II. Inputs, Baseline Energy Mix'!$R$78/10000)</f>
        <v>0</v>
      </c>
      <c r="AY651" s="1279">
        <f>IF(AY$299&gt;$G635,0,((AY643+AY646)/2)*$G634*'II. Inputs, Baseline Energy Mix'!$R$78/10000)</f>
        <v>0</v>
      </c>
      <c r="AZ651" s="1279">
        <f>IF(AZ$299&gt;$G635,0,((AZ643+AZ646)/2)*$G634*'II. Inputs, Baseline Energy Mix'!$R$78/10000)</f>
        <v>0</v>
      </c>
      <c r="BA651" s="1279">
        <f>IF(BA$299&gt;$G635,0,((BA643+BA646)/2)*$G634*'II. Inputs, Baseline Energy Mix'!$R$78/10000)</f>
        <v>0</v>
      </c>
      <c r="BB651" s="1279">
        <f>IF(BB$299&gt;$G635,0,((BB643+BB646)/2)*$G634*'II. Inputs, Baseline Energy Mix'!$R$78/10000)</f>
        <v>0</v>
      </c>
      <c r="BC651" s="1279">
        <f>IF(BC$299&gt;$G635,0,((BC643+BC646)/2)*$G634*'II. Inputs, Baseline Energy Mix'!$R$78/10000)</f>
        <v>0</v>
      </c>
      <c r="BD651" s="1279">
        <f>IF(BD$299&gt;$G635,0,((BD643+BD646)/2)*$G634*'II. Inputs, Baseline Energy Mix'!$R$78/10000)</f>
        <v>0</v>
      </c>
      <c r="BE651" s="1280">
        <f>IF(BE$299&gt;$G635,0,((BE643+BE646)/2)*$G634*'II. Inputs, Baseline Energy Mix'!$R$78/10000)</f>
        <v>0</v>
      </c>
    </row>
    <row r="652" spans="2:57" x14ac:dyDescent="0.25">
      <c r="B652" s="332"/>
      <c r="C652" s="333"/>
      <c r="D652" s="333"/>
      <c r="E652" s="333"/>
      <c r="F652" s="333"/>
      <c r="G652" s="333"/>
      <c r="H652" s="333"/>
      <c r="I652" s="333"/>
      <c r="J652" s="333"/>
      <c r="K652" s="333"/>
      <c r="L652" s="333"/>
      <c r="M652" s="333"/>
      <c r="N652" s="333"/>
      <c r="O652" s="333"/>
      <c r="P652" s="333"/>
      <c r="Q652" s="333"/>
      <c r="R652" s="333"/>
      <c r="S652" s="333"/>
      <c r="T652" s="333"/>
      <c r="U652" s="333"/>
      <c r="V652" s="333"/>
      <c r="W652" s="333"/>
      <c r="X652" s="333"/>
      <c r="Y652" s="333"/>
      <c r="Z652" s="333"/>
      <c r="AA652" s="333"/>
      <c r="AB652" s="333"/>
      <c r="AC652" s="333"/>
      <c r="AD652" s="333"/>
      <c r="AE652" s="333"/>
      <c r="AF652" s="333"/>
      <c r="AG652" s="333"/>
      <c r="AH652" s="333"/>
      <c r="AI652" s="333"/>
      <c r="AJ652" s="333"/>
      <c r="AK652" s="333"/>
      <c r="AL652" s="333"/>
      <c r="AM652" s="333"/>
      <c r="AN652" s="333"/>
      <c r="AO652" s="333"/>
      <c r="AP652" s="333"/>
      <c r="AQ652" s="333"/>
      <c r="AR652" s="333"/>
      <c r="AS652" s="333"/>
      <c r="AT652" s="333"/>
      <c r="AU652" s="333"/>
      <c r="AV652" s="333"/>
      <c r="AW652" s="333"/>
      <c r="AX652" s="333"/>
      <c r="AY652" s="333"/>
      <c r="AZ652" s="333"/>
      <c r="BA652" s="333"/>
      <c r="BB652" s="333"/>
      <c r="BC652" s="333"/>
      <c r="BD652" s="333"/>
      <c r="BE652" s="334"/>
    </row>
    <row r="653" spans="2:57" x14ac:dyDescent="0.25">
      <c r="B653" s="344" t="s">
        <v>181</v>
      </c>
      <c r="C653" s="333"/>
      <c r="D653" s="333"/>
      <c r="E653" s="333"/>
      <c r="F653" s="333"/>
      <c r="G653" s="333"/>
      <c r="H653" s="333"/>
      <c r="I653" s="333"/>
      <c r="J653" s="333"/>
      <c r="K653" s="333"/>
      <c r="L653" s="333"/>
      <c r="M653" s="333"/>
      <c r="N653" s="333"/>
      <c r="O653" s="333"/>
      <c r="P653" s="333"/>
      <c r="Q653" s="333"/>
      <c r="R653" s="333"/>
      <c r="S653" s="333"/>
      <c r="T653" s="333"/>
      <c r="U653" s="333"/>
      <c r="V653" s="333"/>
      <c r="W653" s="333"/>
      <c r="X653" s="333"/>
      <c r="Y653" s="333"/>
      <c r="Z653" s="333"/>
      <c r="AA653" s="333"/>
      <c r="AB653" s="333"/>
      <c r="AC653" s="333"/>
      <c r="AD653" s="333"/>
      <c r="AE653" s="333"/>
      <c r="AF653" s="333"/>
      <c r="AG653" s="333"/>
      <c r="AH653" s="333"/>
      <c r="AI653" s="333"/>
      <c r="AJ653" s="333"/>
      <c r="AK653" s="333"/>
      <c r="AL653" s="333"/>
      <c r="AM653" s="333"/>
      <c r="AN653" s="333"/>
      <c r="AO653" s="333"/>
      <c r="AP653" s="333"/>
      <c r="AQ653" s="333"/>
      <c r="AR653" s="333"/>
      <c r="AS653" s="333"/>
      <c r="AT653" s="333"/>
      <c r="AU653" s="333"/>
      <c r="AV653" s="333"/>
      <c r="AW653" s="333"/>
      <c r="AX653" s="333"/>
      <c r="AY653" s="333"/>
      <c r="AZ653" s="333"/>
      <c r="BA653" s="333"/>
      <c r="BB653" s="333"/>
      <c r="BC653" s="333"/>
      <c r="BD653" s="333"/>
      <c r="BE653" s="334"/>
    </row>
    <row r="654" spans="2:57" x14ac:dyDescent="0.25">
      <c r="B654" s="332"/>
      <c r="C654" s="408" t="s">
        <v>68</v>
      </c>
      <c r="D654" s="333"/>
      <c r="E654" s="333"/>
      <c r="F654" s="333"/>
      <c r="G654" s="1279">
        <f>IF('II. Inputs, Baseline Energy Mix'!$R$15&gt;0,('II. Inputs, Baseline Energy Mix'!$R$16*'II. Inputs, Baseline Energy Mix'!$R$17*'II. Inputs, Baseline Energy Mix'!$R$30*'II. Inputs, Baseline Energy Mix'!$R$34),0)</f>
        <v>0</v>
      </c>
      <c r="H654" s="333"/>
      <c r="I654" s="333"/>
      <c r="J654" s="333"/>
      <c r="K654" s="333"/>
      <c r="L654" s="333"/>
      <c r="M654" s="333"/>
      <c r="N654" s="333"/>
      <c r="O654" s="333"/>
      <c r="P654" s="333"/>
      <c r="Q654" s="333"/>
      <c r="R654" s="333"/>
      <c r="S654" s="333"/>
      <c r="T654" s="333"/>
      <c r="U654" s="333"/>
      <c r="V654" s="333"/>
      <c r="W654" s="333"/>
      <c r="X654" s="333"/>
      <c r="Y654" s="333"/>
      <c r="Z654" s="333"/>
      <c r="AA654" s="333"/>
      <c r="AB654" s="333"/>
      <c r="AC654" s="333"/>
      <c r="AD654" s="333"/>
      <c r="AE654" s="333"/>
      <c r="AF654" s="333"/>
      <c r="AG654" s="333"/>
      <c r="AH654" s="333"/>
      <c r="AI654" s="333"/>
      <c r="AJ654" s="333"/>
      <c r="AK654" s="333"/>
      <c r="AL654" s="333"/>
      <c r="AM654" s="333"/>
      <c r="AN654" s="333"/>
      <c r="AO654" s="333"/>
      <c r="AP654" s="333"/>
      <c r="AQ654" s="333"/>
      <c r="AR654" s="333"/>
      <c r="AS654" s="333"/>
      <c r="AT654" s="333"/>
      <c r="AU654" s="333"/>
      <c r="AV654" s="333"/>
      <c r="AW654" s="333"/>
      <c r="AX654" s="333"/>
      <c r="AY654" s="333"/>
      <c r="AZ654" s="333"/>
      <c r="BA654" s="333"/>
      <c r="BB654" s="333"/>
      <c r="BC654" s="333"/>
      <c r="BD654" s="333"/>
      <c r="BE654" s="334"/>
    </row>
    <row r="655" spans="2:57" x14ac:dyDescent="0.25">
      <c r="B655" s="332"/>
      <c r="C655" s="408" t="s">
        <v>69</v>
      </c>
      <c r="D655" s="333"/>
      <c r="E655" s="333"/>
      <c r="F655" s="333"/>
      <c r="G655" s="335">
        <f>SUM('II. Inputs, Baseline Energy Mix'!$R$46)</f>
        <v>0</v>
      </c>
      <c r="H655" s="333"/>
      <c r="I655" s="333"/>
      <c r="J655" s="333"/>
      <c r="K655" s="333"/>
      <c r="L655" s="333"/>
      <c r="M655" s="333"/>
      <c r="N655" s="333"/>
      <c r="O655" s="333"/>
      <c r="P655" s="333"/>
      <c r="Q655" s="333"/>
      <c r="R655" s="333"/>
      <c r="S655" s="333"/>
      <c r="T655" s="333"/>
      <c r="U655" s="333"/>
      <c r="V655" s="333"/>
      <c r="W655" s="333"/>
      <c r="X655" s="333"/>
      <c r="Y655" s="333"/>
      <c r="Z655" s="333"/>
      <c r="AA655" s="333"/>
      <c r="AB655" s="333"/>
      <c r="AC655" s="333"/>
      <c r="AD655" s="333"/>
      <c r="AE655" s="333"/>
      <c r="AF655" s="333"/>
      <c r="AG655" s="333"/>
      <c r="AH655" s="333"/>
      <c r="AI655" s="333"/>
      <c r="AJ655" s="333"/>
      <c r="AK655" s="333"/>
      <c r="AL655" s="333"/>
      <c r="AM655" s="333"/>
      <c r="AN655" s="333"/>
      <c r="AO655" s="333"/>
      <c r="AP655" s="333"/>
      <c r="AQ655" s="333"/>
      <c r="AR655" s="333"/>
      <c r="AS655" s="333"/>
      <c r="AT655" s="333"/>
      <c r="AU655" s="333"/>
      <c r="AV655" s="333"/>
      <c r="AW655" s="333"/>
      <c r="AX655" s="333"/>
      <c r="AY655" s="333"/>
      <c r="AZ655" s="333"/>
      <c r="BA655" s="333"/>
      <c r="BB655" s="333"/>
      <c r="BC655" s="333"/>
      <c r="BD655" s="333"/>
      <c r="BE655" s="334"/>
    </row>
    <row r="656" spans="2:57" x14ac:dyDescent="0.25">
      <c r="B656" s="332"/>
      <c r="C656" s="408" t="s">
        <v>70</v>
      </c>
      <c r="D656" s="333"/>
      <c r="E656" s="333"/>
      <c r="F656" s="333"/>
      <c r="G656" s="412">
        <f>SUM('II. Inputs, Baseline Energy Mix'!$R$41)</f>
        <v>0</v>
      </c>
      <c r="H656" s="333"/>
      <c r="I656" s="333"/>
      <c r="J656" s="333"/>
      <c r="K656" s="333"/>
      <c r="L656" s="333"/>
      <c r="M656" s="333"/>
      <c r="N656" s="333"/>
      <c r="O656" s="333"/>
      <c r="P656" s="333"/>
      <c r="Q656" s="333"/>
      <c r="R656" s="333"/>
      <c r="S656" s="333"/>
      <c r="T656" s="333"/>
      <c r="U656" s="333"/>
      <c r="V656" s="333"/>
      <c r="W656" s="333"/>
      <c r="X656" s="333"/>
      <c r="Y656" s="333"/>
      <c r="Z656" s="333"/>
      <c r="AA656" s="333"/>
      <c r="AB656" s="333"/>
      <c r="AC656" s="333"/>
      <c r="AD656" s="333"/>
      <c r="AE656" s="333"/>
      <c r="AF656" s="333"/>
      <c r="AG656" s="333"/>
      <c r="AH656" s="333"/>
      <c r="AI656" s="333"/>
      <c r="AJ656" s="333"/>
      <c r="AK656" s="333"/>
      <c r="AL656" s="333"/>
      <c r="AM656" s="333"/>
      <c r="AN656" s="333"/>
      <c r="AO656" s="333"/>
      <c r="AP656" s="333"/>
      <c r="AQ656" s="333"/>
      <c r="AR656" s="333"/>
      <c r="AS656" s="333"/>
      <c r="AT656" s="333"/>
      <c r="AU656" s="333"/>
      <c r="AV656" s="333"/>
      <c r="AW656" s="333"/>
      <c r="AX656" s="333"/>
      <c r="AY656" s="333"/>
      <c r="AZ656" s="333"/>
      <c r="BA656" s="333"/>
      <c r="BB656" s="333"/>
      <c r="BC656" s="333"/>
      <c r="BD656" s="333"/>
      <c r="BE656" s="334"/>
    </row>
    <row r="657" spans="2:57" x14ac:dyDescent="0.25">
      <c r="B657" s="332"/>
      <c r="C657" s="333"/>
      <c r="D657" s="333"/>
      <c r="E657" s="333"/>
      <c r="F657" s="333"/>
      <c r="G657" s="333"/>
      <c r="H657" s="333"/>
      <c r="I657" s="333"/>
      <c r="J657" s="333"/>
      <c r="K657" s="333"/>
      <c r="L657" s="333"/>
      <c r="M657" s="333"/>
      <c r="N657" s="333"/>
      <c r="O657" s="333"/>
      <c r="P657" s="333"/>
      <c r="Q657" s="333"/>
      <c r="R657" s="333"/>
      <c r="S657" s="333"/>
      <c r="T657" s="333"/>
      <c r="U657" s="333"/>
      <c r="V657" s="333"/>
      <c r="W657" s="333"/>
      <c r="X657" s="333"/>
      <c r="Y657" s="333"/>
      <c r="Z657" s="333"/>
      <c r="AA657" s="333"/>
      <c r="AB657" s="333"/>
      <c r="AC657" s="333"/>
      <c r="AD657" s="333"/>
      <c r="AE657" s="333"/>
      <c r="AF657" s="333"/>
      <c r="AG657" s="333"/>
      <c r="AH657" s="333"/>
      <c r="AI657" s="333"/>
      <c r="AJ657" s="333"/>
      <c r="AK657" s="333"/>
      <c r="AL657" s="333"/>
      <c r="AM657" s="333"/>
      <c r="AN657" s="333"/>
      <c r="AO657" s="333"/>
      <c r="AP657" s="333"/>
      <c r="AQ657" s="333"/>
      <c r="AR657" s="333"/>
      <c r="AS657" s="333"/>
      <c r="AT657" s="333"/>
      <c r="AU657" s="333"/>
      <c r="AV657" s="333"/>
      <c r="AW657" s="333"/>
      <c r="AX657" s="333"/>
      <c r="AY657" s="333"/>
      <c r="AZ657" s="333"/>
      <c r="BA657" s="333"/>
      <c r="BB657" s="333"/>
      <c r="BC657" s="333"/>
      <c r="BD657" s="333"/>
      <c r="BE657" s="334"/>
    </row>
    <row r="658" spans="2:57" x14ac:dyDescent="0.25">
      <c r="B658" s="332"/>
      <c r="C658" s="410" t="s">
        <v>67</v>
      </c>
      <c r="D658" s="333"/>
      <c r="E658" s="333"/>
      <c r="F658" s="333"/>
      <c r="G658" s="333"/>
      <c r="H658" s="333"/>
      <c r="I658" s="333"/>
      <c r="J658" s="333"/>
      <c r="K658" s="333"/>
      <c r="L658" s="333"/>
      <c r="M658" s="333"/>
      <c r="N658" s="333"/>
      <c r="O658" s="333"/>
      <c r="P658" s="333"/>
      <c r="Q658" s="333"/>
      <c r="R658" s="333"/>
      <c r="S658" s="333"/>
      <c r="T658" s="333"/>
      <c r="U658" s="333"/>
      <c r="V658" s="333"/>
      <c r="W658" s="333"/>
      <c r="X658" s="333"/>
      <c r="Y658" s="333"/>
      <c r="Z658" s="333"/>
      <c r="AA658" s="333"/>
      <c r="AB658" s="333"/>
      <c r="AC658" s="333"/>
      <c r="AD658" s="333"/>
      <c r="AE658" s="333"/>
      <c r="AF658" s="333"/>
      <c r="AG658" s="333"/>
      <c r="AH658" s="333"/>
      <c r="AI658" s="333"/>
      <c r="AJ658" s="333"/>
      <c r="AK658" s="333"/>
      <c r="AL658" s="333"/>
      <c r="AM658" s="333"/>
      <c r="AN658" s="333"/>
      <c r="AO658" s="333"/>
      <c r="AP658" s="333"/>
      <c r="AQ658" s="333"/>
      <c r="AR658" s="333"/>
      <c r="AS658" s="333"/>
      <c r="AT658" s="333"/>
      <c r="AU658" s="333"/>
      <c r="AV658" s="333"/>
      <c r="AW658" s="333"/>
      <c r="AX658" s="333"/>
      <c r="AY658" s="333"/>
      <c r="AZ658" s="333"/>
      <c r="BA658" s="333"/>
      <c r="BB658" s="333"/>
      <c r="BC658" s="333"/>
      <c r="BD658" s="333"/>
      <c r="BE658" s="334"/>
    </row>
    <row r="659" spans="2:57" x14ac:dyDescent="0.25">
      <c r="B659" s="332"/>
      <c r="C659" s="333" t="s">
        <v>73</v>
      </c>
      <c r="D659" s="333"/>
      <c r="E659" s="333"/>
      <c r="F659" s="333"/>
      <c r="G659" s="1279"/>
      <c r="H659" s="1279">
        <f>IF(H$299&gt;$G655,0,IPMT($G656,H$299,$G655,-$G654))</f>
        <v>0</v>
      </c>
      <c r="I659" s="1279">
        <f t="shared" ref="I659:BE659" si="217">IF(I$299&gt;$G655,0,IPMT($G656,I$299,$G655,-$G654))</f>
        <v>0</v>
      </c>
      <c r="J659" s="1279">
        <f t="shared" si="217"/>
        <v>0</v>
      </c>
      <c r="K659" s="1279">
        <f t="shared" si="217"/>
        <v>0</v>
      </c>
      <c r="L659" s="1279">
        <f t="shared" si="217"/>
        <v>0</v>
      </c>
      <c r="M659" s="1279">
        <f t="shared" si="217"/>
        <v>0</v>
      </c>
      <c r="N659" s="1279">
        <f t="shared" si="217"/>
        <v>0</v>
      </c>
      <c r="O659" s="1279">
        <f t="shared" si="217"/>
        <v>0</v>
      </c>
      <c r="P659" s="1279">
        <f t="shared" si="217"/>
        <v>0</v>
      </c>
      <c r="Q659" s="1279">
        <f t="shared" si="217"/>
        <v>0</v>
      </c>
      <c r="R659" s="1279">
        <f t="shared" si="217"/>
        <v>0</v>
      </c>
      <c r="S659" s="1279">
        <f t="shared" si="217"/>
        <v>0</v>
      </c>
      <c r="T659" s="1279">
        <f t="shared" si="217"/>
        <v>0</v>
      </c>
      <c r="U659" s="1279">
        <f t="shared" si="217"/>
        <v>0</v>
      </c>
      <c r="V659" s="1279">
        <f t="shared" si="217"/>
        <v>0</v>
      </c>
      <c r="W659" s="1279">
        <f t="shared" si="217"/>
        <v>0</v>
      </c>
      <c r="X659" s="1279">
        <f t="shared" si="217"/>
        <v>0</v>
      </c>
      <c r="Y659" s="1279">
        <f t="shared" si="217"/>
        <v>0</v>
      </c>
      <c r="Z659" s="1279">
        <f t="shared" si="217"/>
        <v>0</v>
      </c>
      <c r="AA659" s="1279">
        <f t="shared" si="217"/>
        <v>0</v>
      </c>
      <c r="AB659" s="1279">
        <f t="shared" si="217"/>
        <v>0</v>
      </c>
      <c r="AC659" s="1279">
        <f t="shared" si="217"/>
        <v>0</v>
      </c>
      <c r="AD659" s="1279">
        <f t="shared" si="217"/>
        <v>0</v>
      </c>
      <c r="AE659" s="1279">
        <f t="shared" si="217"/>
        <v>0</v>
      </c>
      <c r="AF659" s="1279">
        <f t="shared" si="217"/>
        <v>0</v>
      </c>
      <c r="AG659" s="1279">
        <f t="shared" si="217"/>
        <v>0</v>
      </c>
      <c r="AH659" s="1279">
        <f t="shared" si="217"/>
        <v>0</v>
      </c>
      <c r="AI659" s="1279">
        <f t="shared" si="217"/>
        <v>0</v>
      </c>
      <c r="AJ659" s="1279">
        <f t="shared" si="217"/>
        <v>0</v>
      </c>
      <c r="AK659" s="1279">
        <f t="shared" si="217"/>
        <v>0</v>
      </c>
      <c r="AL659" s="1279">
        <f t="shared" si="217"/>
        <v>0</v>
      </c>
      <c r="AM659" s="1279">
        <f t="shared" si="217"/>
        <v>0</v>
      </c>
      <c r="AN659" s="1279">
        <f t="shared" si="217"/>
        <v>0</v>
      </c>
      <c r="AO659" s="1279">
        <f t="shared" si="217"/>
        <v>0</v>
      </c>
      <c r="AP659" s="1279">
        <f t="shared" si="217"/>
        <v>0</v>
      </c>
      <c r="AQ659" s="1279">
        <f t="shared" si="217"/>
        <v>0</v>
      </c>
      <c r="AR659" s="1279">
        <f t="shared" si="217"/>
        <v>0</v>
      </c>
      <c r="AS659" s="1279">
        <f t="shared" si="217"/>
        <v>0</v>
      </c>
      <c r="AT659" s="1279">
        <f t="shared" si="217"/>
        <v>0</v>
      </c>
      <c r="AU659" s="1279">
        <f t="shared" si="217"/>
        <v>0</v>
      </c>
      <c r="AV659" s="1279">
        <f t="shared" si="217"/>
        <v>0</v>
      </c>
      <c r="AW659" s="1279">
        <f t="shared" si="217"/>
        <v>0</v>
      </c>
      <c r="AX659" s="1279">
        <f t="shared" si="217"/>
        <v>0</v>
      </c>
      <c r="AY659" s="1279">
        <f t="shared" si="217"/>
        <v>0</v>
      </c>
      <c r="AZ659" s="1279">
        <f t="shared" si="217"/>
        <v>0</v>
      </c>
      <c r="BA659" s="1279">
        <f t="shared" si="217"/>
        <v>0</v>
      </c>
      <c r="BB659" s="1279">
        <f t="shared" si="217"/>
        <v>0</v>
      </c>
      <c r="BC659" s="1279">
        <f t="shared" si="217"/>
        <v>0</v>
      </c>
      <c r="BD659" s="1279">
        <f t="shared" si="217"/>
        <v>0</v>
      </c>
      <c r="BE659" s="1280">
        <f t="shared" si="217"/>
        <v>0</v>
      </c>
    </row>
    <row r="660" spans="2:57" x14ac:dyDescent="0.25">
      <c r="B660" s="332"/>
      <c r="C660" s="340" t="s">
        <v>72</v>
      </c>
      <c r="D660" s="340"/>
      <c r="E660" s="340"/>
      <c r="F660" s="340"/>
      <c r="G660" s="1281"/>
      <c r="H660" s="1281">
        <f>IF(H$299&gt;$G655,0,PPMT($G656,H$299,$G655,-$G654))</f>
        <v>0</v>
      </c>
      <c r="I660" s="1281">
        <f t="shared" ref="I660:BE660" si="218">IF(I$299&gt;$G655,0,PPMT($G656,I$299,$G655,-$G654))</f>
        <v>0</v>
      </c>
      <c r="J660" s="1281">
        <f t="shared" si="218"/>
        <v>0</v>
      </c>
      <c r="K660" s="1281">
        <f t="shared" si="218"/>
        <v>0</v>
      </c>
      <c r="L660" s="1281">
        <f t="shared" si="218"/>
        <v>0</v>
      </c>
      <c r="M660" s="1281">
        <f t="shared" si="218"/>
        <v>0</v>
      </c>
      <c r="N660" s="1281">
        <f t="shared" si="218"/>
        <v>0</v>
      </c>
      <c r="O660" s="1281">
        <f t="shared" si="218"/>
        <v>0</v>
      </c>
      <c r="P660" s="1281">
        <f t="shared" si="218"/>
        <v>0</v>
      </c>
      <c r="Q660" s="1281">
        <f t="shared" si="218"/>
        <v>0</v>
      </c>
      <c r="R660" s="1281">
        <f t="shared" si="218"/>
        <v>0</v>
      </c>
      <c r="S660" s="1281">
        <f t="shared" si="218"/>
        <v>0</v>
      </c>
      <c r="T660" s="1281">
        <f t="shared" si="218"/>
        <v>0</v>
      </c>
      <c r="U660" s="1281">
        <f t="shared" si="218"/>
        <v>0</v>
      </c>
      <c r="V660" s="1281">
        <f t="shared" si="218"/>
        <v>0</v>
      </c>
      <c r="W660" s="1281">
        <f t="shared" si="218"/>
        <v>0</v>
      </c>
      <c r="X660" s="1281">
        <f t="shared" si="218"/>
        <v>0</v>
      </c>
      <c r="Y660" s="1281">
        <f t="shared" si="218"/>
        <v>0</v>
      </c>
      <c r="Z660" s="1281">
        <f t="shared" si="218"/>
        <v>0</v>
      </c>
      <c r="AA660" s="1281">
        <f t="shared" si="218"/>
        <v>0</v>
      </c>
      <c r="AB660" s="1281">
        <f t="shared" si="218"/>
        <v>0</v>
      </c>
      <c r="AC660" s="1281">
        <f t="shared" si="218"/>
        <v>0</v>
      </c>
      <c r="AD660" s="1281">
        <f t="shared" si="218"/>
        <v>0</v>
      </c>
      <c r="AE660" s="1281">
        <f t="shared" si="218"/>
        <v>0</v>
      </c>
      <c r="AF660" s="1281">
        <f t="shared" si="218"/>
        <v>0</v>
      </c>
      <c r="AG660" s="1281">
        <f t="shared" si="218"/>
        <v>0</v>
      </c>
      <c r="AH660" s="1281">
        <f t="shared" si="218"/>
        <v>0</v>
      </c>
      <c r="AI660" s="1281">
        <f t="shared" si="218"/>
        <v>0</v>
      </c>
      <c r="AJ660" s="1281">
        <f t="shared" si="218"/>
        <v>0</v>
      </c>
      <c r="AK660" s="1281">
        <f t="shared" si="218"/>
        <v>0</v>
      </c>
      <c r="AL660" s="1281">
        <f t="shared" si="218"/>
        <v>0</v>
      </c>
      <c r="AM660" s="1281">
        <f t="shared" si="218"/>
        <v>0</v>
      </c>
      <c r="AN660" s="1281">
        <f t="shared" si="218"/>
        <v>0</v>
      </c>
      <c r="AO660" s="1281">
        <f t="shared" si="218"/>
        <v>0</v>
      </c>
      <c r="AP660" s="1281">
        <f t="shared" si="218"/>
        <v>0</v>
      </c>
      <c r="AQ660" s="1281">
        <f t="shared" si="218"/>
        <v>0</v>
      </c>
      <c r="AR660" s="1281">
        <f t="shared" si="218"/>
        <v>0</v>
      </c>
      <c r="AS660" s="1281">
        <f t="shared" si="218"/>
        <v>0</v>
      </c>
      <c r="AT660" s="1281">
        <f t="shared" si="218"/>
        <v>0</v>
      </c>
      <c r="AU660" s="1281">
        <f t="shared" si="218"/>
        <v>0</v>
      </c>
      <c r="AV660" s="1281">
        <f t="shared" si="218"/>
        <v>0</v>
      </c>
      <c r="AW660" s="1281">
        <f t="shared" si="218"/>
        <v>0</v>
      </c>
      <c r="AX660" s="1281">
        <f t="shared" si="218"/>
        <v>0</v>
      </c>
      <c r="AY660" s="1281">
        <f t="shared" si="218"/>
        <v>0</v>
      </c>
      <c r="AZ660" s="1281">
        <f t="shared" si="218"/>
        <v>0</v>
      </c>
      <c r="BA660" s="1281">
        <f t="shared" si="218"/>
        <v>0</v>
      </c>
      <c r="BB660" s="1281">
        <f t="shared" si="218"/>
        <v>0</v>
      </c>
      <c r="BC660" s="1281">
        <f t="shared" si="218"/>
        <v>0</v>
      </c>
      <c r="BD660" s="1281">
        <f t="shared" si="218"/>
        <v>0</v>
      </c>
      <c r="BE660" s="1282">
        <f t="shared" si="218"/>
        <v>0</v>
      </c>
    </row>
    <row r="661" spans="2:57" x14ac:dyDescent="0.25">
      <c r="B661" s="332"/>
      <c r="C661" s="333" t="s">
        <v>74</v>
      </c>
      <c r="D661" s="333"/>
      <c r="E661" s="333"/>
      <c r="F661" s="333"/>
      <c r="G661" s="1279"/>
      <c r="H661" s="1279">
        <f>SUM(H659:H660)</f>
        <v>0</v>
      </c>
      <c r="I661" s="1279">
        <f t="shared" ref="I661:BE661" si="219">SUM(I659:I660)</f>
        <v>0</v>
      </c>
      <c r="J661" s="1279">
        <f t="shared" si="219"/>
        <v>0</v>
      </c>
      <c r="K661" s="1279">
        <f t="shared" si="219"/>
        <v>0</v>
      </c>
      <c r="L661" s="1279">
        <f t="shared" si="219"/>
        <v>0</v>
      </c>
      <c r="M661" s="1279">
        <f t="shared" si="219"/>
        <v>0</v>
      </c>
      <c r="N661" s="1279">
        <f t="shared" si="219"/>
        <v>0</v>
      </c>
      <c r="O661" s="1279">
        <f t="shared" si="219"/>
        <v>0</v>
      </c>
      <c r="P661" s="1279">
        <f t="shared" si="219"/>
        <v>0</v>
      </c>
      <c r="Q661" s="1279">
        <f t="shared" si="219"/>
        <v>0</v>
      </c>
      <c r="R661" s="1279">
        <f t="shared" si="219"/>
        <v>0</v>
      </c>
      <c r="S661" s="1279">
        <f t="shared" si="219"/>
        <v>0</v>
      </c>
      <c r="T661" s="1279">
        <f t="shared" si="219"/>
        <v>0</v>
      </c>
      <c r="U661" s="1279">
        <f t="shared" si="219"/>
        <v>0</v>
      </c>
      <c r="V661" s="1279">
        <f t="shared" si="219"/>
        <v>0</v>
      </c>
      <c r="W661" s="1279">
        <f t="shared" si="219"/>
        <v>0</v>
      </c>
      <c r="X661" s="1279">
        <f t="shared" si="219"/>
        <v>0</v>
      </c>
      <c r="Y661" s="1279">
        <f t="shared" si="219"/>
        <v>0</v>
      </c>
      <c r="Z661" s="1279">
        <f t="shared" si="219"/>
        <v>0</v>
      </c>
      <c r="AA661" s="1279">
        <f t="shared" si="219"/>
        <v>0</v>
      </c>
      <c r="AB661" s="1279">
        <f t="shared" si="219"/>
        <v>0</v>
      </c>
      <c r="AC661" s="1279">
        <f t="shared" si="219"/>
        <v>0</v>
      </c>
      <c r="AD661" s="1279">
        <f t="shared" si="219"/>
        <v>0</v>
      </c>
      <c r="AE661" s="1279">
        <f t="shared" si="219"/>
        <v>0</v>
      </c>
      <c r="AF661" s="1279">
        <f t="shared" si="219"/>
        <v>0</v>
      </c>
      <c r="AG661" s="1279">
        <f t="shared" si="219"/>
        <v>0</v>
      </c>
      <c r="AH661" s="1279">
        <f t="shared" si="219"/>
        <v>0</v>
      </c>
      <c r="AI661" s="1279">
        <f t="shared" si="219"/>
        <v>0</v>
      </c>
      <c r="AJ661" s="1279">
        <f t="shared" si="219"/>
        <v>0</v>
      </c>
      <c r="AK661" s="1279">
        <f t="shared" si="219"/>
        <v>0</v>
      </c>
      <c r="AL661" s="1279">
        <f t="shared" si="219"/>
        <v>0</v>
      </c>
      <c r="AM661" s="1279">
        <f t="shared" si="219"/>
        <v>0</v>
      </c>
      <c r="AN661" s="1279">
        <f t="shared" si="219"/>
        <v>0</v>
      </c>
      <c r="AO661" s="1279">
        <f t="shared" si="219"/>
        <v>0</v>
      </c>
      <c r="AP661" s="1279">
        <f t="shared" si="219"/>
        <v>0</v>
      </c>
      <c r="AQ661" s="1279">
        <f t="shared" si="219"/>
        <v>0</v>
      </c>
      <c r="AR661" s="1279">
        <f t="shared" si="219"/>
        <v>0</v>
      </c>
      <c r="AS661" s="1279">
        <f t="shared" si="219"/>
        <v>0</v>
      </c>
      <c r="AT661" s="1279">
        <f t="shared" si="219"/>
        <v>0</v>
      </c>
      <c r="AU661" s="1279">
        <f t="shared" si="219"/>
        <v>0</v>
      </c>
      <c r="AV661" s="1279">
        <f t="shared" si="219"/>
        <v>0</v>
      </c>
      <c r="AW661" s="1279">
        <f t="shared" si="219"/>
        <v>0</v>
      </c>
      <c r="AX661" s="1279">
        <f t="shared" si="219"/>
        <v>0</v>
      </c>
      <c r="AY661" s="1279">
        <f t="shared" si="219"/>
        <v>0</v>
      </c>
      <c r="AZ661" s="1279">
        <f t="shared" si="219"/>
        <v>0</v>
      </c>
      <c r="BA661" s="1279">
        <f t="shared" si="219"/>
        <v>0</v>
      </c>
      <c r="BB661" s="1279">
        <f t="shared" si="219"/>
        <v>0</v>
      </c>
      <c r="BC661" s="1279">
        <f t="shared" si="219"/>
        <v>0</v>
      </c>
      <c r="BD661" s="1279">
        <f t="shared" si="219"/>
        <v>0</v>
      </c>
      <c r="BE661" s="1280">
        <f t="shared" si="219"/>
        <v>0</v>
      </c>
    </row>
    <row r="662" spans="2:57" x14ac:dyDescent="0.25">
      <c r="B662" s="332"/>
      <c r="C662" s="333"/>
      <c r="D662" s="333"/>
      <c r="E662" s="333"/>
      <c r="F662" s="333"/>
      <c r="G662" s="1279"/>
      <c r="H662" s="1279"/>
      <c r="I662" s="1279"/>
      <c r="J662" s="1279"/>
      <c r="K662" s="1279"/>
      <c r="L662" s="1279"/>
      <c r="M662" s="1279"/>
      <c r="N662" s="1279"/>
      <c r="O662" s="1279"/>
      <c r="P662" s="1279"/>
      <c r="Q662" s="1279"/>
      <c r="R662" s="1279"/>
      <c r="S662" s="1279"/>
      <c r="T662" s="1279"/>
      <c r="U662" s="1279"/>
      <c r="V662" s="1279"/>
      <c r="W662" s="1279"/>
      <c r="X662" s="1279"/>
      <c r="Y662" s="1279"/>
      <c r="Z662" s="1279"/>
      <c r="AA662" s="1279"/>
      <c r="AB662" s="1279"/>
      <c r="AC662" s="1279"/>
      <c r="AD662" s="1279"/>
      <c r="AE662" s="1279"/>
      <c r="AF662" s="1279"/>
      <c r="AG662" s="1279"/>
      <c r="AH662" s="1279"/>
      <c r="AI662" s="1279"/>
      <c r="AJ662" s="1279"/>
      <c r="AK662" s="1279"/>
      <c r="AL662" s="1279"/>
      <c r="AM662" s="1279"/>
      <c r="AN662" s="1279"/>
      <c r="AO662" s="1279"/>
      <c r="AP662" s="1279"/>
      <c r="AQ662" s="1279"/>
      <c r="AR662" s="1279"/>
      <c r="AS662" s="1279"/>
      <c r="AT662" s="1279"/>
      <c r="AU662" s="1279"/>
      <c r="AV662" s="1279"/>
      <c r="AW662" s="1279"/>
      <c r="AX662" s="1279"/>
      <c r="AY662" s="1279"/>
      <c r="AZ662" s="1279"/>
      <c r="BA662" s="1279"/>
      <c r="BB662" s="1279"/>
      <c r="BC662" s="1279"/>
      <c r="BD662" s="1279"/>
      <c r="BE662" s="1280"/>
    </row>
    <row r="663" spans="2:57" x14ac:dyDescent="0.25">
      <c r="B663" s="332"/>
      <c r="C663" s="411" t="s">
        <v>65</v>
      </c>
      <c r="D663" s="333"/>
      <c r="E663" s="333"/>
      <c r="F663" s="333"/>
      <c r="G663" s="1279"/>
      <c r="H663" s="1279"/>
      <c r="I663" s="1279"/>
      <c r="J663" s="1279"/>
      <c r="K663" s="1279"/>
      <c r="L663" s="1279"/>
      <c r="M663" s="1279"/>
      <c r="N663" s="1279"/>
      <c r="O663" s="1279"/>
      <c r="P663" s="1279"/>
      <c r="Q663" s="1279"/>
      <c r="R663" s="1279"/>
      <c r="S663" s="1279"/>
      <c r="T663" s="1279"/>
      <c r="U663" s="1279"/>
      <c r="V663" s="1279"/>
      <c r="W663" s="1279"/>
      <c r="X663" s="1279"/>
      <c r="Y663" s="1279"/>
      <c r="Z663" s="1279"/>
      <c r="AA663" s="1279"/>
      <c r="AB663" s="1279"/>
      <c r="AC663" s="1279"/>
      <c r="AD663" s="1279"/>
      <c r="AE663" s="1279"/>
      <c r="AF663" s="1279"/>
      <c r="AG663" s="1279"/>
      <c r="AH663" s="1279"/>
      <c r="AI663" s="1279"/>
      <c r="AJ663" s="1279"/>
      <c r="AK663" s="1279"/>
      <c r="AL663" s="1279"/>
      <c r="AM663" s="1279"/>
      <c r="AN663" s="1279"/>
      <c r="AO663" s="1279"/>
      <c r="AP663" s="1279"/>
      <c r="AQ663" s="1279"/>
      <c r="AR663" s="1279"/>
      <c r="AS663" s="1279"/>
      <c r="AT663" s="1279"/>
      <c r="AU663" s="1279"/>
      <c r="AV663" s="1279"/>
      <c r="AW663" s="1279"/>
      <c r="AX663" s="1279"/>
      <c r="AY663" s="1279"/>
      <c r="AZ663" s="1279"/>
      <c r="BA663" s="1279"/>
      <c r="BB663" s="1279"/>
      <c r="BC663" s="1279"/>
      <c r="BD663" s="1279"/>
      <c r="BE663" s="1280"/>
    </row>
    <row r="664" spans="2:57" x14ac:dyDescent="0.25">
      <c r="B664" s="332"/>
      <c r="C664" s="333" t="s">
        <v>75</v>
      </c>
      <c r="D664" s="333"/>
      <c r="E664" s="333"/>
      <c r="F664" s="333"/>
      <c r="G664" s="1279">
        <v>0</v>
      </c>
      <c r="H664" s="1279">
        <f t="shared" ref="H664:AM664" si="220">G667</f>
        <v>0</v>
      </c>
      <c r="I664" s="1279">
        <f t="shared" si="220"/>
        <v>0</v>
      </c>
      <c r="J664" s="1279">
        <f t="shared" si="220"/>
        <v>0</v>
      </c>
      <c r="K664" s="1279">
        <f t="shared" si="220"/>
        <v>0</v>
      </c>
      <c r="L664" s="1279">
        <f t="shared" si="220"/>
        <v>0</v>
      </c>
      <c r="M664" s="1279">
        <f t="shared" si="220"/>
        <v>0</v>
      </c>
      <c r="N664" s="1279">
        <f t="shared" si="220"/>
        <v>0</v>
      </c>
      <c r="O664" s="1279">
        <f t="shared" si="220"/>
        <v>0</v>
      </c>
      <c r="P664" s="1279">
        <f t="shared" si="220"/>
        <v>0</v>
      </c>
      <c r="Q664" s="1279">
        <f t="shared" si="220"/>
        <v>0</v>
      </c>
      <c r="R664" s="1279">
        <f t="shared" si="220"/>
        <v>0</v>
      </c>
      <c r="S664" s="1279">
        <f t="shared" si="220"/>
        <v>0</v>
      </c>
      <c r="T664" s="1279">
        <f t="shared" si="220"/>
        <v>0</v>
      </c>
      <c r="U664" s="1279">
        <f t="shared" si="220"/>
        <v>0</v>
      </c>
      <c r="V664" s="1279">
        <f t="shared" si="220"/>
        <v>0</v>
      </c>
      <c r="W664" s="1279">
        <f t="shared" si="220"/>
        <v>0</v>
      </c>
      <c r="X664" s="1279">
        <f t="shared" si="220"/>
        <v>0</v>
      </c>
      <c r="Y664" s="1279">
        <f t="shared" si="220"/>
        <v>0</v>
      </c>
      <c r="Z664" s="1279">
        <f t="shared" si="220"/>
        <v>0</v>
      </c>
      <c r="AA664" s="1279">
        <f t="shared" si="220"/>
        <v>0</v>
      </c>
      <c r="AB664" s="1279">
        <f t="shared" si="220"/>
        <v>0</v>
      </c>
      <c r="AC664" s="1279">
        <f t="shared" si="220"/>
        <v>0</v>
      </c>
      <c r="AD664" s="1279">
        <f t="shared" si="220"/>
        <v>0</v>
      </c>
      <c r="AE664" s="1279">
        <f t="shared" si="220"/>
        <v>0</v>
      </c>
      <c r="AF664" s="1279">
        <f t="shared" si="220"/>
        <v>0</v>
      </c>
      <c r="AG664" s="1279">
        <f t="shared" si="220"/>
        <v>0</v>
      </c>
      <c r="AH664" s="1279">
        <f t="shared" si="220"/>
        <v>0</v>
      </c>
      <c r="AI664" s="1279">
        <f t="shared" si="220"/>
        <v>0</v>
      </c>
      <c r="AJ664" s="1279">
        <f t="shared" si="220"/>
        <v>0</v>
      </c>
      <c r="AK664" s="1279">
        <f t="shared" si="220"/>
        <v>0</v>
      </c>
      <c r="AL664" s="1279">
        <f t="shared" si="220"/>
        <v>0</v>
      </c>
      <c r="AM664" s="1279">
        <f t="shared" si="220"/>
        <v>0</v>
      </c>
      <c r="AN664" s="1279">
        <f t="shared" ref="AN664:BE664" si="221">AM667</f>
        <v>0</v>
      </c>
      <c r="AO664" s="1279">
        <f t="shared" si="221"/>
        <v>0</v>
      </c>
      <c r="AP664" s="1279">
        <f t="shared" si="221"/>
        <v>0</v>
      </c>
      <c r="AQ664" s="1279">
        <f t="shared" si="221"/>
        <v>0</v>
      </c>
      <c r="AR664" s="1279">
        <f t="shared" si="221"/>
        <v>0</v>
      </c>
      <c r="AS664" s="1279">
        <f t="shared" si="221"/>
        <v>0</v>
      </c>
      <c r="AT664" s="1279">
        <f t="shared" si="221"/>
        <v>0</v>
      </c>
      <c r="AU664" s="1279">
        <f t="shared" si="221"/>
        <v>0</v>
      </c>
      <c r="AV664" s="1279">
        <f t="shared" si="221"/>
        <v>0</v>
      </c>
      <c r="AW664" s="1279">
        <f t="shared" si="221"/>
        <v>0</v>
      </c>
      <c r="AX664" s="1279">
        <f t="shared" si="221"/>
        <v>0</v>
      </c>
      <c r="AY664" s="1279">
        <f t="shared" si="221"/>
        <v>0</v>
      </c>
      <c r="AZ664" s="1279">
        <f t="shared" si="221"/>
        <v>0</v>
      </c>
      <c r="BA664" s="1279">
        <f t="shared" si="221"/>
        <v>0</v>
      </c>
      <c r="BB664" s="1279">
        <f t="shared" si="221"/>
        <v>0</v>
      </c>
      <c r="BC664" s="1279">
        <f t="shared" si="221"/>
        <v>0</v>
      </c>
      <c r="BD664" s="1279">
        <f t="shared" si="221"/>
        <v>0</v>
      </c>
      <c r="BE664" s="1280">
        <f t="shared" si="221"/>
        <v>0</v>
      </c>
    </row>
    <row r="665" spans="2:57" x14ac:dyDescent="0.25">
      <c r="B665" s="332"/>
      <c r="C665" s="333" t="s">
        <v>76</v>
      </c>
      <c r="D665" s="333"/>
      <c r="E665" s="333"/>
      <c r="F665" s="333"/>
      <c r="G665" s="1279">
        <f>G654</f>
        <v>0</v>
      </c>
      <c r="H665" s="1279">
        <v>0</v>
      </c>
      <c r="I665" s="1279">
        <v>0</v>
      </c>
      <c r="J665" s="1279">
        <v>0</v>
      </c>
      <c r="K665" s="1279">
        <v>0</v>
      </c>
      <c r="L665" s="1279">
        <v>0</v>
      </c>
      <c r="M665" s="1279">
        <v>0</v>
      </c>
      <c r="N665" s="1279">
        <v>0</v>
      </c>
      <c r="O665" s="1279">
        <v>0</v>
      </c>
      <c r="P665" s="1279">
        <v>0</v>
      </c>
      <c r="Q665" s="1279">
        <v>0</v>
      </c>
      <c r="R665" s="1279">
        <v>0</v>
      </c>
      <c r="S665" s="1279">
        <v>0</v>
      </c>
      <c r="T665" s="1279">
        <v>0</v>
      </c>
      <c r="U665" s="1279">
        <v>0</v>
      </c>
      <c r="V665" s="1279">
        <v>0</v>
      </c>
      <c r="W665" s="1279">
        <v>0</v>
      </c>
      <c r="X665" s="1279">
        <v>0</v>
      </c>
      <c r="Y665" s="1279">
        <v>0</v>
      </c>
      <c r="Z665" s="1279">
        <v>0</v>
      </c>
      <c r="AA665" s="1279">
        <v>0</v>
      </c>
      <c r="AB665" s="1279">
        <v>0</v>
      </c>
      <c r="AC665" s="1279">
        <v>0</v>
      </c>
      <c r="AD665" s="1279">
        <v>0</v>
      </c>
      <c r="AE665" s="1279">
        <v>0</v>
      </c>
      <c r="AF665" s="1279">
        <v>0</v>
      </c>
      <c r="AG665" s="1279">
        <v>0</v>
      </c>
      <c r="AH665" s="1279">
        <v>0</v>
      </c>
      <c r="AI665" s="1279">
        <v>0</v>
      </c>
      <c r="AJ665" s="1279">
        <v>0</v>
      </c>
      <c r="AK665" s="1279">
        <v>0</v>
      </c>
      <c r="AL665" s="1279">
        <v>0</v>
      </c>
      <c r="AM665" s="1279">
        <v>0</v>
      </c>
      <c r="AN665" s="1279">
        <v>0</v>
      </c>
      <c r="AO665" s="1279">
        <v>0</v>
      </c>
      <c r="AP665" s="1279">
        <v>0</v>
      </c>
      <c r="AQ665" s="1279">
        <v>0</v>
      </c>
      <c r="AR665" s="1279">
        <v>0</v>
      </c>
      <c r="AS665" s="1279">
        <v>0</v>
      </c>
      <c r="AT665" s="1279">
        <v>0</v>
      </c>
      <c r="AU665" s="1279">
        <v>0</v>
      </c>
      <c r="AV665" s="1279">
        <v>0</v>
      </c>
      <c r="AW665" s="1279">
        <v>0</v>
      </c>
      <c r="AX665" s="1279">
        <v>0</v>
      </c>
      <c r="AY665" s="1279">
        <v>0</v>
      </c>
      <c r="AZ665" s="1279">
        <v>0</v>
      </c>
      <c r="BA665" s="1279">
        <v>0</v>
      </c>
      <c r="BB665" s="1279">
        <v>0</v>
      </c>
      <c r="BC665" s="1279">
        <v>0</v>
      </c>
      <c r="BD665" s="1279">
        <v>0</v>
      </c>
      <c r="BE665" s="1280">
        <v>0</v>
      </c>
    </row>
    <row r="666" spans="2:57" x14ac:dyDescent="0.25">
      <c r="B666" s="332"/>
      <c r="C666" s="340" t="s">
        <v>77</v>
      </c>
      <c r="D666" s="340"/>
      <c r="E666" s="340"/>
      <c r="F666" s="340"/>
      <c r="G666" s="1281">
        <v>0</v>
      </c>
      <c r="H666" s="1281">
        <f>-H660</f>
        <v>0</v>
      </c>
      <c r="I666" s="1281">
        <f t="shared" ref="I666:BE666" si="222">-I660</f>
        <v>0</v>
      </c>
      <c r="J666" s="1281">
        <f t="shared" si="222"/>
        <v>0</v>
      </c>
      <c r="K666" s="1281">
        <f t="shared" si="222"/>
        <v>0</v>
      </c>
      <c r="L666" s="1281">
        <f t="shared" si="222"/>
        <v>0</v>
      </c>
      <c r="M666" s="1281">
        <f t="shared" si="222"/>
        <v>0</v>
      </c>
      <c r="N666" s="1281">
        <f t="shared" si="222"/>
        <v>0</v>
      </c>
      <c r="O666" s="1281">
        <f t="shared" si="222"/>
        <v>0</v>
      </c>
      <c r="P666" s="1281">
        <f t="shared" si="222"/>
        <v>0</v>
      </c>
      <c r="Q666" s="1281">
        <f t="shared" si="222"/>
        <v>0</v>
      </c>
      <c r="R666" s="1281">
        <f t="shared" si="222"/>
        <v>0</v>
      </c>
      <c r="S666" s="1281">
        <f t="shared" si="222"/>
        <v>0</v>
      </c>
      <c r="T666" s="1281">
        <f t="shared" si="222"/>
        <v>0</v>
      </c>
      <c r="U666" s="1281">
        <f t="shared" si="222"/>
        <v>0</v>
      </c>
      <c r="V666" s="1281">
        <f t="shared" si="222"/>
        <v>0</v>
      </c>
      <c r="W666" s="1281">
        <f t="shared" si="222"/>
        <v>0</v>
      </c>
      <c r="X666" s="1281">
        <f t="shared" si="222"/>
        <v>0</v>
      </c>
      <c r="Y666" s="1281">
        <f t="shared" si="222"/>
        <v>0</v>
      </c>
      <c r="Z666" s="1281">
        <f t="shared" si="222"/>
        <v>0</v>
      </c>
      <c r="AA666" s="1281">
        <f t="shared" si="222"/>
        <v>0</v>
      </c>
      <c r="AB666" s="1281">
        <f t="shared" si="222"/>
        <v>0</v>
      </c>
      <c r="AC666" s="1281">
        <f t="shared" si="222"/>
        <v>0</v>
      </c>
      <c r="AD666" s="1281">
        <f t="shared" si="222"/>
        <v>0</v>
      </c>
      <c r="AE666" s="1281">
        <f t="shared" si="222"/>
        <v>0</v>
      </c>
      <c r="AF666" s="1281">
        <f t="shared" si="222"/>
        <v>0</v>
      </c>
      <c r="AG666" s="1281">
        <f t="shared" si="222"/>
        <v>0</v>
      </c>
      <c r="AH666" s="1281">
        <f t="shared" si="222"/>
        <v>0</v>
      </c>
      <c r="AI666" s="1281">
        <f t="shared" si="222"/>
        <v>0</v>
      </c>
      <c r="AJ666" s="1281">
        <f t="shared" si="222"/>
        <v>0</v>
      </c>
      <c r="AK666" s="1281">
        <f t="shared" si="222"/>
        <v>0</v>
      </c>
      <c r="AL666" s="1281">
        <f t="shared" si="222"/>
        <v>0</v>
      </c>
      <c r="AM666" s="1281">
        <f t="shared" si="222"/>
        <v>0</v>
      </c>
      <c r="AN666" s="1281">
        <f t="shared" si="222"/>
        <v>0</v>
      </c>
      <c r="AO666" s="1281">
        <f t="shared" si="222"/>
        <v>0</v>
      </c>
      <c r="AP666" s="1281">
        <f t="shared" si="222"/>
        <v>0</v>
      </c>
      <c r="AQ666" s="1281">
        <f t="shared" si="222"/>
        <v>0</v>
      </c>
      <c r="AR666" s="1281">
        <f t="shared" si="222"/>
        <v>0</v>
      </c>
      <c r="AS666" s="1281">
        <f t="shared" si="222"/>
        <v>0</v>
      </c>
      <c r="AT666" s="1281">
        <f t="shared" si="222"/>
        <v>0</v>
      </c>
      <c r="AU666" s="1281">
        <f t="shared" si="222"/>
        <v>0</v>
      </c>
      <c r="AV666" s="1281">
        <f t="shared" si="222"/>
        <v>0</v>
      </c>
      <c r="AW666" s="1281">
        <f t="shared" si="222"/>
        <v>0</v>
      </c>
      <c r="AX666" s="1281">
        <f t="shared" si="222"/>
        <v>0</v>
      </c>
      <c r="AY666" s="1281">
        <f t="shared" si="222"/>
        <v>0</v>
      </c>
      <c r="AZ666" s="1281">
        <f t="shared" si="222"/>
        <v>0</v>
      </c>
      <c r="BA666" s="1281">
        <f t="shared" si="222"/>
        <v>0</v>
      </c>
      <c r="BB666" s="1281">
        <f t="shared" si="222"/>
        <v>0</v>
      </c>
      <c r="BC666" s="1281">
        <f t="shared" si="222"/>
        <v>0</v>
      </c>
      <c r="BD666" s="1281">
        <f t="shared" si="222"/>
        <v>0</v>
      </c>
      <c r="BE666" s="1282">
        <f t="shared" si="222"/>
        <v>0</v>
      </c>
    </row>
    <row r="667" spans="2:57" x14ac:dyDescent="0.25">
      <c r="B667" s="332"/>
      <c r="C667" s="333" t="s">
        <v>66</v>
      </c>
      <c r="D667" s="333"/>
      <c r="E667" s="333"/>
      <c r="F667" s="333"/>
      <c r="G667" s="1279">
        <f>SUM(G664:G666)</f>
        <v>0</v>
      </c>
      <c r="H667" s="1279">
        <f>SUM(H664:H666)</f>
        <v>0</v>
      </c>
      <c r="I667" s="1279">
        <f t="shared" ref="I667:BE667" si="223">SUM(I664:I666)</f>
        <v>0</v>
      </c>
      <c r="J667" s="1279">
        <f t="shared" si="223"/>
        <v>0</v>
      </c>
      <c r="K667" s="1279">
        <f t="shared" si="223"/>
        <v>0</v>
      </c>
      <c r="L667" s="1279">
        <f t="shared" si="223"/>
        <v>0</v>
      </c>
      <c r="M667" s="1279">
        <f t="shared" si="223"/>
        <v>0</v>
      </c>
      <c r="N667" s="1279">
        <f t="shared" si="223"/>
        <v>0</v>
      </c>
      <c r="O667" s="1279">
        <f t="shared" si="223"/>
        <v>0</v>
      </c>
      <c r="P667" s="1279">
        <f t="shared" si="223"/>
        <v>0</v>
      </c>
      <c r="Q667" s="1279">
        <f t="shared" si="223"/>
        <v>0</v>
      </c>
      <c r="R667" s="1279">
        <f t="shared" si="223"/>
        <v>0</v>
      </c>
      <c r="S667" s="1279">
        <f t="shared" si="223"/>
        <v>0</v>
      </c>
      <c r="T667" s="1279">
        <f t="shared" si="223"/>
        <v>0</v>
      </c>
      <c r="U667" s="1279">
        <f t="shared" si="223"/>
        <v>0</v>
      </c>
      <c r="V667" s="1279">
        <f t="shared" si="223"/>
        <v>0</v>
      </c>
      <c r="W667" s="1279">
        <f t="shared" si="223"/>
        <v>0</v>
      </c>
      <c r="X667" s="1279">
        <f t="shared" si="223"/>
        <v>0</v>
      </c>
      <c r="Y667" s="1279">
        <f t="shared" si="223"/>
        <v>0</v>
      </c>
      <c r="Z667" s="1279">
        <f t="shared" si="223"/>
        <v>0</v>
      </c>
      <c r="AA667" s="1279">
        <f t="shared" si="223"/>
        <v>0</v>
      </c>
      <c r="AB667" s="1279">
        <f t="shared" si="223"/>
        <v>0</v>
      </c>
      <c r="AC667" s="1279">
        <f t="shared" si="223"/>
        <v>0</v>
      </c>
      <c r="AD667" s="1279">
        <f t="shared" si="223"/>
        <v>0</v>
      </c>
      <c r="AE667" s="1279">
        <f t="shared" si="223"/>
        <v>0</v>
      </c>
      <c r="AF667" s="1279">
        <f t="shared" si="223"/>
        <v>0</v>
      </c>
      <c r="AG667" s="1279">
        <f t="shared" si="223"/>
        <v>0</v>
      </c>
      <c r="AH667" s="1279">
        <f t="shared" si="223"/>
        <v>0</v>
      </c>
      <c r="AI667" s="1279">
        <f t="shared" si="223"/>
        <v>0</v>
      </c>
      <c r="AJ667" s="1279">
        <f t="shared" si="223"/>
        <v>0</v>
      </c>
      <c r="AK667" s="1279">
        <f t="shared" si="223"/>
        <v>0</v>
      </c>
      <c r="AL667" s="1279">
        <f t="shared" si="223"/>
        <v>0</v>
      </c>
      <c r="AM667" s="1279">
        <f t="shared" si="223"/>
        <v>0</v>
      </c>
      <c r="AN667" s="1279">
        <f t="shared" si="223"/>
        <v>0</v>
      </c>
      <c r="AO667" s="1279">
        <f t="shared" si="223"/>
        <v>0</v>
      </c>
      <c r="AP667" s="1279">
        <f t="shared" si="223"/>
        <v>0</v>
      </c>
      <c r="AQ667" s="1279">
        <f t="shared" si="223"/>
        <v>0</v>
      </c>
      <c r="AR667" s="1279">
        <f t="shared" si="223"/>
        <v>0</v>
      </c>
      <c r="AS667" s="1279">
        <f t="shared" si="223"/>
        <v>0</v>
      </c>
      <c r="AT667" s="1279">
        <f t="shared" si="223"/>
        <v>0</v>
      </c>
      <c r="AU667" s="1279">
        <f t="shared" si="223"/>
        <v>0</v>
      </c>
      <c r="AV667" s="1279">
        <f t="shared" si="223"/>
        <v>0</v>
      </c>
      <c r="AW667" s="1279">
        <f t="shared" si="223"/>
        <v>0</v>
      </c>
      <c r="AX667" s="1279">
        <f t="shared" si="223"/>
        <v>0</v>
      </c>
      <c r="AY667" s="1279">
        <f t="shared" si="223"/>
        <v>0</v>
      </c>
      <c r="AZ667" s="1279">
        <f t="shared" si="223"/>
        <v>0</v>
      </c>
      <c r="BA667" s="1279">
        <f t="shared" si="223"/>
        <v>0</v>
      </c>
      <c r="BB667" s="1279">
        <f t="shared" si="223"/>
        <v>0</v>
      </c>
      <c r="BC667" s="1279">
        <f t="shared" si="223"/>
        <v>0</v>
      </c>
      <c r="BD667" s="1279">
        <f t="shared" si="223"/>
        <v>0</v>
      </c>
      <c r="BE667" s="1280">
        <f t="shared" si="223"/>
        <v>0</v>
      </c>
    </row>
    <row r="668" spans="2:57" x14ac:dyDescent="0.25">
      <c r="B668" s="332"/>
      <c r="C668" s="333"/>
      <c r="D668" s="333"/>
      <c r="E668" s="333"/>
      <c r="F668" s="333"/>
      <c r="G668" s="1279"/>
      <c r="H668" s="1279"/>
      <c r="I668" s="1279"/>
      <c r="J668" s="1279"/>
      <c r="K668" s="1279"/>
      <c r="L668" s="1279"/>
      <c r="M668" s="1279"/>
      <c r="N668" s="1279"/>
      <c r="O668" s="1279"/>
      <c r="P668" s="1279"/>
      <c r="Q668" s="1279"/>
      <c r="R668" s="1279"/>
      <c r="S668" s="1279"/>
      <c r="T668" s="1279"/>
      <c r="U668" s="1279"/>
      <c r="V668" s="1279"/>
      <c r="W668" s="1279"/>
      <c r="X668" s="1279"/>
      <c r="Y668" s="1279"/>
      <c r="Z668" s="1279"/>
      <c r="AA668" s="1279"/>
      <c r="AB668" s="1279"/>
      <c r="AC668" s="1279"/>
      <c r="AD668" s="1279"/>
      <c r="AE668" s="1279"/>
      <c r="AF668" s="1279"/>
      <c r="AG668" s="1279"/>
      <c r="AH668" s="1279"/>
      <c r="AI668" s="1279"/>
      <c r="AJ668" s="1279"/>
      <c r="AK668" s="1279"/>
      <c r="AL668" s="1279"/>
      <c r="AM668" s="1279"/>
      <c r="AN668" s="1279"/>
      <c r="AO668" s="1279"/>
      <c r="AP668" s="1279"/>
      <c r="AQ668" s="1279"/>
      <c r="AR668" s="1279"/>
      <c r="AS668" s="1279"/>
      <c r="AT668" s="1279"/>
      <c r="AU668" s="1279"/>
      <c r="AV668" s="1279"/>
      <c r="AW668" s="1279"/>
      <c r="AX668" s="1279"/>
      <c r="AY668" s="1279"/>
      <c r="AZ668" s="1279"/>
      <c r="BA668" s="1279"/>
      <c r="BB668" s="1279"/>
      <c r="BC668" s="1279"/>
      <c r="BD668" s="1279"/>
      <c r="BE668" s="1280"/>
    </row>
    <row r="669" spans="2:57" x14ac:dyDescent="0.25">
      <c r="B669" s="332"/>
      <c r="C669" s="411" t="s">
        <v>71</v>
      </c>
      <c r="D669" s="333"/>
      <c r="E669" s="333"/>
      <c r="F669" s="333"/>
      <c r="G669" s="1279"/>
      <c r="H669" s="1279"/>
      <c r="I669" s="1279"/>
      <c r="J669" s="1279"/>
      <c r="K669" s="1279"/>
      <c r="L669" s="1279"/>
      <c r="M669" s="1279"/>
      <c r="N669" s="1279"/>
      <c r="O669" s="1279"/>
      <c r="P669" s="1279"/>
      <c r="Q669" s="1279"/>
      <c r="R669" s="1279"/>
      <c r="S669" s="1279"/>
      <c r="T669" s="1279"/>
      <c r="U669" s="1279"/>
      <c r="V669" s="1279"/>
      <c r="W669" s="1279"/>
      <c r="X669" s="1279"/>
      <c r="Y669" s="1279"/>
      <c r="Z669" s="1279"/>
      <c r="AA669" s="1279"/>
      <c r="AB669" s="1279"/>
      <c r="AC669" s="1279"/>
      <c r="AD669" s="1279"/>
      <c r="AE669" s="1279"/>
      <c r="AF669" s="1279"/>
      <c r="AG669" s="1279"/>
      <c r="AH669" s="1279"/>
      <c r="AI669" s="1279"/>
      <c r="AJ669" s="1279"/>
      <c r="AK669" s="1279"/>
      <c r="AL669" s="1279"/>
      <c r="AM669" s="1279"/>
      <c r="AN669" s="1279"/>
      <c r="AO669" s="1279"/>
      <c r="AP669" s="1279"/>
      <c r="AQ669" s="1279"/>
      <c r="AR669" s="1279"/>
      <c r="AS669" s="1279"/>
      <c r="AT669" s="1279"/>
      <c r="AU669" s="1279"/>
      <c r="AV669" s="1279"/>
      <c r="AW669" s="1279"/>
      <c r="AX669" s="1279"/>
      <c r="AY669" s="1279"/>
      <c r="AZ669" s="1279"/>
      <c r="BA669" s="1279"/>
      <c r="BB669" s="1279"/>
      <c r="BC669" s="1279"/>
      <c r="BD669" s="1279"/>
      <c r="BE669" s="1280"/>
    </row>
    <row r="670" spans="2:57" x14ac:dyDescent="0.25">
      <c r="B670" s="332"/>
      <c r="C670" s="333" t="s">
        <v>237</v>
      </c>
      <c r="D670" s="333"/>
      <c r="E670" s="333"/>
      <c r="F670" s="333"/>
      <c r="G670" s="1279"/>
      <c r="H670" s="1279">
        <f>IF($G654&gt;0, $G654*'II. Inputs, Baseline Energy Mix'!$R$51/10000,0)</f>
        <v>0</v>
      </c>
      <c r="I670" s="1279">
        <v>0</v>
      </c>
      <c r="J670" s="1279">
        <v>0</v>
      </c>
      <c r="K670" s="1279">
        <v>0</v>
      </c>
      <c r="L670" s="1279">
        <v>0</v>
      </c>
      <c r="M670" s="1279">
        <v>0</v>
      </c>
      <c r="N670" s="1279">
        <v>0</v>
      </c>
      <c r="O670" s="1279">
        <v>0</v>
      </c>
      <c r="P670" s="1279">
        <v>0</v>
      </c>
      <c r="Q670" s="1279">
        <v>0</v>
      </c>
      <c r="R670" s="1279">
        <v>0</v>
      </c>
      <c r="S670" s="1279">
        <v>0</v>
      </c>
      <c r="T670" s="1279">
        <v>0</v>
      </c>
      <c r="U670" s="1279">
        <v>0</v>
      </c>
      <c r="V670" s="1279">
        <v>0</v>
      </c>
      <c r="W670" s="1279">
        <v>0</v>
      </c>
      <c r="X670" s="1279">
        <v>0</v>
      </c>
      <c r="Y670" s="1279">
        <v>0</v>
      </c>
      <c r="Z670" s="1279">
        <v>0</v>
      </c>
      <c r="AA670" s="1279">
        <v>0</v>
      </c>
      <c r="AB670" s="1279">
        <v>0</v>
      </c>
      <c r="AC670" s="1279">
        <v>0</v>
      </c>
      <c r="AD670" s="1279">
        <v>0</v>
      </c>
      <c r="AE670" s="1279">
        <v>0</v>
      </c>
      <c r="AF670" s="1279">
        <v>0</v>
      </c>
      <c r="AG670" s="1279">
        <v>0</v>
      </c>
      <c r="AH670" s="1279">
        <v>0</v>
      </c>
      <c r="AI670" s="1279">
        <v>0</v>
      </c>
      <c r="AJ670" s="1279">
        <v>0</v>
      </c>
      <c r="AK670" s="1279">
        <v>0</v>
      </c>
      <c r="AL670" s="1279">
        <v>0</v>
      </c>
      <c r="AM670" s="1279">
        <v>0</v>
      </c>
      <c r="AN670" s="1279">
        <v>0</v>
      </c>
      <c r="AO670" s="1279">
        <v>0</v>
      </c>
      <c r="AP670" s="1279">
        <v>0</v>
      </c>
      <c r="AQ670" s="1279">
        <v>0</v>
      </c>
      <c r="AR670" s="1279">
        <v>0</v>
      </c>
      <c r="AS670" s="1279">
        <v>0</v>
      </c>
      <c r="AT670" s="1279">
        <v>0</v>
      </c>
      <c r="AU670" s="1279">
        <v>0</v>
      </c>
      <c r="AV670" s="1279">
        <v>0</v>
      </c>
      <c r="AW670" s="1279">
        <v>0</v>
      </c>
      <c r="AX670" s="1279">
        <v>0</v>
      </c>
      <c r="AY670" s="1279">
        <v>0</v>
      </c>
      <c r="AZ670" s="1279">
        <v>0</v>
      </c>
      <c r="BA670" s="1279">
        <v>0</v>
      </c>
      <c r="BB670" s="1279">
        <v>0</v>
      </c>
      <c r="BC670" s="1279">
        <v>0</v>
      </c>
      <c r="BD670" s="1279">
        <v>0</v>
      </c>
      <c r="BE670" s="1280">
        <v>0</v>
      </c>
    </row>
    <row r="671" spans="2:57" x14ac:dyDescent="0.25">
      <c r="B671" s="332"/>
      <c r="C671" s="333"/>
      <c r="D671" s="333"/>
      <c r="E671" s="333"/>
      <c r="F671" s="333"/>
      <c r="G671" s="333"/>
      <c r="H671" s="333"/>
      <c r="I671" s="333"/>
      <c r="J671" s="333"/>
      <c r="K671" s="333"/>
      <c r="L671" s="333"/>
      <c r="M671" s="333"/>
      <c r="N671" s="333"/>
      <c r="O671" s="333"/>
      <c r="P671" s="333"/>
      <c r="Q671" s="333"/>
      <c r="R671" s="333"/>
      <c r="S671" s="333"/>
      <c r="T671" s="333"/>
      <c r="U671" s="333"/>
      <c r="V671" s="333"/>
      <c r="W671" s="333"/>
      <c r="X671" s="333"/>
      <c r="Y671" s="333"/>
      <c r="Z671" s="333"/>
      <c r="AA671" s="333"/>
      <c r="AB671" s="333"/>
      <c r="AC671" s="333"/>
      <c r="AD671" s="333"/>
      <c r="AE671" s="333"/>
      <c r="AF671" s="333"/>
      <c r="AG671" s="333"/>
      <c r="AH671" s="333"/>
      <c r="AI671" s="333"/>
      <c r="AJ671" s="333"/>
      <c r="AK671" s="333"/>
      <c r="AL671" s="333"/>
      <c r="AM671" s="333"/>
      <c r="AN671" s="333"/>
      <c r="AO671" s="333"/>
      <c r="AP671" s="333"/>
      <c r="AQ671" s="333"/>
      <c r="AR671" s="333"/>
      <c r="AS671" s="333"/>
      <c r="AT671" s="333"/>
      <c r="AU671" s="333"/>
      <c r="AV671" s="333"/>
      <c r="AW671" s="333"/>
      <c r="AX671" s="333"/>
      <c r="AY671" s="333"/>
      <c r="AZ671" s="333"/>
      <c r="BA671" s="333"/>
      <c r="BB671" s="333"/>
      <c r="BC671" s="333"/>
      <c r="BD671" s="333"/>
      <c r="BE671" s="334"/>
    </row>
    <row r="672" spans="2:57" x14ac:dyDescent="0.25">
      <c r="B672" s="332"/>
      <c r="C672" s="333"/>
      <c r="D672" s="333"/>
      <c r="E672" s="333"/>
      <c r="F672" s="333"/>
      <c r="G672" s="333"/>
      <c r="H672" s="333"/>
      <c r="I672" s="333"/>
      <c r="J672" s="333"/>
      <c r="K672" s="333"/>
      <c r="L672" s="333"/>
      <c r="M672" s="333"/>
      <c r="N672" s="333"/>
      <c r="O672" s="333"/>
      <c r="P672" s="333"/>
      <c r="Q672" s="333"/>
      <c r="R672" s="333"/>
      <c r="S672" s="333"/>
      <c r="T672" s="333"/>
      <c r="U672" s="333"/>
      <c r="V672" s="333"/>
      <c r="W672" s="333"/>
      <c r="X672" s="333"/>
      <c r="Y672" s="333"/>
      <c r="Z672" s="333"/>
      <c r="AA672" s="333"/>
      <c r="AB672" s="333"/>
      <c r="AC672" s="333"/>
      <c r="AD672" s="333"/>
      <c r="AE672" s="333"/>
      <c r="AF672" s="333"/>
      <c r="AG672" s="333"/>
      <c r="AH672" s="333"/>
      <c r="AI672" s="333"/>
      <c r="AJ672" s="333"/>
      <c r="AK672" s="333"/>
      <c r="AL672" s="333"/>
      <c r="AM672" s="333"/>
      <c r="AN672" s="333"/>
      <c r="AO672" s="333"/>
      <c r="AP672" s="333"/>
      <c r="AQ672" s="333"/>
      <c r="AR672" s="333"/>
      <c r="AS672" s="333"/>
      <c r="AT672" s="333"/>
      <c r="AU672" s="333"/>
      <c r="AV672" s="333"/>
      <c r="AW672" s="333"/>
      <c r="AX672" s="333"/>
      <c r="AY672" s="333"/>
      <c r="AZ672" s="333"/>
      <c r="BA672" s="333"/>
      <c r="BB672" s="333"/>
      <c r="BC672" s="333"/>
      <c r="BD672" s="333"/>
      <c r="BE672" s="334"/>
    </row>
    <row r="673" spans="2:57" x14ac:dyDescent="0.25">
      <c r="B673" s="344" t="s">
        <v>86</v>
      </c>
      <c r="C673" s="333"/>
      <c r="D673" s="333"/>
      <c r="E673" s="333"/>
      <c r="F673" s="333"/>
      <c r="G673" s="333"/>
      <c r="H673" s="333"/>
      <c r="I673" s="333"/>
      <c r="J673" s="333"/>
      <c r="K673" s="333"/>
      <c r="L673" s="333"/>
      <c r="M673" s="333"/>
      <c r="N673" s="333"/>
      <c r="O673" s="333"/>
      <c r="P673" s="333"/>
      <c r="Q673" s="333"/>
      <c r="R673" s="333"/>
      <c r="S673" s="333"/>
      <c r="T673" s="333"/>
      <c r="U673" s="333"/>
      <c r="V673" s="333"/>
      <c r="W673" s="333"/>
      <c r="X673" s="333"/>
      <c r="Y673" s="333"/>
      <c r="Z673" s="333"/>
      <c r="AA673" s="333"/>
      <c r="AB673" s="333"/>
      <c r="AC673" s="333"/>
      <c r="AD673" s="333"/>
      <c r="AE673" s="333"/>
      <c r="AF673" s="333"/>
      <c r="AG673" s="333"/>
      <c r="AH673" s="333"/>
      <c r="AI673" s="333"/>
      <c r="AJ673" s="333"/>
      <c r="AK673" s="333"/>
      <c r="AL673" s="333"/>
      <c r="AM673" s="333"/>
      <c r="AN673" s="333"/>
      <c r="AO673" s="333"/>
      <c r="AP673" s="333"/>
      <c r="AQ673" s="333"/>
      <c r="AR673" s="333"/>
      <c r="AS673" s="333"/>
      <c r="AT673" s="333"/>
      <c r="AU673" s="333"/>
      <c r="AV673" s="333"/>
      <c r="AW673" s="333"/>
      <c r="AX673" s="333"/>
      <c r="AY673" s="333"/>
      <c r="AZ673" s="333"/>
      <c r="BA673" s="333"/>
      <c r="BB673" s="333"/>
      <c r="BC673" s="333"/>
      <c r="BD673" s="333"/>
      <c r="BE673" s="334"/>
    </row>
    <row r="674" spans="2:57" x14ac:dyDescent="0.25">
      <c r="B674" s="332"/>
      <c r="C674" s="408" t="s">
        <v>84</v>
      </c>
      <c r="D674" s="333"/>
      <c r="E674" s="333"/>
      <c r="F674" s="333"/>
      <c r="G674" s="1279">
        <f>IF('II. Inputs, Baseline Energy Mix'!$R$15&gt;0, ('II. Inputs, Baseline Energy Mix'!$R$16*'II. Inputs, Baseline Energy Mix'!$R$17*'II. Inputs, Baseline Energy Mix'!$R$29*'II. Inputs, Baseline Energy Mix'!$R$80),0)</f>
        <v>0</v>
      </c>
      <c r="H674" s="333"/>
      <c r="I674" s="333"/>
      <c r="J674" s="333"/>
      <c r="K674" s="333"/>
      <c r="L674" s="333"/>
      <c r="M674" s="333"/>
      <c r="N674" s="333"/>
      <c r="O674" s="333"/>
      <c r="P674" s="333"/>
      <c r="Q674" s="333"/>
      <c r="R674" s="333"/>
      <c r="S674" s="333"/>
      <c r="T674" s="333"/>
      <c r="U674" s="333"/>
      <c r="V674" s="333"/>
      <c r="W674" s="333"/>
      <c r="X674" s="333"/>
      <c r="Y674" s="333"/>
      <c r="Z674" s="333"/>
      <c r="AA674" s="333"/>
      <c r="AB674" s="333"/>
      <c r="AC674" s="333"/>
      <c r="AD674" s="333"/>
      <c r="AE674" s="333"/>
      <c r="AF674" s="333"/>
      <c r="AG674" s="333"/>
      <c r="AH674" s="333"/>
      <c r="AI674" s="333"/>
      <c r="AJ674" s="333"/>
      <c r="AK674" s="333"/>
      <c r="AL674" s="333"/>
      <c r="AM674" s="333"/>
      <c r="AN674" s="333"/>
      <c r="AO674" s="333"/>
      <c r="AP674" s="333"/>
      <c r="AQ674" s="333"/>
      <c r="AR674" s="333"/>
      <c r="AS674" s="333"/>
      <c r="AT674" s="333"/>
      <c r="AU674" s="333"/>
      <c r="AV674" s="333"/>
      <c r="AW674" s="333"/>
      <c r="AX674" s="333"/>
      <c r="AY674" s="333"/>
      <c r="AZ674" s="333"/>
      <c r="BA674" s="333"/>
      <c r="BB674" s="333"/>
      <c r="BC674" s="333"/>
      <c r="BD674" s="333"/>
      <c r="BE674" s="334"/>
    </row>
    <row r="675" spans="2:57" x14ac:dyDescent="0.25">
      <c r="B675" s="332"/>
      <c r="C675" s="408" t="str">
        <f>'II. Inputs, Baseline Energy Mix'!$E$81</f>
        <v xml:space="preserve">Term of Political Risk Insurance </v>
      </c>
      <c r="D675" s="333"/>
      <c r="E675" s="333"/>
      <c r="F675" s="333"/>
      <c r="G675" s="335">
        <f>'II. Inputs, Baseline Energy Mix'!$R$81</f>
        <v>0</v>
      </c>
      <c r="H675" s="333"/>
      <c r="I675" s="333"/>
      <c r="J675" s="333"/>
      <c r="K675" s="333"/>
      <c r="L675" s="333"/>
      <c r="M675" s="333"/>
      <c r="N675" s="333"/>
      <c r="O675" s="333"/>
      <c r="P675" s="333"/>
      <c r="Q675" s="333"/>
      <c r="R675" s="333"/>
      <c r="S675" s="333"/>
      <c r="T675" s="333"/>
      <c r="U675" s="333"/>
      <c r="V675" s="333"/>
      <c r="W675" s="333"/>
      <c r="X675" s="333"/>
      <c r="Y675" s="333"/>
      <c r="Z675" s="333"/>
      <c r="AA675" s="333"/>
      <c r="AB675" s="333"/>
      <c r="AC675" s="333"/>
      <c r="AD675" s="333"/>
      <c r="AE675" s="333"/>
      <c r="AF675" s="333"/>
      <c r="AG675" s="333"/>
      <c r="AH675" s="333"/>
      <c r="AI675" s="333"/>
      <c r="AJ675" s="333"/>
      <c r="AK675" s="333"/>
      <c r="AL675" s="333"/>
      <c r="AM675" s="333"/>
      <c r="AN675" s="333"/>
      <c r="AO675" s="333"/>
      <c r="AP675" s="333"/>
      <c r="AQ675" s="333"/>
      <c r="AR675" s="333"/>
      <c r="AS675" s="333"/>
      <c r="AT675" s="333"/>
      <c r="AU675" s="333"/>
      <c r="AV675" s="333"/>
      <c r="AW675" s="333"/>
      <c r="AX675" s="333"/>
      <c r="AY675" s="333"/>
      <c r="AZ675" s="333"/>
      <c r="BA675" s="333"/>
      <c r="BB675" s="333"/>
      <c r="BC675" s="333"/>
      <c r="BD675" s="333"/>
      <c r="BE675" s="334"/>
    </row>
    <row r="676" spans="2:57" x14ac:dyDescent="0.25">
      <c r="B676" s="332"/>
      <c r="C676" s="408" t="str">
        <f>'II. Inputs, Baseline Energy Mix'!$E$82</f>
        <v xml:space="preserve">Front-end Fee </v>
      </c>
      <c r="D676" s="333"/>
      <c r="E676" s="333"/>
      <c r="F676" s="333"/>
      <c r="G676" s="1279">
        <f>'II. Inputs, Baseline Energy Mix'!$R$82</f>
        <v>0</v>
      </c>
      <c r="H676" s="333"/>
      <c r="I676" s="333"/>
      <c r="J676" s="333"/>
      <c r="K676" s="333"/>
      <c r="L676" s="333"/>
      <c r="M676" s="333"/>
      <c r="N676" s="333"/>
      <c r="O676" s="333"/>
      <c r="P676" s="333"/>
      <c r="Q676" s="333"/>
      <c r="R676" s="333"/>
      <c r="S676" s="333"/>
      <c r="T676" s="333"/>
      <c r="U676" s="333"/>
      <c r="V676" s="333"/>
      <c r="W676" s="333"/>
      <c r="X676" s="333"/>
      <c r="Y676" s="333"/>
      <c r="Z676" s="333"/>
      <c r="AA676" s="333"/>
      <c r="AB676" s="333"/>
      <c r="AC676" s="333"/>
      <c r="AD676" s="333"/>
      <c r="AE676" s="333"/>
      <c r="AF676" s="333"/>
      <c r="AG676" s="333"/>
      <c r="AH676" s="333"/>
      <c r="AI676" s="333"/>
      <c r="AJ676" s="333"/>
      <c r="AK676" s="333"/>
      <c r="AL676" s="333"/>
      <c r="AM676" s="333"/>
      <c r="AN676" s="333"/>
      <c r="AO676" s="333"/>
      <c r="AP676" s="333"/>
      <c r="AQ676" s="333"/>
      <c r="AR676" s="333"/>
      <c r="AS676" s="333"/>
      <c r="AT676" s="333"/>
      <c r="AU676" s="333"/>
      <c r="AV676" s="333"/>
      <c r="AW676" s="333"/>
      <c r="AX676" s="333"/>
      <c r="AY676" s="333"/>
      <c r="AZ676" s="333"/>
      <c r="BA676" s="333"/>
      <c r="BB676" s="333"/>
      <c r="BC676" s="333"/>
      <c r="BD676" s="333"/>
      <c r="BE676" s="334"/>
    </row>
    <row r="677" spans="2:57" x14ac:dyDescent="0.25">
      <c r="B677" s="332"/>
      <c r="C677" s="408" t="str">
        <f>'II. Inputs, Baseline Energy Mix'!$E$83</f>
        <v xml:space="preserve">Annual Political Risk Insurance Premium </v>
      </c>
      <c r="D677" s="333"/>
      <c r="E677" s="333"/>
      <c r="F677" s="333"/>
      <c r="G677" s="1279">
        <f>'II. Inputs, Baseline Energy Mix'!$R$83</f>
        <v>0</v>
      </c>
      <c r="H677" s="333"/>
      <c r="I677" s="333"/>
      <c r="J677" s="333"/>
      <c r="K677" s="333"/>
      <c r="L677" s="333"/>
      <c r="M677" s="333"/>
      <c r="N677" s="333"/>
      <c r="O677" s="333"/>
      <c r="P677" s="333"/>
      <c r="Q677" s="333"/>
      <c r="R677" s="333"/>
      <c r="S677" s="333"/>
      <c r="T677" s="333"/>
      <c r="U677" s="333"/>
      <c r="V677" s="333"/>
      <c r="W677" s="333"/>
      <c r="X677" s="333"/>
      <c r="Y677" s="333"/>
      <c r="Z677" s="333"/>
      <c r="AA677" s="333"/>
      <c r="AB677" s="333"/>
      <c r="AC677" s="333"/>
      <c r="AD677" s="333"/>
      <c r="AE677" s="333"/>
      <c r="AF677" s="333"/>
      <c r="AG677" s="333"/>
      <c r="AH677" s="333"/>
      <c r="AI677" s="333"/>
      <c r="AJ677" s="333"/>
      <c r="AK677" s="333"/>
      <c r="AL677" s="333"/>
      <c r="AM677" s="333"/>
      <c r="AN677" s="333"/>
      <c r="AO677" s="333"/>
      <c r="AP677" s="333"/>
      <c r="AQ677" s="333"/>
      <c r="AR677" s="333"/>
      <c r="AS677" s="333"/>
      <c r="AT677" s="333"/>
      <c r="AU677" s="333"/>
      <c r="AV677" s="333"/>
      <c r="AW677" s="333"/>
      <c r="AX677" s="333"/>
      <c r="AY677" s="333"/>
      <c r="AZ677" s="333"/>
      <c r="BA677" s="333"/>
      <c r="BB677" s="333"/>
      <c r="BC677" s="333"/>
      <c r="BD677" s="333"/>
      <c r="BE677" s="334"/>
    </row>
    <row r="678" spans="2:57" x14ac:dyDescent="0.25">
      <c r="B678" s="332"/>
      <c r="C678" s="333"/>
      <c r="D678" s="333"/>
      <c r="E678" s="333"/>
      <c r="F678" s="333"/>
      <c r="G678" s="333"/>
      <c r="H678" s="333"/>
      <c r="I678" s="333"/>
      <c r="J678" s="333"/>
      <c r="K678" s="333"/>
      <c r="L678" s="333"/>
      <c r="M678" s="333"/>
      <c r="N678" s="333"/>
      <c r="O678" s="333"/>
      <c r="P678" s="333"/>
      <c r="Q678" s="333"/>
      <c r="R678" s="333"/>
      <c r="S678" s="333"/>
      <c r="T678" s="333"/>
      <c r="U678" s="333"/>
      <c r="V678" s="333"/>
      <c r="W678" s="333"/>
      <c r="X678" s="333"/>
      <c r="Y678" s="333"/>
      <c r="Z678" s="333"/>
      <c r="AA678" s="333"/>
      <c r="AB678" s="333"/>
      <c r="AC678" s="333"/>
      <c r="AD678" s="333"/>
      <c r="AE678" s="333"/>
      <c r="AF678" s="333"/>
      <c r="AG678" s="333"/>
      <c r="AH678" s="333"/>
      <c r="AI678" s="333"/>
      <c r="AJ678" s="333"/>
      <c r="AK678" s="333"/>
      <c r="AL678" s="333"/>
      <c r="AM678" s="333"/>
      <c r="AN678" s="333"/>
      <c r="AO678" s="333"/>
      <c r="AP678" s="333"/>
      <c r="AQ678" s="333"/>
      <c r="AR678" s="333"/>
      <c r="AS678" s="333"/>
      <c r="AT678" s="333"/>
      <c r="AU678" s="333"/>
      <c r="AV678" s="333"/>
      <c r="AW678" s="333"/>
      <c r="AX678" s="333"/>
      <c r="AY678" s="333"/>
      <c r="AZ678" s="333"/>
      <c r="BA678" s="333"/>
      <c r="BB678" s="333"/>
      <c r="BC678" s="333"/>
      <c r="BD678" s="333"/>
      <c r="BE678" s="334"/>
    </row>
    <row r="679" spans="2:57" x14ac:dyDescent="0.25">
      <c r="B679" s="332"/>
      <c r="C679" s="411" t="s">
        <v>71</v>
      </c>
      <c r="D679" s="333"/>
      <c r="E679" s="333"/>
      <c r="F679" s="333"/>
      <c r="G679" s="333"/>
      <c r="H679" s="333"/>
      <c r="I679" s="333"/>
      <c r="J679" s="333"/>
      <c r="K679" s="333"/>
      <c r="L679" s="333"/>
      <c r="M679" s="333"/>
      <c r="N679" s="333"/>
      <c r="O679" s="333"/>
      <c r="P679" s="333"/>
      <c r="Q679" s="333"/>
      <c r="R679" s="333"/>
      <c r="S679" s="333"/>
      <c r="T679" s="333"/>
      <c r="U679" s="333"/>
      <c r="V679" s="333"/>
      <c r="W679" s="333"/>
      <c r="X679" s="333"/>
      <c r="Y679" s="333"/>
      <c r="Z679" s="333"/>
      <c r="AA679" s="333"/>
      <c r="AB679" s="333"/>
      <c r="AC679" s="333"/>
      <c r="AD679" s="333"/>
      <c r="AE679" s="333"/>
      <c r="AF679" s="333"/>
      <c r="AG679" s="333"/>
      <c r="AH679" s="333"/>
      <c r="AI679" s="333"/>
      <c r="AJ679" s="333"/>
      <c r="AK679" s="333"/>
      <c r="AL679" s="333"/>
      <c r="AM679" s="333"/>
      <c r="AN679" s="333"/>
      <c r="AO679" s="333"/>
      <c r="AP679" s="333"/>
      <c r="AQ679" s="333"/>
      <c r="AR679" s="333"/>
      <c r="AS679" s="333"/>
      <c r="AT679" s="333"/>
      <c r="AU679" s="333"/>
      <c r="AV679" s="333"/>
      <c r="AW679" s="333"/>
      <c r="AX679" s="333"/>
      <c r="AY679" s="333"/>
      <c r="AZ679" s="333"/>
      <c r="BA679" s="333"/>
      <c r="BB679" s="333"/>
      <c r="BC679" s="333"/>
      <c r="BD679" s="333"/>
      <c r="BE679" s="334"/>
    </row>
    <row r="680" spans="2:57" x14ac:dyDescent="0.25">
      <c r="B680" s="332"/>
      <c r="C680" s="333" t="str">
        <f>'II. Inputs, Baseline Energy Mix'!$E$82</f>
        <v xml:space="preserve">Front-end Fee </v>
      </c>
      <c r="D680" s="333"/>
      <c r="E680" s="333"/>
      <c r="F680" s="333"/>
      <c r="G680" s="333"/>
      <c r="H680" s="1279">
        <f>IF(G674&gt;0, G674*G676/10000, 0)</f>
        <v>0</v>
      </c>
      <c r="I680" s="1279">
        <v>0</v>
      </c>
      <c r="J680" s="1279">
        <v>0</v>
      </c>
      <c r="K680" s="1279">
        <v>0</v>
      </c>
      <c r="L680" s="1279">
        <v>0</v>
      </c>
      <c r="M680" s="1279">
        <v>0</v>
      </c>
      <c r="N680" s="1279">
        <v>0</v>
      </c>
      <c r="O680" s="1279">
        <v>0</v>
      </c>
      <c r="P680" s="1279">
        <v>0</v>
      </c>
      <c r="Q680" s="1279">
        <v>0</v>
      </c>
      <c r="R680" s="1279">
        <v>0</v>
      </c>
      <c r="S680" s="1279">
        <v>0</v>
      </c>
      <c r="T680" s="1279">
        <v>0</v>
      </c>
      <c r="U680" s="1279">
        <v>0</v>
      </c>
      <c r="V680" s="1279">
        <v>0</v>
      </c>
      <c r="W680" s="1279">
        <v>0</v>
      </c>
      <c r="X680" s="1279">
        <v>0</v>
      </c>
      <c r="Y680" s="1279">
        <v>0</v>
      </c>
      <c r="Z680" s="1279">
        <v>0</v>
      </c>
      <c r="AA680" s="1279">
        <v>0</v>
      </c>
      <c r="AB680" s="1279">
        <v>0</v>
      </c>
      <c r="AC680" s="1279">
        <v>0</v>
      </c>
      <c r="AD680" s="1279">
        <v>0</v>
      </c>
      <c r="AE680" s="1279">
        <v>0</v>
      </c>
      <c r="AF680" s="1279">
        <v>0</v>
      </c>
      <c r="AG680" s="1279">
        <v>0</v>
      </c>
      <c r="AH680" s="1279">
        <v>0</v>
      </c>
      <c r="AI680" s="1279">
        <v>0</v>
      </c>
      <c r="AJ680" s="1279">
        <v>0</v>
      </c>
      <c r="AK680" s="1279">
        <v>0</v>
      </c>
      <c r="AL680" s="1279">
        <v>0</v>
      </c>
      <c r="AM680" s="1279">
        <v>0</v>
      </c>
      <c r="AN680" s="1279">
        <v>0</v>
      </c>
      <c r="AO680" s="1279">
        <v>0</v>
      </c>
      <c r="AP680" s="1279">
        <v>0</v>
      </c>
      <c r="AQ680" s="1279">
        <v>0</v>
      </c>
      <c r="AR680" s="1279">
        <v>0</v>
      </c>
      <c r="AS680" s="1279">
        <v>0</v>
      </c>
      <c r="AT680" s="1279">
        <v>0</v>
      </c>
      <c r="AU680" s="1279">
        <v>0</v>
      </c>
      <c r="AV680" s="1279">
        <v>0</v>
      </c>
      <c r="AW680" s="1279">
        <v>0</v>
      </c>
      <c r="AX680" s="1279">
        <v>0</v>
      </c>
      <c r="AY680" s="1279">
        <v>0</v>
      </c>
      <c r="AZ680" s="1279">
        <v>0</v>
      </c>
      <c r="BA680" s="1279">
        <v>0</v>
      </c>
      <c r="BB680" s="1279">
        <v>0</v>
      </c>
      <c r="BC680" s="1279">
        <v>0</v>
      </c>
      <c r="BD680" s="1279">
        <v>0</v>
      </c>
      <c r="BE680" s="1280">
        <v>0</v>
      </c>
    </row>
    <row r="681" spans="2:57" x14ac:dyDescent="0.25">
      <c r="B681" s="332"/>
      <c r="C681" s="340" t="str">
        <f>'II. Inputs, Baseline Energy Mix'!$E$83</f>
        <v xml:space="preserve">Annual Political Risk Insurance Premium </v>
      </c>
      <c r="D681" s="340"/>
      <c r="E681" s="340"/>
      <c r="F681" s="340"/>
      <c r="G681" s="340"/>
      <c r="H681" s="1281">
        <f>IF(H$299&gt;$G675,0,($G674*$G677/10000))</f>
        <v>0</v>
      </c>
      <c r="I681" s="1281">
        <f>IF(I$299&gt;$G675,0,($G674*$G677/10000))</f>
        <v>0</v>
      </c>
      <c r="J681" s="1281">
        <f t="shared" ref="J681:BE681" si="224">IF(J$299&gt;$G675,0,($G674*$G677/10000))</f>
        <v>0</v>
      </c>
      <c r="K681" s="1281">
        <f t="shared" si="224"/>
        <v>0</v>
      </c>
      <c r="L681" s="1281">
        <f t="shared" si="224"/>
        <v>0</v>
      </c>
      <c r="M681" s="1281">
        <f t="shared" si="224"/>
        <v>0</v>
      </c>
      <c r="N681" s="1281">
        <f t="shared" si="224"/>
        <v>0</v>
      </c>
      <c r="O681" s="1281">
        <f t="shared" si="224"/>
        <v>0</v>
      </c>
      <c r="P681" s="1281">
        <f t="shared" si="224"/>
        <v>0</v>
      </c>
      <c r="Q681" s="1281">
        <f t="shared" si="224"/>
        <v>0</v>
      </c>
      <c r="R681" s="1281">
        <f t="shared" si="224"/>
        <v>0</v>
      </c>
      <c r="S681" s="1281">
        <f t="shared" si="224"/>
        <v>0</v>
      </c>
      <c r="T681" s="1281">
        <f t="shared" si="224"/>
        <v>0</v>
      </c>
      <c r="U681" s="1281">
        <f t="shared" si="224"/>
        <v>0</v>
      </c>
      <c r="V681" s="1281">
        <f t="shared" si="224"/>
        <v>0</v>
      </c>
      <c r="W681" s="1281">
        <f t="shared" si="224"/>
        <v>0</v>
      </c>
      <c r="X681" s="1281">
        <f t="shared" si="224"/>
        <v>0</v>
      </c>
      <c r="Y681" s="1281">
        <f t="shared" si="224"/>
        <v>0</v>
      </c>
      <c r="Z681" s="1281">
        <f t="shared" si="224"/>
        <v>0</v>
      </c>
      <c r="AA681" s="1281">
        <f t="shared" si="224"/>
        <v>0</v>
      </c>
      <c r="AB681" s="1281">
        <f t="shared" si="224"/>
        <v>0</v>
      </c>
      <c r="AC681" s="1281">
        <f t="shared" si="224"/>
        <v>0</v>
      </c>
      <c r="AD681" s="1281">
        <f t="shared" si="224"/>
        <v>0</v>
      </c>
      <c r="AE681" s="1281">
        <f t="shared" si="224"/>
        <v>0</v>
      </c>
      <c r="AF681" s="1281">
        <f t="shared" si="224"/>
        <v>0</v>
      </c>
      <c r="AG681" s="1281">
        <f t="shared" si="224"/>
        <v>0</v>
      </c>
      <c r="AH681" s="1281">
        <f t="shared" si="224"/>
        <v>0</v>
      </c>
      <c r="AI681" s="1281">
        <f t="shared" si="224"/>
        <v>0</v>
      </c>
      <c r="AJ681" s="1281">
        <f t="shared" si="224"/>
        <v>0</v>
      </c>
      <c r="AK681" s="1281">
        <f t="shared" si="224"/>
        <v>0</v>
      </c>
      <c r="AL681" s="1281">
        <f t="shared" si="224"/>
        <v>0</v>
      </c>
      <c r="AM681" s="1281">
        <f t="shared" si="224"/>
        <v>0</v>
      </c>
      <c r="AN681" s="1281">
        <f t="shared" si="224"/>
        <v>0</v>
      </c>
      <c r="AO681" s="1281">
        <f t="shared" si="224"/>
        <v>0</v>
      </c>
      <c r="AP681" s="1281">
        <f t="shared" si="224"/>
        <v>0</v>
      </c>
      <c r="AQ681" s="1281">
        <f t="shared" si="224"/>
        <v>0</v>
      </c>
      <c r="AR681" s="1281">
        <f t="shared" si="224"/>
        <v>0</v>
      </c>
      <c r="AS681" s="1281">
        <f t="shared" si="224"/>
        <v>0</v>
      </c>
      <c r="AT681" s="1281">
        <f t="shared" si="224"/>
        <v>0</v>
      </c>
      <c r="AU681" s="1281">
        <f t="shared" si="224"/>
        <v>0</v>
      </c>
      <c r="AV681" s="1281">
        <f t="shared" si="224"/>
        <v>0</v>
      </c>
      <c r="AW681" s="1281">
        <f t="shared" si="224"/>
        <v>0</v>
      </c>
      <c r="AX681" s="1281">
        <f t="shared" si="224"/>
        <v>0</v>
      </c>
      <c r="AY681" s="1281">
        <f t="shared" si="224"/>
        <v>0</v>
      </c>
      <c r="AZ681" s="1281">
        <f t="shared" si="224"/>
        <v>0</v>
      </c>
      <c r="BA681" s="1281">
        <f t="shared" si="224"/>
        <v>0</v>
      </c>
      <c r="BB681" s="1281">
        <f t="shared" si="224"/>
        <v>0</v>
      </c>
      <c r="BC681" s="1281">
        <f t="shared" si="224"/>
        <v>0</v>
      </c>
      <c r="BD681" s="1281">
        <f t="shared" si="224"/>
        <v>0</v>
      </c>
      <c r="BE681" s="1282">
        <f t="shared" si="224"/>
        <v>0</v>
      </c>
    </row>
    <row r="682" spans="2:57" x14ac:dyDescent="0.25">
      <c r="B682" s="332"/>
      <c r="C682" s="333" t="s">
        <v>85</v>
      </c>
      <c r="D682" s="333"/>
      <c r="E682" s="333"/>
      <c r="F682" s="333"/>
      <c r="G682" s="333"/>
      <c r="H682" s="1279">
        <f>H680+H681</f>
        <v>0</v>
      </c>
      <c r="I682" s="1279">
        <f t="shared" ref="I682:BE682" si="225">I680+I681</f>
        <v>0</v>
      </c>
      <c r="J682" s="1279">
        <f t="shared" si="225"/>
        <v>0</v>
      </c>
      <c r="K682" s="1279">
        <f t="shared" si="225"/>
        <v>0</v>
      </c>
      <c r="L682" s="1279">
        <f t="shared" si="225"/>
        <v>0</v>
      </c>
      <c r="M682" s="1279">
        <f t="shared" si="225"/>
        <v>0</v>
      </c>
      <c r="N682" s="1279">
        <f t="shared" si="225"/>
        <v>0</v>
      </c>
      <c r="O682" s="1279">
        <f t="shared" si="225"/>
        <v>0</v>
      </c>
      <c r="P682" s="1279">
        <f t="shared" si="225"/>
        <v>0</v>
      </c>
      <c r="Q682" s="1279">
        <f t="shared" si="225"/>
        <v>0</v>
      </c>
      <c r="R682" s="1279">
        <f t="shared" si="225"/>
        <v>0</v>
      </c>
      <c r="S682" s="1279">
        <f t="shared" si="225"/>
        <v>0</v>
      </c>
      <c r="T682" s="1279">
        <f t="shared" si="225"/>
        <v>0</v>
      </c>
      <c r="U682" s="1279">
        <f t="shared" si="225"/>
        <v>0</v>
      </c>
      <c r="V682" s="1279">
        <f t="shared" si="225"/>
        <v>0</v>
      </c>
      <c r="W682" s="1279">
        <f t="shared" si="225"/>
        <v>0</v>
      </c>
      <c r="X682" s="1279">
        <f t="shared" si="225"/>
        <v>0</v>
      </c>
      <c r="Y682" s="1279">
        <f t="shared" si="225"/>
        <v>0</v>
      </c>
      <c r="Z682" s="1279">
        <f t="shared" si="225"/>
        <v>0</v>
      </c>
      <c r="AA682" s="1279">
        <f t="shared" si="225"/>
        <v>0</v>
      </c>
      <c r="AB682" s="1279">
        <f t="shared" si="225"/>
        <v>0</v>
      </c>
      <c r="AC682" s="1279">
        <f t="shared" si="225"/>
        <v>0</v>
      </c>
      <c r="AD682" s="1279">
        <f t="shared" si="225"/>
        <v>0</v>
      </c>
      <c r="AE682" s="1279">
        <f t="shared" si="225"/>
        <v>0</v>
      </c>
      <c r="AF682" s="1279">
        <f t="shared" si="225"/>
        <v>0</v>
      </c>
      <c r="AG682" s="1279">
        <f t="shared" si="225"/>
        <v>0</v>
      </c>
      <c r="AH682" s="1279">
        <f t="shared" si="225"/>
        <v>0</v>
      </c>
      <c r="AI682" s="1279">
        <f t="shared" si="225"/>
        <v>0</v>
      </c>
      <c r="AJ682" s="1279">
        <f t="shared" si="225"/>
        <v>0</v>
      </c>
      <c r="AK682" s="1279">
        <f t="shared" si="225"/>
        <v>0</v>
      </c>
      <c r="AL682" s="1279">
        <f t="shared" si="225"/>
        <v>0</v>
      </c>
      <c r="AM682" s="1279">
        <f t="shared" si="225"/>
        <v>0</v>
      </c>
      <c r="AN682" s="1279">
        <f t="shared" si="225"/>
        <v>0</v>
      </c>
      <c r="AO682" s="1279">
        <f t="shared" si="225"/>
        <v>0</v>
      </c>
      <c r="AP682" s="1279">
        <f t="shared" si="225"/>
        <v>0</v>
      </c>
      <c r="AQ682" s="1279">
        <f t="shared" si="225"/>
        <v>0</v>
      </c>
      <c r="AR682" s="1279">
        <f t="shared" si="225"/>
        <v>0</v>
      </c>
      <c r="AS682" s="1279">
        <f t="shared" si="225"/>
        <v>0</v>
      </c>
      <c r="AT682" s="1279">
        <f t="shared" si="225"/>
        <v>0</v>
      </c>
      <c r="AU682" s="1279">
        <f t="shared" si="225"/>
        <v>0</v>
      </c>
      <c r="AV682" s="1279">
        <f t="shared" si="225"/>
        <v>0</v>
      </c>
      <c r="AW682" s="1279">
        <f t="shared" si="225"/>
        <v>0</v>
      </c>
      <c r="AX682" s="1279">
        <f t="shared" si="225"/>
        <v>0</v>
      </c>
      <c r="AY682" s="1279">
        <f t="shared" si="225"/>
        <v>0</v>
      </c>
      <c r="AZ682" s="1279">
        <f t="shared" si="225"/>
        <v>0</v>
      </c>
      <c r="BA682" s="1279">
        <f t="shared" si="225"/>
        <v>0</v>
      </c>
      <c r="BB682" s="1279">
        <f t="shared" si="225"/>
        <v>0</v>
      </c>
      <c r="BC682" s="1279">
        <f t="shared" si="225"/>
        <v>0</v>
      </c>
      <c r="BD682" s="1279">
        <f t="shared" si="225"/>
        <v>0</v>
      </c>
      <c r="BE682" s="1280">
        <f t="shared" si="225"/>
        <v>0</v>
      </c>
    </row>
    <row r="683" spans="2:57" ht="13.8" thickBot="1" x14ac:dyDescent="0.3">
      <c r="B683" s="413"/>
      <c r="C683" s="353"/>
      <c r="D683" s="353"/>
      <c r="E683" s="353"/>
      <c r="F683" s="353"/>
      <c r="G683" s="353"/>
      <c r="H683" s="354"/>
      <c r="I683" s="354"/>
      <c r="J683" s="354"/>
      <c r="K683" s="354"/>
      <c r="L683" s="354"/>
      <c r="M683" s="354"/>
      <c r="N683" s="354"/>
      <c r="O683" s="354"/>
      <c r="P683" s="354"/>
      <c r="Q683" s="354"/>
      <c r="R683" s="354"/>
      <c r="S683" s="354"/>
      <c r="T683" s="354"/>
      <c r="U683" s="354"/>
      <c r="V683" s="354"/>
      <c r="W683" s="354"/>
      <c r="X683" s="354"/>
      <c r="Y683" s="354"/>
      <c r="Z683" s="354"/>
      <c r="AA683" s="354"/>
      <c r="AB683" s="354"/>
      <c r="AC683" s="354"/>
      <c r="AD683" s="354"/>
      <c r="AE683" s="354"/>
      <c r="AF683" s="354"/>
      <c r="AG683" s="354"/>
      <c r="AH683" s="354"/>
      <c r="AI683" s="354"/>
      <c r="AJ683" s="354"/>
      <c r="AK683" s="354"/>
      <c r="AL683" s="354"/>
      <c r="AM683" s="354"/>
      <c r="AN683" s="354"/>
      <c r="AO683" s="354"/>
      <c r="AP683" s="354"/>
      <c r="AQ683" s="354"/>
      <c r="AR683" s="354"/>
      <c r="AS683" s="354"/>
      <c r="AT683" s="354"/>
      <c r="AU683" s="354"/>
      <c r="AV683" s="354"/>
      <c r="AW683" s="354"/>
      <c r="AX683" s="354"/>
      <c r="AY683" s="354"/>
      <c r="AZ683" s="354"/>
      <c r="BA683" s="354"/>
      <c r="BB683" s="354"/>
      <c r="BC683" s="354"/>
      <c r="BD683" s="354"/>
      <c r="BE683" s="414"/>
    </row>
    <row r="684" spans="2:57" x14ac:dyDescent="0.25">
      <c r="H684" s="250"/>
      <c r="I684" s="250"/>
      <c r="J684" s="250"/>
      <c r="K684" s="250"/>
      <c r="L684" s="250"/>
      <c r="M684" s="250"/>
      <c r="N684" s="250"/>
      <c r="O684" s="250"/>
      <c r="P684" s="250"/>
      <c r="Q684" s="250"/>
      <c r="R684" s="250"/>
      <c r="S684" s="250"/>
      <c r="T684" s="250"/>
      <c r="U684" s="250"/>
      <c r="V684" s="250"/>
      <c r="W684" s="250"/>
      <c r="X684" s="250"/>
      <c r="Y684" s="250"/>
      <c r="Z684" s="250"/>
      <c r="AA684" s="250"/>
      <c r="AB684" s="250"/>
      <c r="AC684" s="250"/>
      <c r="AD684" s="250"/>
      <c r="AE684" s="250"/>
      <c r="AF684" s="250"/>
      <c r="AG684" s="250"/>
      <c r="AH684" s="250"/>
      <c r="AI684" s="250"/>
      <c r="AJ684" s="250"/>
      <c r="AK684" s="250"/>
      <c r="AL684" s="250"/>
      <c r="AM684" s="250"/>
      <c r="AN684" s="250"/>
      <c r="AO684" s="250"/>
      <c r="AP684" s="250"/>
      <c r="AQ684" s="250"/>
      <c r="AR684" s="250"/>
      <c r="AS684" s="250"/>
      <c r="AT684" s="250"/>
      <c r="AU684" s="250"/>
      <c r="AV684" s="250"/>
      <c r="AW684" s="250"/>
      <c r="AX684" s="250"/>
      <c r="AY684" s="250"/>
      <c r="AZ684" s="250"/>
      <c r="BA684" s="250"/>
      <c r="BB684" s="250"/>
      <c r="BC684" s="250"/>
      <c r="BD684" s="250"/>
      <c r="BE684" s="250"/>
    </row>
    <row r="685" spans="2:57" ht="15.75" customHeight="1" thickBot="1" x14ac:dyDescent="0.3">
      <c r="H685" s="250"/>
      <c r="I685" s="250"/>
      <c r="J685" s="250"/>
      <c r="K685" s="250"/>
      <c r="L685" s="250"/>
      <c r="M685" s="250"/>
      <c r="N685" s="250"/>
      <c r="O685" s="250"/>
      <c r="P685" s="250"/>
      <c r="Q685" s="250"/>
      <c r="R685" s="250"/>
      <c r="S685" s="250"/>
      <c r="T685" s="250"/>
      <c r="U685" s="250"/>
      <c r="V685" s="250"/>
      <c r="W685" s="250"/>
      <c r="X685" s="250"/>
      <c r="Y685" s="250"/>
      <c r="Z685" s="250"/>
      <c r="AA685" s="250"/>
      <c r="AB685" s="250"/>
      <c r="AC685" s="250"/>
      <c r="AD685" s="250"/>
      <c r="AE685" s="250"/>
      <c r="AF685" s="250"/>
      <c r="AG685" s="250"/>
      <c r="AH685" s="250"/>
      <c r="AI685" s="250"/>
      <c r="AJ685" s="250"/>
      <c r="AK685" s="250"/>
      <c r="AL685" s="250"/>
      <c r="AM685" s="250"/>
      <c r="AN685" s="250"/>
      <c r="AO685" s="250"/>
      <c r="AP685" s="250"/>
      <c r="AQ685" s="250"/>
      <c r="AR685" s="250"/>
      <c r="AS685" s="250"/>
      <c r="AT685" s="250"/>
      <c r="AU685" s="250"/>
      <c r="AV685" s="250"/>
      <c r="AW685" s="250"/>
      <c r="AX685" s="250"/>
      <c r="AY685" s="250"/>
      <c r="AZ685" s="250"/>
      <c r="BA685" s="250"/>
      <c r="BB685" s="250"/>
      <c r="BC685" s="250"/>
      <c r="BD685" s="250"/>
      <c r="BE685" s="250"/>
    </row>
    <row r="686" spans="2:57" s="36" customFormat="1" x14ac:dyDescent="0.25">
      <c r="B686" s="356" t="str">
        <f>B250</f>
        <v>GEOTHERMAL</v>
      </c>
      <c r="C686" s="357"/>
      <c r="D686" s="357"/>
      <c r="E686" s="357"/>
      <c r="F686" s="357"/>
      <c r="G686" s="357"/>
      <c r="H686" s="357"/>
      <c r="I686" s="357"/>
      <c r="J686" s="357"/>
      <c r="K686" s="357"/>
      <c r="L686" s="357"/>
      <c r="M686" s="357"/>
      <c r="N686" s="357"/>
      <c r="O686" s="357"/>
      <c r="P686" s="357"/>
      <c r="Q686" s="357"/>
      <c r="R686" s="357"/>
      <c r="S686" s="357"/>
      <c r="T686" s="357"/>
      <c r="U686" s="357"/>
      <c r="V686" s="357"/>
      <c r="W686" s="357"/>
      <c r="X686" s="357"/>
      <c r="Y686" s="357"/>
      <c r="Z686" s="357"/>
      <c r="AA686" s="357"/>
      <c r="AB686" s="357"/>
      <c r="AC686" s="357"/>
      <c r="AD686" s="357"/>
      <c r="AE686" s="357"/>
      <c r="AF686" s="357"/>
      <c r="AG686" s="357"/>
      <c r="AH686" s="357"/>
      <c r="AI686" s="357"/>
      <c r="AJ686" s="357"/>
      <c r="AK686" s="357"/>
      <c r="AL686" s="357"/>
      <c r="AM686" s="357"/>
      <c r="AN686" s="357"/>
      <c r="AO686" s="357"/>
      <c r="AP686" s="357"/>
      <c r="AQ686" s="357"/>
      <c r="AR686" s="357"/>
      <c r="AS686" s="357"/>
      <c r="AT686" s="357"/>
      <c r="AU686" s="357"/>
      <c r="AV686" s="357"/>
      <c r="AW686" s="357"/>
      <c r="AX686" s="357"/>
      <c r="AY686" s="357"/>
      <c r="AZ686" s="357"/>
      <c r="BA686" s="357"/>
      <c r="BB686" s="357"/>
      <c r="BC686" s="357"/>
      <c r="BD686" s="357"/>
      <c r="BE686" s="358"/>
    </row>
    <row r="687" spans="2:57" x14ac:dyDescent="0.25">
      <c r="B687" s="359"/>
      <c r="C687" s="360"/>
      <c r="D687" s="360"/>
      <c r="E687" s="360"/>
      <c r="F687" s="360"/>
      <c r="G687" s="360"/>
      <c r="H687" s="360"/>
      <c r="I687" s="360"/>
      <c r="J687" s="360"/>
      <c r="K687" s="360"/>
      <c r="L687" s="360"/>
      <c r="M687" s="360"/>
      <c r="N687" s="360"/>
      <c r="O687" s="360"/>
      <c r="P687" s="360"/>
      <c r="Q687" s="360"/>
      <c r="R687" s="360"/>
      <c r="S687" s="360"/>
      <c r="T687" s="360"/>
      <c r="U687" s="360"/>
      <c r="V687" s="360"/>
      <c r="W687" s="360"/>
      <c r="X687" s="360"/>
      <c r="Y687" s="360"/>
      <c r="Z687" s="360"/>
      <c r="AA687" s="360"/>
      <c r="AB687" s="360"/>
      <c r="AC687" s="360"/>
      <c r="AD687" s="360"/>
      <c r="AE687" s="360"/>
      <c r="AF687" s="360"/>
      <c r="AG687" s="360"/>
      <c r="AH687" s="360"/>
      <c r="AI687" s="360"/>
      <c r="AJ687" s="360"/>
      <c r="AK687" s="360"/>
      <c r="AL687" s="360"/>
      <c r="AM687" s="360"/>
      <c r="AN687" s="360"/>
      <c r="AO687" s="360"/>
      <c r="AP687" s="360"/>
      <c r="AQ687" s="360"/>
      <c r="AR687" s="360"/>
      <c r="AS687" s="360"/>
      <c r="AT687" s="360"/>
      <c r="AU687" s="360"/>
      <c r="AV687" s="360"/>
      <c r="AW687" s="360"/>
      <c r="AX687" s="360"/>
      <c r="AY687" s="360"/>
      <c r="AZ687" s="360"/>
      <c r="BA687" s="360"/>
      <c r="BB687" s="360"/>
      <c r="BC687" s="360"/>
      <c r="BD687" s="360"/>
      <c r="BE687" s="361"/>
    </row>
    <row r="688" spans="2:57" x14ac:dyDescent="0.25">
      <c r="B688" s="371" t="s">
        <v>258</v>
      </c>
      <c r="C688" s="360"/>
      <c r="D688" s="360"/>
      <c r="E688" s="360"/>
      <c r="F688" s="360"/>
      <c r="G688" s="360"/>
      <c r="H688" s="360"/>
      <c r="I688" s="360"/>
      <c r="J688" s="360"/>
      <c r="K688" s="360"/>
      <c r="L688" s="360"/>
      <c r="M688" s="360"/>
      <c r="N688" s="360"/>
      <c r="O688" s="360"/>
      <c r="P688" s="360"/>
      <c r="Q688" s="360"/>
      <c r="R688" s="360"/>
      <c r="S688" s="360"/>
      <c r="T688" s="360"/>
      <c r="U688" s="360"/>
      <c r="V688" s="360"/>
      <c r="W688" s="360"/>
      <c r="X688" s="360"/>
      <c r="Y688" s="360"/>
      <c r="Z688" s="360"/>
      <c r="AA688" s="360"/>
      <c r="AB688" s="360"/>
      <c r="AC688" s="360"/>
      <c r="AD688" s="360"/>
      <c r="AE688" s="360"/>
      <c r="AF688" s="360"/>
      <c r="AG688" s="360"/>
      <c r="AH688" s="360"/>
      <c r="AI688" s="360"/>
      <c r="AJ688" s="360"/>
      <c r="AK688" s="360"/>
      <c r="AL688" s="360"/>
      <c r="AM688" s="360"/>
      <c r="AN688" s="360"/>
      <c r="AO688" s="360"/>
      <c r="AP688" s="360"/>
      <c r="AQ688" s="360"/>
      <c r="AR688" s="360"/>
      <c r="AS688" s="360"/>
      <c r="AT688" s="360"/>
      <c r="AU688" s="360"/>
      <c r="AV688" s="360"/>
      <c r="AW688" s="360"/>
      <c r="AX688" s="360"/>
      <c r="AY688" s="360"/>
      <c r="AZ688" s="360"/>
      <c r="BA688" s="360"/>
      <c r="BB688" s="360"/>
      <c r="BC688" s="360"/>
      <c r="BD688" s="360"/>
      <c r="BE688" s="361"/>
    </row>
    <row r="689" spans="2:57" x14ac:dyDescent="0.25">
      <c r="B689" s="359"/>
      <c r="C689" s="415" t="s">
        <v>68</v>
      </c>
      <c r="D689" s="363" t="s">
        <v>631</v>
      </c>
      <c r="E689" s="360"/>
      <c r="F689" s="360"/>
      <c r="G689" s="1288">
        <f>IF('II. Inputs, Baseline Energy Mix'!$S$15&gt;0,('II. Inputs, Baseline Energy Mix'!$S$16*'II. Inputs, Baseline Energy Mix'!$S$17*'II. Inputs, Baseline Energy Mix'!$S$30*'II. Inputs, Baseline Energy Mix'!$S$32),0)</f>
        <v>0</v>
      </c>
      <c r="H689" s="360"/>
      <c r="I689" s="360"/>
      <c r="J689" s="360"/>
      <c r="K689" s="360"/>
      <c r="L689" s="360"/>
      <c r="M689" s="360"/>
      <c r="N689" s="360"/>
      <c r="O689" s="360"/>
      <c r="P689" s="360"/>
      <c r="Q689" s="360"/>
      <c r="R689" s="360"/>
      <c r="S689" s="360"/>
      <c r="T689" s="360"/>
      <c r="U689" s="360"/>
      <c r="V689" s="360"/>
      <c r="W689" s="360"/>
      <c r="X689" s="360"/>
      <c r="Y689" s="360"/>
      <c r="Z689" s="360"/>
      <c r="AA689" s="360"/>
      <c r="AB689" s="360"/>
      <c r="AC689" s="360"/>
      <c r="AD689" s="360"/>
      <c r="AE689" s="360"/>
      <c r="AF689" s="360"/>
      <c r="AG689" s="360"/>
      <c r="AH689" s="360"/>
      <c r="AI689" s="360"/>
      <c r="AJ689" s="360"/>
      <c r="AK689" s="360"/>
      <c r="AL689" s="360"/>
      <c r="AM689" s="360"/>
      <c r="AN689" s="360"/>
      <c r="AO689" s="360"/>
      <c r="AP689" s="360"/>
      <c r="AQ689" s="360"/>
      <c r="AR689" s="360"/>
      <c r="AS689" s="360"/>
      <c r="AT689" s="360"/>
      <c r="AU689" s="360"/>
      <c r="AV689" s="360"/>
      <c r="AW689" s="360"/>
      <c r="AX689" s="360"/>
      <c r="AY689" s="360"/>
      <c r="AZ689" s="360"/>
      <c r="BA689" s="360"/>
      <c r="BB689" s="360"/>
      <c r="BC689" s="360"/>
      <c r="BD689" s="360"/>
      <c r="BE689" s="361"/>
    </row>
    <row r="690" spans="2:57" x14ac:dyDescent="0.25">
      <c r="B690" s="359"/>
      <c r="C690" s="415" t="s">
        <v>69</v>
      </c>
      <c r="D690" s="363" t="s">
        <v>20</v>
      </c>
      <c r="E690" s="360"/>
      <c r="F690" s="360"/>
      <c r="G690" s="362">
        <f>SUM('II. Inputs, Baseline Energy Mix'!$S$69)</f>
        <v>0</v>
      </c>
      <c r="H690" s="360"/>
      <c r="I690" s="360"/>
      <c r="J690" s="360"/>
      <c r="K690" s="360"/>
      <c r="L690" s="360"/>
      <c r="M690" s="360"/>
      <c r="N690" s="360"/>
      <c r="O690" s="360"/>
      <c r="P690" s="360"/>
      <c r="Q690" s="360"/>
      <c r="R690" s="360"/>
      <c r="S690" s="360"/>
      <c r="T690" s="360"/>
      <c r="U690" s="360"/>
      <c r="V690" s="360"/>
      <c r="W690" s="360"/>
      <c r="X690" s="360"/>
      <c r="Y690" s="360"/>
      <c r="Z690" s="360"/>
      <c r="AA690" s="360"/>
      <c r="AB690" s="360"/>
      <c r="AC690" s="360"/>
      <c r="AD690" s="360"/>
      <c r="AE690" s="360"/>
      <c r="AF690" s="360"/>
      <c r="AG690" s="360"/>
      <c r="AH690" s="360"/>
      <c r="AI690" s="360"/>
      <c r="AJ690" s="360"/>
      <c r="AK690" s="360"/>
      <c r="AL690" s="360"/>
      <c r="AM690" s="360"/>
      <c r="AN690" s="360"/>
      <c r="AO690" s="360"/>
      <c r="AP690" s="360"/>
      <c r="AQ690" s="360"/>
      <c r="AR690" s="360"/>
      <c r="AS690" s="360"/>
      <c r="AT690" s="360"/>
      <c r="AU690" s="360"/>
      <c r="AV690" s="360"/>
      <c r="AW690" s="360"/>
      <c r="AX690" s="360"/>
      <c r="AY690" s="360"/>
      <c r="AZ690" s="360"/>
      <c r="BA690" s="360"/>
      <c r="BB690" s="360"/>
      <c r="BC690" s="360"/>
      <c r="BD690" s="360"/>
      <c r="BE690" s="361"/>
    </row>
    <row r="691" spans="2:57" x14ac:dyDescent="0.25">
      <c r="B691" s="359"/>
      <c r="C691" s="415" t="s">
        <v>70</v>
      </c>
      <c r="D691" s="363" t="s">
        <v>16</v>
      </c>
      <c r="E691" s="360"/>
      <c r="F691" s="360"/>
      <c r="G691" s="416">
        <f>SUM('II. Inputs, Baseline Energy Mix'!$S$68)</f>
        <v>0</v>
      </c>
      <c r="H691" s="360"/>
      <c r="I691" s="360"/>
      <c r="J691" s="360"/>
      <c r="K691" s="360"/>
      <c r="L691" s="360"/>
      <c r="M691" s="360"/>
      <c r="N691" s="360"/>
      <c r="O691" s="360"/>
      <c r="P691" s="360"/>
      <c r="Q691" s="360"/>
      <c r="R691" s="360"/>
      <c r="S691" s="360"/>
      <c r="T691" s="360"/>
      <c r="U691" s="360"/>
      <c r="V691" s="360"/>
      <c r="W691" s="360"/>
      <c r="X691" s="360"/>
      <c r="Y691" s="360"/>
      <c r="Z691" s="360"/>
      <c r="AA691" s="360"/>
      <c r="AB691" s="360"/>
      <c r="AC691" s="360"/>
      <c r="AD691" s="360"/>
      <c r="AE691" s="360"/>
      <c r="AF691" s="360"/>
      <c r="AG691" s="360"/>
      <c r="AH691" s="360"/>
      <c r="AI691" s="360"/>
      <c r="AJ691" s="360"/>
      <c r="AK691" s="360"/>
      <c r="AL691" s="360"/>
      <c r="AM691" s="360"/>
      <c r="AN691" s="360"/>
      <c r="AO691" s="360"/>
      <c r="AP691" s="360"/>
      <c r="AQ691" s="360"/>
      <c r="AR691" s="360"/>
      <c r="AS691" s="360"/>
      <c r="AT691" s="360"/>
      <c r="AU691" s="360"/>
      <c r="AV691" s="360"/>
      <c r="AW691" s="360"/>
      <c r="AX691" s="360"/>
      <c r="AY691" s="360"/>
      <c r="AZ691" s="360"/>
      <c r="BA691" s="360"/>
      <c r="BB691" s="360"/>
      <c r="BC691" s="360"/>
      <c r="BD691" s="360"/>
      <c r="BE691" s="361"/>
    </row>
    <row r="692" spans="2:57" x14ac:dyDescent="0.25">
      <c r="B692" s="359"/>
      <c r="C692" s="360"/>
      <c r="D692" s="360"/>
      <c r="E692" s="360"/>
      <c r="F692" s="360"/>
      <c r="G692" s="360"/>
      <c r="H692" s="360"/>
      <c r="I692" s="360"/>
      <c r="J692" s="360"/>
      <c r="K692" s="360"/>
      <c r="L692" s="360"/>
      <c r="M692" s="360"/>
      <c r="N692" s="360"/>
      <c r="O692" s="360"/>
      <c r="P692" s="360"/>
      <c r="Q692" s="360"/>
      <c r="R692" s="360"/>
      <c r="S692" s="360"/>
      <c r="T692" s="360"/>
      <c r="U692" s="360"/>
      <c r="V692" s="360"/>
      <c r="W692" s="360"/>
      <c r="X692" s="360"/>
      <c r="Y692" s="360"/>
      <c r="Z692" s="360"/>
      <c r="AA692" s="360"/>
      <c r="AB692" s="360"/>
      <c r="AC692" s="360"/>
      <c r="AD692" s="360"/>
      <c r="AE692" s="360"/>
      <c r="AF692" s="360"/>
      <c r="AG692" s="360"/>
      <c r="AH692" s="360"/>
      <c r="AI692" s="360"/>
      <c r="AJ692" s="360"/>
      <c r="AK692" s="360"/>
      <c r="AL692" s="360"/>
      <c r="AM692" s="360"/>
      <c r="AN692" s="360"/>
      <c r="AO692" s="360"/>
      <c r="AP692" s="360"/>
      <c r="AQ692" s="360"/>
      <c r="AR692" s="360"/>
      <c r="AS692" s="360"/>
      <c r="AT692" s="360"/>
      <c r="AU692" s="360"/>
      <c r="AV692" s="360"/>
      <c r="AW692" s="360"/>
      <c r="AX692" s="360"/>
      <c r="AY692" s="360"/>
      <c r="AZ692" s="360"/>
      <c r="BA692" s="360"/>
      <c r="BB692" s="360"/>
      <c r="BC692" s="360"/>
      <c r="BD692" s="360"/>
      <c r="BE692" s="361"/>
    </row>
    <row r="693" spans="2:57" x14ac:dyDescent="0.25">
      <c r="B693" s="359"/>
      <c r="C693" s="417" t="s">
        <v>67</v>
      </c>
      <c r="D693" s="360"/>
      <c r="E693" s="360"/>
      <c r="F693" s="360"/>
      <c r="G693" s="360"/>
      <c r="H693" s="360"/>
      <c r="I693" s="360"/>
      <c r="J693" s="360"/>
      <c r="K693" s="360"/>
      <c r="L693" s="360"/>
      <c r="M693" s="360"/>
      <c r="N693" s="360"/>
      <c r="O693" s="360"/>
      <c r="P693" s="360"/>
      <c r="Q693" s="360"/>
      <c r="R693" s="360"/>
      <c r="S693" s="360"/>
      <c r="T693" s="360"/>
      <c r="U693" s="360"/>
      <c r="V693" s="360"/>
      <c r="W693" s="360"/>
      <c r="X693" s="360"/>
      <c r="Y693" s="360"/>
      <c r="Z693" s="360"/>
      <c r="AA693" s="360"/>
      <c r="AB693" s="360"/>
      <c r="AC693" s="360"/>
      <c r="AD693" s="360"/>
      <c r="AE693" s="360"/>
      <c r="AF693" s="360"/>
      <c r="AG693" s="360"/>
      <c r="AH693" s="360"/>
      <c r="AI693" s="360"/>
      <c r="AJ693" s="360"/>
      <c r="AK693" s="360"/>
      <c r="AL693" s="360"/>
      <c r="AM693" s="360"/>
      <c r="AN693" s="360"/>
      <c r="AO693" s="360"/>
      <c r="AP693" s="360"/>
      <c r="AQ693" s="360"/>
      <c r="AR693" s="360"/>
      <c r="AS693" s="360"/>
      <c r="AT693" s="360"/>
      <c r="AU693" s="360"/>
      <c r="AV693" s="360"/>
      <c r="AW693" s="360"/>
      <c r="AX693" s="360"/>
      <c r="AY693" s="360"/>
      <c r="AZ693" s="360"/>
      <c r="BA693" s="360"/>
      <c r="BB693" s="360"/>
      <c r="BC693" s="360"/>
      <c r="BD693" s="360"/>
      <c r="BE693" s="361"/>
    </row>
    <row r="694" spans="2:57" x14ac:dyDescent="0.25">
      <c r="B694" s="359"/>
      <c r="C694" s="360" t="s">
        <v>73</v>
      </c>
      <c r="D694" s="360"/>
      <c r="E694" s="360"/>
      <c r="F694" s="360"/>
      <c r="G694" s="1288"/>
      <c r="H694" s="1288">
        <f>IF(H$299&gt;$G690,0,IPMT($G691,H$299,$G690,-$G689))</f>
        <v>0</v>
      </c>
      <c r="I694" s="1288">
        <f>IF(I$299&gt;$G690,0,IPMT($G691,I$299,$G690,-$G689))</f>
        <v>0</v>
      </c>
      <c r="J694" s="1288">
        <f>IF(J$299&gt;$G690,0,IPMT($G691,J$299,$G690,-$G689))</f>
        <v>0</v>
      </c>
      <c r="K694" s="1288">
        <f>IF(K$299&gt;$G690,0,IPMT($G691,K$299,$G690,-$G689))</f>
        <v>0</v>
      </c>
      <c r="L694" s="1288">
        <f t="shared" ref="L694:BE694" si="226">IF(L$299&gt;$G690,0,IPMT($G691,L$299,$G690,-$G689))</f>
        <v>0</v>
      </c>
      <c r="M694" s="1288">
        <f t="shared" si="226"/>
        <v>0</v>
      </c>
      <c r="N694" s="1288">
        <f t="shared" si="226"/>
        <v>0</v>
      </c>
      <c r="O694" s="1288">
        <f t="shared" si="226"/>
        <v>0</v>
      </c>
      <c r="P694" s="1288">
        <f t="shared" si="226"/>
        <v>0</v>
      </c>
      <c r="Q694" s="1288">
        <f t="shared" si="226"/>
        <v>0</v>
      </c>
      <c r="R694" s="1288">
        <f t="shared" si="226"/>
        <v>0</v>
      </c>
      <c r="S694" s="1288">
        <f t="shared" si="226"/>
        <v>0</v>
      </c>
      <c r="T694" s="1288">
        <f t="shared" si="226"/>
        <v>0</v>
      </c>
      <c r="U694" s="1288">
        <f t="shared" si="226"/>
        <v>0</v>
      </c>
      <c r="V694" s="1288">
        <f t="shared" si="226"/>
        <v>0</v>
      </c>
      <c r="W694" s="1288">
        <f t="shared" si="226"/>
        <v>0</v>
      </c>
      <c r="X694" s="1288">
        <f t="shared" si="226"/>
        <v>0</v>
      </c>
      <c r="Y694" s="1288">
        <f t="shared" si="226"/>
        <v>0</v>
      </c>
      <c r="Z694" s="1288">
        <f t="shared" si="226"/>
        <v>0</v>
      </c>
      <c r="AA694" s="1288">
        <f t="shared" si="226"/>
        <v>0</v>
      </c>
      <c r="AB694" s="1288">
        <f t="shared" si="226"/>
        <v>0</v>
      </c>
      <c r="AC694" s="1288">
        <f t="shared" si="226"/>
        <v>0</v>
      </c>
      <c r="AD694" s="1288">
        <f t="shared" si="226"/>
        <v>0</v>
      </c>
      <c r="AE694" s="1288">
        <f t="shared" si="226"/>
        <v>0</v>
      </c>
      <c r="AF694" s="1288">
        <f t="shared" si="226"/>
        <v>0</v>
      </c>
      <c r="AG694" s="1288">
        <f t="shared" si="226"/>
        <v>0</v>
      </c>
      <c r="AH694" s="1288">
        <f t="shared" si="226"/>
        <v>0</v>
      </c>
      <c r="AI694" s="1288">
        <f t="shared" si="226"/>
        <v>0</v>
      </c>
      <c r="AJ694" s="1288">
        <f t="shared" si="226"/>
        <v>0</v>
      </c>
      <c r="AK694" s="1288">
        <f t="shared" si="226"/>
        <v>0</v>
      </c>
      <c r="AL694" s="1288">
        <f t="shared" si="226"/>
        <v>0</v>
      </c>
      <c r="AM694" s="1288">
        <f t="shared" si="226"/>
        <v>0</v>
      </c>
      <c r="AN694" s="1288">
        <f t="shared" si="226"/>
        <v>0</v>
      </c>
      <c r="AO694" s="1288">
        <f t="shared" si="226"/>
        <v>0</v>
      </c>
      <c r="AP694" s="1288">
        <f t="shared" si="226"/>
        <v>0</v>
      </c>
      <c r="AQ694" s="1288">
        <f t="shared" si="226"/>
        <v>0</v>
      </c>
      <c r="AR694" s="1288">
        <f t="shared" si="226"/>
        <v>0</v>
      </c>
      <c r="AS694" s="1288">
        <f t="shared" si="226"/>
        <v>0</v>
      </c>
      <c r="AT694" s="1288">
        <f t="shared" si="226"/>
        <v>0</v>
      </c>
      <c r="AU694" s="1288">
        <f t="shared" si="226"/>
        <v>0</v>
      </c>
      <c r="AV694" s="1288">
        <f t="shared" si="226"/>
        <v>0</v>
      </c>
      <c r="AW694" s="1288">
        <f t="shared" si="226"/>
        <v>0</v>
      </c>
      <c r="AX694" s="1288">
        <f t="shared" si="226"/>
        <v>0</v>
      </c>
      <c r="AY694" s="1288">
        <f t="shared" si="226"/>
        <v>0</v>
      </c>
      <c r="AZ694" s="1288">
        <f t="shared" si="226"/>
        <v>0</v>
      </c>
      <c r="BA694" s="1288">
        <f t="shared" si="226"/>
        <v>0</v>
      </c>
      <c r="BB694" s="1288">
        <f t="shared" si="226"/>
        <v>0</v>
      </c>
      <c r="BC694" s="1288">
        <f t="shared" si="226"/>
        <v>0</v>
      </c>
      <c r="BD694" s="1288">
        <f t="shared" si="226"/>
        <v>0</v>
      </c>
      <c r="BE694" s="1291">
        <f t="shared" si="226"/>
        <v>0</v>
      </c>
    </row>
    <row r="695" spans="2:57" x14ac:dyDescent="0.25">
      <c r="B695" s="359"/>
      <c r="C695" s="367" t="s">
        <v>72</v>
      </c>
      <c r="D695" s="367"/>
      <c r="E695" s="367"/>
      <c r="F695" s="367"/>
      <c r="G695" s="1292"/>
      <c r="H695" s="1292">
        <f>IF(H$299&gt;$G690,0,PPMT($G691,H$299,$G690,-$G689))</f>
        <v>0</v>
      </c>
      <c r="I695" s="1292">
        <f>IF(I$299&gt;$G690,0,PPMT($G691,I$299,$G690,-$G689))</f>
        <v>0</v>
      </c>
      <c r="J695" s="1292">
        <f>IF(J$299&gt;$G690,0,PPMT($G691,J$299,$G690,-$G689))</f>
        <v>0</v>
      </c>
      <c r="K695" s="1292">
        <f>IF(K$299&gt;$G690,0,PPMT($G691,K$299,$G690,-$G689))</f>
        <v>0</v>
      </c>
      <c r="L695" s="1292">
        <f t="shared" ref="L695:BE695" si="227">IF(L$299&gt;$G690,0,PPMT($G691,L$299,$G690,-$G689))</f>
        <v>0</v>
      </c>
      <c r="M695" s="1292">
        <f t="shared" si="227"/>
        <v>0</v>
      </c>
      <c r="N695" s="1292">
        <f t="shared" si="227"/>
        <v>0</v>
      </c>
      <c r="O695" s="1292">
        <f t="shared" si="227"/>
        <v>0</v>
      </c>
      <c r="P695" s="1292">
        <f t="shared" si="227"/>
        <v>0</v>
      </c>
      <c r="Q695" s="1292">
        <f t="shared" si="227"/>
        <v>0</v>
      </c>
      <c r="R695" s="1292">
        <f t="shared" si="227"/>
        <v>0</v>
      </c>
      <c r="S695" s="1292">
        <f t="shared" si="227"/>
        <v>0</v>
      </c>
      <c r="T695" s="1292">
        <f t="shared" si="227"/>
        <v>0</v>
      </c>
      <c r="U695" s="1292">
        <f t="shared" si="227"/>
        <v>0</v>
      </c>
      <c r="V695" s="1292">
        <f t="shared" si="227"/>
        <v>0</v>
      </c>
      <c r="W695" s="1292">
        <f t="shared" si="227"/>
        <v>0</v>
      </c>
      <c r="X695" s="1292">
        <f t="shared" si="227"/>
        <v>0</v>
      </c>
      <c r="Y695" s="1292">
        <f t="shared" si="227"/>
        <v>0</v>
      </c>
      <c r="Z695" s="1292">
        <f t="shared" si="227"/>
        <v>0</v>
      </c>
      <c r="AA695" s="1292">
        <f t="shared" si="227"/>
        <v>0</v>
      </c>
      <c r="AB695" s="1292">
        <f t="shared" si="227"/>
        <v>0</v>
      </c>
      <c r="AC695" s="1292">
        <f t="shared" si="227"/>
        <v>0</v>
      </c>
      <c r="AD695" s="1292">
        <f t="shared" si="227"/>
        <v>0</v>
      </c>
      <c r="AE695" s="1292">
        <f t="shared" si="227"/>
        <v>0</v>
      </c>
      <c r="AF695" s="1292">
        <f t="shared" si="227"/>
        <v>0</v>
      </c>
      <c r="AG695" s="1292">
        <f t="shared" si="227"/>
        <v>0</v>
      </c>
      <c r="AH695" s="1292">
        <f t="shared" si="227"/>
        <v>0</v>
      </c>
      <c r="AI695" s="1292">
        <f t="shared" si="227"/>
        <v>0</v>
      </c>
      <c r="AJ695" s="1292">
        <f t="shared" si="227"/>
        <v>0</v>
      </c>
      <c r="AK695" s="1292">
        <f t="shared" si="227"/>
        <v>0</v>
      </c>
      <c r="AL695" s="1292">
        <f t="shared" si="227"/>
        <v>0</v>
      </c>
      <c r="AM695" s="1292">
        <f t="shared" si="227"/>
        <v>0</v>
      </c>
      <c r="AN695" s="1292">
        <f t="shared" si="227"/>
        <v>0</v>
      </c>
      <c r="AO695" s="1292">
        <f t="shared" si="227"/>
        <v>0</v>
      </c>
      <c r="AP695" s="1292">
        <f t="shared" si="227"/>
        <v>0</v>
      </c>
      <c r="AQ695" s="1292">
        <f t="shared" si="227"/>
        <v>0</v>
      </c>
      <c r="AR695" s="1292">
        <f t="shared" si="227"/>
        <v>0</v>
      </c>
      <c r="AS695" s="1292">
        <f t="shared" si="227"/>
        <v>0</v>
      </c>
      <c r="AT695" s="1292">
        <f t="shared" si="227"/>
        <v>0</v>
      </c>
      <c r="AU695" s="1292">
        <f t="shared" si="227"/>
        <v>0</v>
      </c>
      <c r="AV695" s="1292">
        <f t="shared" si="227"/>
        <v>0</v>
      </c>
      <c r="AW695" s="1292">
        <f t="shared" si="227"/>
        <v>0</v>
      </c>
      <c r="AX695" s="1292">
        <f t="shared" si="227"/>
        <v>0</v>
      </c>
      <c r="AY695" s="1292">
        <f t="shared" si="227"/>
        <v>0</v>
      </c>
      <c r="AZ695" s="1292">
        <f t="shared" si="227"/>
        <v>0</v>
      </c>
      <c r="BA695" s="1292">
        <f t="shared" si="227"/>
        <v>0</v>
      </c>
      <c r="BB695" s="1292">
        <f t="shared" si="227"/>
        <v>0</v>
      </c>
      <c r="BC695" s="1292">
        <f t="shared" si="227"/>
        <v>0</v>
      </c>
      <c r="BD695" s="1292">
        <f t="shared" si="227"/>
        <v>0</v>
      </c>
      <c r="BE695" s="1293">
        <f t="shared" si="227"/>
        <v>0</v>
      </c>
    </row>
    <row r="696" spans="2:57" x14ac:dyDescent="0.25">
      <c r="B696" s="359"/>
      <c r="C696" s="360" t="s">
        <v>74</v>
      </c>
      <c r="D696" s="360"/>
      <c r="E696" s="360"/>
      <c r="F696" s="360"/>
      <c r="G696" s="1288"/>
      <c r="H696" s="1288">
        <f>SUM(H694:H695)</f>
        <v>0</v>
      </c>
      <c r="I696" s="1288">
        <f t="shared" ref="I696:BE696" si="228">SUM(I694:I695)</f>
        <v>0</v>
      </c>
      <c r="J696" s="1288">
        <f t="shared" si="228"/>
        <v>0</v>
      </c>
      <c r="K696" s="1288">
        <f t="shared" si="228"/>
        <v>0</v>
      </c>
      <c r="L696" s="1288">
        <f t="shared" si="228"/>
        <v>0</v>
      </c>
      <c r="M696" s="1288">
        <f t="shared" si="228"/>
        <v>0</v>
      </c>
      <c r="N696" s="1288">
        <f t="shared" si="228"/>
        <v>0</v>
      </c>
      <c r="O696" s="1288">
        <f t="shared" si="228"/>
        <v>0</v>
      </c>
      <c r="P696" s="1288">
        <f t="shared" si="228"/>
        <v>0</v>
      </c>
      <c r="Q696" s="1288">
        <f t="shared" si="228"/>
        <v>0</v>
      </c>
      <c r="R696" s="1288">
        <f t="shared" si="228"/>
        <v>0</v>
      </c>
      <c r="S696" s="1288">
        <f t="shared" si="228"/>
        <v>0</v>
      </c>
      <c r="T696" s="1288">
        <f t="shared" si="228"/>
        <v>0</v>
      </c>
      <c r="U696" s="1288">
        <f t="shared" si="228"/>
        <v>0</v>
      </c>
      <c r="V696" s="1288">
        <f t="shared" si="228"/>
        <v>0</v>
      </c>
      <c r="W696" s="1288">
        <f t="shared" si="228"/>
        <v>0</v>
      </c>
      <c r="X696" s="1288">
        <f t="shared" si="228"/>
        <v>0</v>
      </c>
      <c r="Y696" s="1288">
        <f t="shared" si="228"/>
        <v>0</v>
      </c>
      <c r="Z696" s="1288">
        <f t="shared" si="228"/>
        <v>0</v>
      </c>
      <c r="AA696" s="1288">
        <f t="shared" si="228"/>
        <v>0</v>
      </c>
      <c r="AB696" s="1288">
        <f t="shared" si="228"/>
        <v>0</v>
      </c>
      <c r="AC696" s="1288">
        <f t="shared" si="228"/>
        <v>0</v>
      </c>
      <c r="AD696" s="1288">
        <f t="shared" si="228"/>
        <v>0</v>
      </c>
      <c r="AE696" s="1288">
        <f t="shared" si="228"/>
        <v>0</v>
      </c>
      <c r="AF696" s="1288">
        <f t="shared" si="228"/>
        <v>0</v>
      </c>
      <c r="AG696" s="1288">
        <f t="shared" si="228"/>
        <v>0</v>
      </c>
      <c r="AH696" s="1288">
        <f t="shared" si="228"/>
        <v>0</v>
      </c>
      <c r="AI696" s="1288">
        <f t="shared" si="228"/>
        <v>0</v>
      </c>
      <c r="AJ696" s="1288">
        <f t="shared" si="228"/>
        <v>0</v>
      </c>
      <c r="AK696" s="1288">
        <f t="shared" si="228"/>
        <v>0</v>
      </c>
      <c r="AL696" s="1288">
        <f t="shared" si="228"/>
        <v>0</v>
      </c>
      <c r="AM696" s="1288">
        <f t="shared" si="228"/>
        <v>0</v>
      </c>
      <c r="AN696" s="1288">
        <f t="shared" si="228"/>
        <v>0</v>
      </c>
      <c r="AO696" s="1288">
        <f t="shared" si="228"/>
        <v>0</v>
      </c>
      <c r="AP696" s="1288">
        <f t="shared" si="228"/>
        <v>0</v>
      </c>
      <c r="AQ696" s="1288">
        <f t="shared" si="228"/>
        <v>0</v>
      </c>
      <c r="AR696" s="1288">
        <f t="shared" si="228"/>
        <v>0</v>
      </c>
      <c r="AS696" s="1288">
        <f t="shared" si="228"/>
        <v>0</v>
      </c>
      <c r="AT696" s="1288">
        <f t="shared" si="228"/>
        <v>0</v>
      </c>
      <c r="AU696" s="1288">
        <f t="shared" si="228"/>
        <v>0</v>
      </c>
      <c r="AV696" s="1288">
        <f t="shared" si="228"/>
        <v>0</v>
      </c>
      <c r="AW696" s="1288">
        <f t="shared" si="228"/>
        <v>0</v>
      </c>
      <c r="AX696" s="1288">
        <f t="shared" si="228"/>
        <v>0</v>
      </c>
      <c r="AY696" s="1288">
        <f t="shared" si="228"/>
        <v>0</v>
      </c>
      <c r="AZ696" s="1288">
        <f t="shared" si="228"/>
        <v>0</v>
      </c>
      <c r="BA696" s="1288">
        <f t="shared" si="228"/>
        <v>0</v>
      </c>
      <c r="BB696" s="1288">
        <f t="shared" si="228"/>
        <v>0</v>
      </c>
      <c r="BC696" s="1288">
        <f t="shared" si="228"/>
        <v>0</v>
      </c>
      <c r="BD696" s="1288">
        <f t="shared" si="228"/>
        <v>0</v>
      </c>
      <c r="BE696" s="1291">
        <f t="shared" si="228"/>
        <v>0</v>
      </c>
    </row>
    <row r="697" spans="2:57" x14ac:dyDescent="0.25">
      <c r="B697" s="359"/>
      <c r="C697" s="360"/>
      <c r="D697" s="360"/>
      <c r="E697" s="360"/>
      <c r="F697" s="360"/>
      <c r="G697" s="1288"/>
      <c r="H697" s="1288"/>
      <c r="I697" s="1288"/>
      <c r="J697" s="1288"/>
      <c r="K697" s="1288"/>
      <c r="L697" s="1288"/>
      <c r="M697" s="1288"/>
      <c r="N697" s="1288"/>
      <c r="O697" s="1288"/>
      <c r="P697" s="1288"/>
      <c r="Q697" s="1288"/>
      <c r="R697" s="1288"/>
      <c r="S697" s="1288"/>
      <c r="T697" s="1288"/>
      <c r="U697" s="1288"/>
      <c r="V697" s="1288"/>
      <c r="W697" s="1288"/>
      <c r="X697" s="1288"/>
      <c r="Y697" s="1288"/>
      <c r="Z697" s="1288"/>
      <c r="AA697" s="1288"/>
      <c r="AB697" s="1288"/>
      <c r="AC697" s="1288"/>
      <c r="AD697" s="1288"/>
      <c r="AE697" s="1288"/>
      <c r="AF697" s="1288"/>
      <c r="AG697" s="1288"/>
      <c r="AH697" s="1288"/>
      <c r="AI697" s="1288"/>
      <c r="AJ697" s="1288"/>
      <c r="AK697" s="1288"/>
      <c r="AL697" s="1288"/>
      <c r="AM697" s="1288"/>
      <c r="AN697" s="1288"/>
      <c r="AO697" s="1288"/>
      <c r="AP697" s="1288"/>
      <c r="AQ697" s="1288"/>
      <c r="AR697" s="1288"/>
      <c r="AS697" s="1288"/>
      <c r="AT697" s="1288"/>
      <c r="AU697" s="1288"/>
      <c r="AV697" s="1288"/>
      <c r="AW697" s="1288"/>
      <c r="AX697" s="1288"/>
      <c r="AY697" s="1288"/>
      <c r="AZ697" s="1288"/>
      <c r="BA697" s="1288"/>
      <c r="BB697" s="1288"/>
      <c r="BC697" s="1288"/>
      <c r="BD697" s="1288"/>
      <c r="BE697" s="1291"/>
    </row>
    <row r="698" spans="2:57" x14ac:dyDescent="0.25">
      <c r="B698" s="359"/>
      <c r="C698" s="418" t="s">
        <v>65</v>
      </c>
      <c r="D698" s="360"/>
      <c r="E698" s="360"/>
      <c r="F698" s="360"/>
      <c r="G698" s="1288"/>
      <c r="H698" s="1288"/>
      <c r="I698" s="1288"/>
      <c r="J698" s="1288"/>
      <c r="K698" s="1288"/>
      <c r="L698" s="1288"/>
      <c r="M698" s="1288"/>
      <c r="N698" s="1288"/>
      <c r="O698" s="1288"/>
      <c r="P698" s="1288"/>
      <c r="Q698" s="1288"/>
      <c r="R698" s="1288"/>
      <c r="S698" s="1288"/>
      <c r="T698" s="1288"/>
      <c r="U698" s="1288"/>
      <c r="V698" s="1288"/>
      <c r="W698" s="1288"/>
      <c r="X698" s="1288"/>
      <c r="Y698" s="1288"/>
      <c r="Z698" s="1288"/>
      <c r="AA698" s="1288"/>
      <c r="AB698" s="1288"/>
      <c r="AC698" s="1288"/>
      <c r="AD698" s="1288"/>
      <c r="AE698" s="1288"/>
      <c r="AF698" s="1288"/>
      <c r="AG698" s="1288"/>
      <c r="AH698" s="1288"/>
      <c r="AI698" s="1288"/>
      <c r="AJ698" s="1288"/>
      <c r="AK698" s="1288"/>
      <c r="AL698" s="1288"/>
      <c r="AM698" s="1288"/>
      <c r="AN698" s="1288"/>
      <c r="AO698" s="1288"/>
      <c r="AP698" s="1288"/>
      <c r="AQ698" s="1288"/>
      <c r="AR698" s="1288"/>
      <c r="AS698" s="1288"/>
      <c r="AT698" s="1288"/>
      <c r="AU698" s="1288"/>
      <c r="AV698" s="1288"/>
      <c r="AW698" s="1288"/>
      <c r="AX698" s="1288"/>
      <c r="AY698" s="1288"/>
      <c r="AZ698" s="1288"/>
      <c r="BA698" s="1288"/>
      <c r="BB698" s="1288"/>
      <c r="BC698" s="1288"/>
      <c r="BD698" s="1288"/>
      <c r="BE698" s="1291"/>
    </row>
    <row r="699" spans="2:57" x14ac:dyDescent="0.25">
      <c r="B699" s="359"/>
      <c r="C699" s="360" t="s">
        <v>75</v>
      </c>
      <c r="D699" s="360"/>
      <c r="E699" s="360"/>
      <c r="F699" s="360"/>
      <c r="G699" s="1288">
        <v>0</v>
      </c>
      <c r="H699" s="1288">
        <f t="shared" ref="H699:AM699" si="229">G702</f>
        <v>0</v>
      </c>
      <c r="I699" s="1288">
        <f t="shared" si="229"/>
        <v>0</v>
      </c>
      <c r="J699" s="1288">
        <f t="shared" si="229"/>
        <v>0</v>
      </c>
      <c r="K699" s="1288">
        <f t="shared" si="229"/>
        <v>0</v>
      </c>
      <c r="L699" s="1288">
        <f t="shared" si="229"/>
        <v>0</v>
      </c>
      <c r="M699" s="1288">
        <f t="shared" si="229"/>
        <v>0</v>
      </c>
      <c r="N699" s="1288">
        <f t="shared" si="229"/>
        <v>0</v>
      </c>
      <c r="O699" s="1288">
        <f t="shared" si="229"/>
        <v>0</v>
      </c>
      <c r="P699" s="1288">
        <f t="shared" si="229"/>
        <v>0</v>
      </c>
      <c r="Q699" s="1288">
        <f t="shared" si="229"/>
        <v>0</v>
      </c>
      <c r="R699" s="1288">
        <f t="shared" si="229"/>
        <v>0</v>
      </c>
      <c r="S699" s="1288">
        <f t="shared" si="229"/>
        <v>0</v>
      </c>
      <c r="T699" s="1288">
        <f t="shared" si="229"/>
        <v>0</v>
      </c>
      <c r="U699" s="1288">
        <f t="shared" si="229"/>
        <v>0</v>
      </c>
      <c r="V699" s="1288">
        <f t="shared" si="229"/>
        <v>0</v>
      </c>
      <c r="W699" s="1288">
        <f t="shared" si="229"/>
        <v>0</v>
      </c>
      <c r="X699" s="1288">
        <f t="shared" si="229"/>
        <v>0</v>
      </c>
      <c r="Y699" s="1288">
        <f t="shared" si="229"/>
        <v>0</v>
      </c>
      <c r="Z699" s="1288">
        <f t="shared" si="229"/>
        <v>0</v>
      </c>
      <c r="AA699" s="1288">
        <f t="shared" si="229"/>
        <v>0</v>
      </c>
      <c r="AB699" s="1288">
        <f t="shared" si="229"/>
        <v>0</v>
      </c>
      <c r="AC699" s="1288">
        <f t="shared" si="229"/>
        <v>0</v>
      </c>
      <c r="AD699" s="1288">
        <f t="shared" si="229"/>
        <v>0</v>
      </c>
      <c r="AE699" s="1288">
        <f t="shared" si="229"/>
        <v>0</v>
      </c>
      <c r="AF699" s="1288">
        <f t="shared" si="229"/>
        <v>0</v>
      </c>
      <c r="AG699" s="1288">
        <f t="shared" si="229"/>
        <v>0</v>
      </c>
      <c r="AH699" s="1288">
        <f t="shared" si="229"/>
        <v>0</v>
      </c>
      <c r="AI699" s="1288">
        <f t="shared" si="229"/>
        <v>0</v>
      </c>
      <c r="AJ699" s="1288">
        <f t="shared" si="229"/>
        <v>0</v>
      </c>
      <c r="AK699" s="1288">
        <f t="shared" si="229"/>
        <v>0</v>
      </c>
      <c r="AL699" s="1288">
        <f t="shared" si="229"/>
        <v>0</v>
      </c>
      <c r="AM699" s="1288">
        <f t="shared" si="229"/>
        <v>0</v>
      </c>
      <c r="AN699" s="1288">
        <f t="shared" ref="AN699:BE699" si="230">AM702</f>
        <v>0</v>
      </c>
      <c r="AO699" s="1288">
        <f t="shared" si="230"/>
        <v>0</v>
      </c>
      <c r="AP699" s="1288">
        <f t="shared" si="230"/>
        <v>0</v>
      </c>
      <c r="AQ699" s="1288">
        <f t="shared" si="230"/>
        <v>0</v>
      </c>
      <c r="AR699" s="1288">
        <f t="shared" si="230"/>
        <v>0</v>
      </c>
      <c r="AS699" s="1288">
        <f t="shared" si="230"/>
        <v>0</v>
      </c>
      <c r="AT699" s="1288">
        <f t="shared" si="230"/>
        <v>0</v>
      </c>
      <c r="AU699" s="1288">
        <f t="shared" si="230"/>
        <v>0</v>
      </c>
      <c r="AV699" s="1288">
        <f t="shared" si="230"/>
        <v>0</v>
      </c>
      <c r="AW699" s="1288">
        <f t="shared" si="230"/>
        <v>0</v>
      </c>
      <c r="AX699" s="1288">
        <f t="shared" si="230"/>
        <v>0</v>
      </c>
      <c r="AY699" s="1288">
        <f t="shared" si="230"/>
        <v>0</v>
      </c>
      <c r="AZ699" s="1288">
        <f t="shared" si="230"/>
        <v>0</v>
      </c>
      <c r="BA699" s="1288">
        <f t="shared" si="230"/>
        <v>0</v>
      </c>
      <c r="BB699" s="1288">
        <f t="shared" si="230"/>
        <v>0</v>
      </c>
      <c r="BC699" s="1288">
        <f t="shared" si="230"/>
        <v>0</v>
      </c>
      <c r="BD699" s="1288">
        <f t="shared" si="230"/>
        <v>0</v>
      </c>
      <c r="BE699" s="1291">
        <f t="shared" si="230"/>
        <v>0</v>
      </c>
    </row>
    <row r="700" spans="2:57" x14ac:dyDescent="0.25">
      <c r="B700" s="359"/>
      <c r="C700" s="360" t="s">
        <v>76</v>
      </c>
      <c r="D700" s="360"/>
      <c r="E700" s="360"/>
      <c r="F700" s="360"/>
      <c r="G700" s="1288">
        <f>G689</f>
        <v>0</v>
      </c>
      <c r="H700" s="1288">
        <v>0</v>
      </c>
      <c r="I700" s="1288">
        <v>0</v>
      </c>
      <c r="J700" s="1288">
        <v>0</v>
      </c>
      <c r="K700" s="1288">
        <v>0</v>
      </c>
      <c r="L700" s="1288">
        <v>0</v>
      </c>
      <c r="M700" s="1288">
        <v>0</v>
      </c>
      <c r="N700" s="1288">
        <v>0</v>
      </c>
      <c r="O700" s="1288">
        <v>0</v>
      </c>
      <c r="P700" s="1288">
        <v>0</v>
      </c>
      <c r="Q700" s="1288">
        <v>0</v>
      </c>
      <c r="R700" s="1288">
        <v>0</v>
      </c>
      <c r="S700" s="1288">
        <v>0</v>
      </c>
      <c r="T700" s="1288">
        <v>0</v>
      </c>
      <c r="U700" s="1288">
        <v>0</v>
      </c>
      <c r="V700" s="1288">
        <v>0</v>
      </c>
      <c r="W700" s="1288">
        <v>0</v>
      </c>
      <c r="X700" s="1288">
        <v>0</v>
      </c>
      <c r="Y700" s="1288">
        <v>0</v>
      </c>
      <c r="Z700" s="1288">
        <v>0</v>
      </c>
      <c r="AA700" s="1288">
        <v>0</v>
      </c>
      <c r="AB700" s="1288">
        <v>0</v>
      </c>
      <c r="AC700" s="1288">
        <v>0</v>
      </c>
      <c r="AD700" s="1288">
        <v>0</v>
      </c>
      <c r="AE700" s="1288">
        <v>0</v>
      </c>
      <c r="AF700" s="1288">
        <v>0</v>
      </c>
      <c r="AG700" s="1288">
        <v>0</v>
      </c>
      <c r="AH700" s="1288">
        <v>0</v>
      </c>
      <c r="AI700" s="1288">
        <v>0</v>
      </c>
      <c r="AJ700" s="1288">
        <v>0</v>
      </c>
      <c r="AK700" s="1288">
        <v>0</v>
      </c>
      <c r="AL700" s="1288">
        <v>0</v>
      </c>
      <c r="AM700" s="1288">
        <v>0</v>
      </c>
      <c r="AN700" s="1288">
        <v>0</v>
      </c>
      <c r="AO700" s="1288">
        <v>0</v>
      </c>
      <c r="AP700" s="1288">
        <v>0</v>
      </c>
      <c r="AQ700" s="1288">
        <v>0</v>
      </c>
      <c r="AR700" s="1288">
        <v>0</v>
      </c>
      <c r="AS700" s="1288">
        <v>0</v>
      </c>
      <c r="AT700" s="1288">
        <v>0</v>
      </c>
      <c r="AU700" s="1288">
        <v>0</v>
      </c>
      <c r="AV700" s="1288">
        <v>0</v>
      </c>
      <c r="AW700" s="1288">
        <v>0</v>
      </c>
      <c r="AX700" s="1288">
        <v>0</v>
      </c>
      <c r="AY700" s="1288">
        <v>0</v>
      </c>
      <c r="AZ700" s="1288">
        <v>0</v>
      </c>
      <c r="BA700" s="1288">
        <v>0</v>
      </c>
      <c r="BB700" s="1288">
        <v>0</v>
      </c>
      <c r="BC700" s="1288">
        <v>0</v>
      </c>
      <c r="BD700" s="1288">
        <v>0</v>
      </c>
      <c r="BE700" s="1291">
        <v>0</v>
      </c>
    </row>
    <row r="701" spans="2:57" x14ac:dyDescent="0.25">
      <c r="B701" s="359"/>
      <c r="C701" s="367" t="s">
        <v>77</v>
      </c>
      <c r="D701" s="367"/>
      <c r="E701" s="367"/>
      <c r="F701" s="367"/>
      <c r="G701" s="1292">
        <v>0</v>
      </c>
      <c r="H701" s="1292">
        <f t="shared" ref="H701:BE701" si="231">-H695</f>
        <v>0</v>
      </c>
      <c r="I701" s="1292">
        <f t="shared" si="231"/>
        <v>0</v>
      </c>
      <c r="J701" s="1292">
        <f t="shared" si="231"/>
        <v>0</v>
      </c>
      <c r="K701" s="1292">
        <f t="shared" si="231"/>
        <v>0</v>
      </c>
      <c r="L701" s="1292">
        <f t="shared" si="231"/>
        <v>0</v>
      </c>
      <c r="M701" s="1292">
        <f t="shared" si="231"/>
        <v>0</v>
      </c>
      <c r="N701" s="1292">
        <f t="shared" si="231"/>
        <v>0</v>
      </c>
      <c r="O701" s="1292">
        <f t="shared" si="231"/>
        <v>0</v>
      </c>
      <c r="P701" s="1292">
        <f t="shared" si="231"/>
        <v>0</v>
      </c>
      <c r="Q701" s="1292">
        <f t="shared" si="231"/>
        <v>0</v>
      </c>
      <c r="R701" s="1292">
        <f t="shared" si="231"/>
        <v>0</v>
      </c>
      <c r="S701" s="1292">
        <f t="shared" si="231"/>
        <v>0</v>
      </c>
      <c r="T701" s="1292">
        <f t="shared" si="231"/>
        <v>0</v>
      </c>
      <c r="U701" s="1292">
        <f t="shared" si="231"/>
        <v>0</v>
      </c>
      <c r="V701" s="1292">
        <f t="shared" si="231"/>
        <v>0</v>
      </c>
      <c r="W701" s="1292">
        <f t="shared" si="231"/>
        <v>0</v>
      </c>
      <c r="X701" s="1292">
        <f t="shared" si="231"/>
        <v>0</v>
      </c>
      <c r="Y701" s="1292">
        <f t="shared" si="231"/>
        <v>0</v>
      </c>
      <c r="Z701" s="1292">
        <f t="shared" si="231"/>
        <v>0</v>
      </c>
      <c r="AA701" s="1292">
        <f t="shared" si="231"/>
        <v>0</v>
      </c>
      <c r="AB701" s="1292">
        <f t="shared" si="231"/>
        <v>0</v>
      </c>
      <c r="AC701" s="1292">
        <f t="shared" si="231"/>
        <v>0</v>
      </c>
      <c r="AD701" s="1292">
        <f t="shared" si="231"/>
        <v>0</v>
      </c>
      <c r="AE701" s="1292">
        <f t="shared" si="231"/>
        <v>0</v>
      </c>
      <c r="AF701" s="1292">
        <f t="shared" si="231"/>
        <v>0</v>
      </c>
      <c r="AG701" s="1292">
        <f t="shared" si="231"/>
        <v>0</v>
      </c>
      <c r="AH701" s="1292">
        <f t="shared" si="231"/>
        <v>0</v>
      </c>
      <c r="AI701" s="1292">
        <f t="shared" si="231"/>
        <v>0</v>
      </c>
      <c r="AJ701" s="1292">
        <f t="shared" si="231"/>
        <v>0</v>
      </c>
      <c r="AK701" s="1292">
        <f t="shared" si="231"/>
        <v>0</v>
      </c>
      <c r="AL701" s="1292">
        <f t="shared" si="231"/>
        <v>0</v>
      </c>
      <c r="AM701" s="1292">
        <f t="shared" si="231"/>
        <v>0</v>
      </c>
      <c r="AN701" s="1292">
        <f t="shared" si="231"/>
        <v>0</v>
      </c>
      <c r="AO701" s="1292">
        <f t="shared" si="231"/>
        <v>0</v>
      </c>
      <c r="AP701" s="1292">
        <f t="shared" si="231"/>
        <v>0</v>
      </c>
      <c r="AQ701" s="1292">
        <f t="shared" si="231"/>
        <v>0</v>
      </c>
      <c r="AR701" s="1292">
        <f t="shared" si="231"/>
        <v>0</v>
      </c>
      <c r="AS701" s="1292">
        <f t="shared" si="231"/>
        <v>0</v>
      </c>
      <c r="AT701" s="1292">
        <f t="shared" si="231"/>
        <v>0</v>
      </c>
      <c r="AU701" s="1292">
        <f t="shared" si="231"/>
        <v>0</v>
      </c>
      <c r="AV701" s="1292">
        <f t="shared" si="231"/>
        <v>0</v>
      </c>
      <c r="AW701" s="1292">
        <f t="shared" si="231"/>
        <v>0</v>
      </c>
      <c r="AX701" s="1292">
        <f t="shared" si="231"/>
        <v>0</v>
      </c>
      <c r="AY701" s="1292">
        <f t="shared" si="231"/>
        <v>0</v>
      </c>
      <c r="AZ701" s="1292">
        <f t="shared" si="231"/>
        <v>0</v>
      </c>
      <c r="BA701" s="1292">
        <f t="shared" si="231"/>
        <v>0</v>
      </c>
      <c r="BB701" s="1292">
        <f t="shared" si="231"/>
        <v>0</v>
      </c>
      <c r="BC701" s="1292">
        <f t="shared" si="231"/>
        <v>0</v>
      </c>
      <c r="BD701" s="1292">
        <f t="shared" si="231"/>
        <v>0</v>
      </c>
      <c r="BE701" s="1293">
        <f t="shared" si="231"/>
        <v>0</v>
      </c>
    </row>
    <row r="702" spans="2:57" x14ac:dyDescent="0.25">
      <c r="B702" s="359"/>
      <c r="C702" s="360" t="s">
        <v>66</v>
      </c>
      <c r="D702" s="360"/>
      <c r="E702" s="360"/>
      <c r="F702" s="360"/>
      <c r="G702" s="1288">
        <f t="shared" ref="G702:BE702" si="232">SUM(G699:G701)</f>
        <v>0</v>
      </c>
      <c r="H702" s="1288">
        <f t="shared" si="232"/>
        <v>0</v>
      </c>
      <c r="I702" s="1288">
        <f t="shared" si="232"/>
        <v>0</v>
      </c>
      <c r="J702" s="1288">
        <f t="shared" si="232"/>
        <v>0</v>
      </c>
      <c r="K702" s="1288">
        <f t="shared" si="232"/>
        <v>0</v>
      </c>
      <c r="L702" s="1288">
        <f t="shared" si="232"/>
        <v>0</v>
      </c>
      <c r="M702" s="1288">
        <f t="shared" si="232"/>
        <v>0</v>
      </c>
      <c r="N702" s="1288">
        <f t="shared" si="232"/>
        <v>0</v>
      </c>
      <c r="O702" s="1288">
        <f t="shared" si="232"/>
        <v>0</v>
      </c>
      <c r="P702" s="1288">
        <f t="shared" si="232"/>
        <v>0</v>
      </c>
      <c r="Q702" s="1288">
        <f t="shared" si="232"/>
        <v>0</v>
      </c>
      <c r="R702" s="1288">
        <f t="shared" si="232"/>
        <v>0</v>
      </c>
      <c r="S702" s="1288">
        <f t="shared" si="232"/>
        <v>0</v>
      </c>
      <c r="T702" s="1288">
        <f t="shared" si="232"/>
        <v>0</v>
      </c>
      <c r="U702" s="1288">
        <f t="shared" si="232"/>
        <v>0</v>
      </c>
      <c r="V702" s="1288">
        <f t="shared" si="232"/>
        <v>0</v>
      </c>
      <c r="W702" s="1288">
        <f t="shared" si="232"/>
        <v>0</v>
      </c>
      <c r="X702" s="1288">
        <f t="shared" si="232"/>
        <v>0</v>
      </c>
      <c r="Y702" s="1288">
        <f t="shared" si="232"/>
        <v>0</v>
      </c>
      <c r="Z702" s="1288">
        <f t="shared" si="232"/>
        <v>0</v>
      </c>
      <c r="AA702" s="1288">
        <f t="shared" si="232"/>
        <v>0</v>
      </c>
      <c r="AB702" s="1288">
        <f t="shared" si="232"/>
        <v>0</v>
      </c>
      <c r="AC702" s="1288">
        <f t="shared" si="232"/>
        <v>0</v>
      </c>
      <c r="AD702" s="1288">
        <f t="shared" si="232"/>
        <v>0</v>
      </c>
      <c r="AE702" s="1288">
        <f t="shared" si="232"/>
        <v>0</v>
      </c>
      <c r="AF702" s="1288">
        <f t="shared" si="232"/>
        <v>0</v>
      </c>
      <c r="AG702" s="1288">
        <f t="shared" si="232"/>
        <v>0</v>
      </c>
      <c r="AH702" s="1288">
        <f t="shared" si="232"/>
        <v>0</v>
      </c>
      <c r="AI702" s="1288">
        <f t="shared" si="232"/>
        <v>0</v>
      </c>
      <c r="AJ702" s="1288">
        <f t="shared" si="232"/>
        <v>0</v>
      </c>
      <c r="AK702" s="1288">
        <f t="shared" si="232"/>
        <v>0</v>
      </c>
      <c r="AL702" s="1288">
        <f t="shared" si="232"/>
        <v>0</v>
      </c>
      <c r="AM702" s="1288">
        <f t="shared" si="232"/>
        <v>0</v>
      </c>
      <c r="AN702" s="1288">
        <f t="shared" si="232"/>
        <v>0</v>
      </c>
      <c r="AO702" s="1288">
        <f t="shared" si="232"/>
        <v>0</v>
      </c>
      <c r="AP702" s="1288">
        <f t="shared" si="232"/>
        <v>0</v>
      </c>
      <c r="AQ702" s="1288">
        <f t="shared" si="232"/>
        <v>0</v>
      </c>
      <c r="AR702" s="1288">
        <f t="shared" si="232"/>
        <v>0</v>
      </c>
      <c r="AS702" s="1288">
        <f t="shared" si="232"/>
        <v>0</v>
      </c>
      <c r="AT702" s="1288">
        <f t="shared" si="232"/>
        <v>0</v>
      </c>
      <c r="AU702" s="1288">
        <f t="shared" si="232"/>
        <v>0</v>
      </c>
      <c r="AV702" s="1288">
        <f t="shared" si="232"/>
        <v>0</v>
      </c>
      <c r="AW702" s="1288">
        <f t="shared" si="232"/>
        <v>0</v>
      </c>
      <c r="AX702" s="1288">
        <f t="shared" si="232"/>
        <v>0</v>
      </c>
      <c r="AY702" s="1288">
        <f t="shared" si="232"/>
        <v>0</v>
      </c>
      <c r="AZ702" s="1288">
        <f t="shared" si="232"/>
        <v>0</v>
      </c>
      <c r="BA702" s="1288">
        <f t="shared" si="232"/>
        <v>0</v>
      </c>
      <c r="BB702" s="1288">
        <f t="shared" si="232"/>
        <v>0</v>
      </c>
      <c r="BC702" s="1288">
        <f t="shared" si="232"/>
        <v>0</v>
      </c>
      <c r="BD702" s="1288">
        <f t="shared" si="232"/>
        <v>0</v>
      </c>
      <c r="BE702" s="1291">
        <f t="shared" si="232"/>
        <v>0</v>
      </c>
    </row>
    <row r="703" spans="2:57" x14ac:dyDescent="0.25">
      <c r="B703" s="359"/>
      <c r="C703" s="360"/>
      <c r="D703" s="360"/>
      <c r="E703" s="360"/>
      <c r="F703" s="360"/>
      <c r="G703" s="1288"/>
      <c r="H703" s="1288"/>
      <c r="I703" s="1288"/>
      <c r="J703" s="1288"/>
      <c r="K703" s="1288"/>
      <c r="L703" s="1288"/>
      <c r="M703" s="1288"/>
      <c r="N703" s="1288"/>
      <c r="O703" s="1288"/>
      <c r="P703" s="1288"/>
      <c r="Q703" s="1288"/>
      <c r="R703" s="1288"/>
      <c r="S703" s="1288"/>
      <c r="T703" s="1288"/>
      <c r="U703" s="1288"/>
      <c r="V703" s="1288"/>
      <c r="W703" s="1288"/>
      <c r="X703" s="1288"/>
      <c r="Y703" s="1288"/>
      <c r="Z703" s="1288"/>
      <c r="AA703" s="1288"/>
      <c r="AB703" s="1288"/>
      <c r="AC703" s="1288"/>
      <c r="AD703" s="1288"/>
      <c r="AE703" s="1288"/>
      <c r="AF703" s="1288"/>
      <c r="AG703" s="1288"/>
      <c r="AH703" s="1288"/>
      <c r="AI703" s="1288"/>
      <c r="AJ703" s="1288"/>
      <c r="AK703" s="1288"/>
      <c r="AL703" s="1288"/>
      <c r="AM703" s="1288"/>
      <c r="AN703" s="1288"/>
      <c r="AO703" s="1288"/>
      <c r="AP703" s="1288"/>
      <c r="AQ703" s="1288"/>
      <c r="AR703" s="1288"/>
      <c r="AS703" s="1288"/>
      <c r="AT703" s="1288"/>
      <c r="AU703" s="1288"/>
      <c r="AV703" s="1288"/>
      <c r="AW703" s="1288"/>
      <c r="AX703" s="1288"/>
      <c r="AY703" s="1288"/>
      <c r="AZ703" s="1288"/>
      <c r="BA703" s="1288"/>
      <c r="BB703" s="1288"/>
      <c r="BC703" s="1288"/>
      <c r="BD703" s="1288"/>
      <c r="BE703" s="1291"/>
    </row>
    <row r="704" spans="2:57" x14ac:dyDescent="0.25">
      <c r="B704" s="359"/>
      <c r="C704" s="418" t="s">
        <v>71</v>
      </c>
      <c r="D704" s="360"/>
      <c r="E704" s="360"/>
      <c r="F704" s="360"/>
      <c r="G704" s="1288"/>
      <c r="H704" s="1288"/>
      <c r="I704" s="1288"/>
      <c r="J704" s="1288"/>
      <c r="K704" s="1288"/>
      <c r="L704" s="1288"/>
      <c r="M704" s="1288"/>
      <c r="N704" s="1288"/>
      <c r="O704" s="1288"/>
      <c r="P704" s="1288"/>
      <c r="Q704" s="1288"/>
      <c r="R704" s="1288"/>
      <c r="S704" s="1288"/>
      <c r="T704" s="1288"/>
      <c r="U704" s="1288"/>
      <c r="V704" s="1288"/>
      <c r="W704" s="1288"/>
      <c r="X704" s="1288"/>
      <c r="Y704" s="1288"/>
      <c r="Z704" s="1288"/>
      <c r="AA704" s="1288"/>
      <c r="AB704" s="1288"/>
      <c r="AC704" s="1288"/>
      <c r="AD704" s="1288"/>
      <c r="AE704" s="1288"/>
      <c r="AF704" s="1288"/>
      <c r="AG704" s="1288"/>
      <c r="AH704" s="1288"/>
      <c r="AI704" s="1288"/>
      <c r="AJ704" s="1288"/>
      <c r="AK704" s="1288"/>
      <c r="AL704" s="1288"/>
      <c r="AM704" s="1288"/>
      <c r="AN704" s="1288"/>
      <c r="AO704" s="1288"/>
      <c r="AP704" s="1288"/>
      <c r="AQ704" s="1288"/>
      <c r="AR704" s="1288"/>
      <c r="AS704" s="1288"/>
      <c r="AT704" s="1288"/>
      <c r="AU704" s="1288"/>
      <c r="AV704" s="1288"/>
      <c r="AW704" s="1288"/>
      <c r="AX704" s="1288"/>
      <c r="AY704" s="1288"/>
      <c r="AZ704" s="1288"/>
      <c r="BA704" s="1288"/>
      <c r="BB704" s="1288"/>
      <c r="BC704" s="1288"/>
      <c r="BD704" s="1288"/>
      <c r="BE704" s="1291"/>
    </row>
    <row r="705" spans="2:58" x14ac:dyDescent="0.25">
      <c r="B705" s="359"/>
      <c r="C705" s="360" t="str">
        <f>'II. Inputs, Baseline Energy Mix'!$E$70</f>
        <v>Front-end Fee</v>
      </c>
      <c r="D705" s="360"/>
      <c r="E705" s="360"/>
      <c r="F705" s="360"/>
      <c r="G705" s="1288"/>
      <c r="H705" s="1288">
        <f>IF($G689&gt;0, G689*'II. Inputs, Baseline Energy Mix'!$S$70/10000,0)</f>
        <v>0</v>
      </c>
      <c r="I705" s="1288">
        <v>0</v>
      </c>
      <c r="J705" s="1288">
        <v>0</v>
      </c>
      <c r="K705" s="1288">
        <v>0</v>
      </c>
      <c r="L705" s="1288">
        <v>0</v>
      </c>
      <c r="M705" s="1288">
        <v>0</v>
      </c>
      <c r="N705" s="1288">
        <v>0</v>
      </c>
      <c r="O705" s="1288">
        <v>0</v>
      </c>
      <c r="P705" s="1288">
        <v>0</v>
      </c>
      <c r="Q705" s="1288">
        <v>0</v>
      </c>
      <c r="R705" s="1288">
        <v>0</v>
      </c>
      <c r="S705" s="1288">
        <v>0</v>
      </c>
      <c r="T705" s="1288">
        <v>0</v>
      </c>
      <c r="U705" s="1288">
        <v>0</v>
      </c>
      <c r="V705" s="1288">
        <v>0</v>
      </c>
      <c r="W705" s="1288">
        <v>0</v>
      </c>
      <c r="X705" s="1288">
        <v>0</v>
      </c>
      <c r="Y705" s="1288">
        <v>0</v>
      </c>
      <c r="Z705" s="1288">
        <v>0</v>
      </c>
      <c r="AA705" s="1288">
        <v>0</v>
      </c>
      <c r="AB705" s="1288">
        <v>0</v>
      </c>
      <c r="AC705" s="1288">
        <v>0</v>
      </c>
      <c r="AD705" s="1288">
        <v>0</v>
      </c>
      <c r="AE705" s="1288">
        <v>0</v>
      </c>
      <c r="AF705" s="1288">
        <v>0</v>
      </c>
      <c r="AG705" s="1288">
        <v>0</v>
      </c>
      <c r="AH705" s="1288">
        <v>0</v>
      </c>
      <c r="AI705" s="1288">
        <v>0</v>
      </c>
      <c r="AJ705" s="1288">
        <v>0</v>
      </c>
      <c r="AK705" s="1288">
        <v>0</v>
      </c>
      <c r="AL705" s="1288">
        <v>0</v>
      </c>
      <c r="AM705" s="1288">
        <v>0</v>
      </c>
      <c r="AN705" s="1288">
        <v>0</v>
      </c>
      <c r="AO705" s="1288">
        <v>0</v>
      </c>
      <c r="AP705" s="1288">
        <v>0</v>
      </c>
      <c r="AQ705" s="1288">
        <v>0</v>
      </c>
      <c r="AR705" s="1288">
        <v>0</v>
      </c>
      <c r="AS705" s="1288">
        <v>0</v>
      </c>
      <c r="AT705" s="1288">
        <v>0</v>
      </c>
      <c r="AU705" s="1288">
        <v>0</v>
      </c>
      <c r="AV705" s="1288">
        <v>0</v>
      </c>
      <c r="AW705" s="1288">
        <v>0</v>
      </c>
      <c r="AX705" s="1288">
        <v>0</v>
      </c>
      <c r="AY705" s="1288">
        <v>0</v>
      </c>
      <c r="AZ705" s="1288">
        <v>0</v>
      </c>
      <c r="BA705" s="1288">
        <v>0</v>
      </c>
      <c r="BB705" s="1288">
        <v>0</v>
      </c>
      <c r="BC705" s="1288">
        <v>0</v>
      </c>
      <c r="BD705" s="1288">
        <v>0</v>
      </c>
      <c r="BE705" s="1291">
        <v>0</v>
      </c>
    </row>
    <row r="706" spans="2:58" x14ac:dyDescent="0.25">
      <c r="B706" s="359"/>
      <c r="C706" s="360"/>
      <c r="D706" s="360"/>
      <c r="E706" s="360"/>
      <c r="F706" s="360"/>
      <c r="G706" s="360"/>
      <c r="H706" s="360"/>
      <c r="I706" s="360"/>
      <c r="J706" s="360"/>
      <c r="K706" s="360"/>
      <c r="L706" s="360"/>
      <c r="M706" s="360"/>
      <c r="N706" s="360"/>
      <c r="O706" s="360"/>
      <c r="P706" s="360"/>
      <c r="Q706" s="360"/>
      <c r="R706" s="360"/>
      <c r="S706" s="360"/>
      <c r="T706" s="360"/>
      <c r="U706" s="360"/>
      <c r="V706" s="360"/>
      <c r="W706" s="360"/>
      <c r="X706" s="360"/>
      <c r="Y706" s="360"/>
      <c r="Z706" s="360"/>
      <c r="AA706" s="360"/>
      <c r="AB706" s="360"/>
      <c r="AC706" s="360"/>
      <c r="AD706" s="360"/>
      <c r="AE706" s="360"/>
      <c r="AF706" s="360"/>
      <c r="AG706" s="360"/>
      <c r="AH706" s="360"/>
      <c r="AI706" s="360"/>
      <c r="AJ706" s="360"/>
      <c r="AK706" s="360"/>
      <c r="AL706" s="360"/>
      <c r="AM706" s="360"/>
      <c r="AN706" s="360"/>
      <c r="AO706" s="360"/>
      <c r="AP706" s="360"/>
      <c r="AQ706" s="360"/>
      <c r="AR706" s="360"/>
      <c r="AS706" s="360"/>
      <c r="AT706" s="360"/>
      <c r="AU706" s="360"/>
      <c r="AV706" s="360"/>
      <c r="AW706" s="360"/>
      <c r="AX706" s="360"/>
      <c r="AY706" s="360"/>
      <c r="AZ706" s="360"/>
      <c r="BA706" s="360"/>
      <c r="BB706" s="360"/>
      <c r="BC706" s="360"/>
      <c r="BD706" s="360"/>
      <c r="BE706" s="361"/>
    </row>
    <row r="707" spans="2:58" x14ac:dyDescent="0.25">
      <c r="B707" s="371" t="s">
        <v>180</v>
      </c>
      <c r="C707" s="360"/>
      <c r="D707" s="360"/>
      <c r="E707" s="360"/>
      <c r="F707" s="360"/>
      <c r="G707" s="360"/>
      <c r="H707" s="360"/>
      <c r="I707" s="360"/>
      <c r="J707" s="360"/>
      <c r="K707" s="360"/>
      <c r="L707" s="360"/>
      <c r="M707" s="360"/>
      <c r="N707" s="360"/>
      <c r="O707" s="360"/>
      <c r="P707" s="360"/>
      <c r="Q707" s="360"/>
      <c r="R707" s="360"/>
      <c r="S707" s="360"/>
      <c r="T707" s="360"/>
      <c r="U707" s="360"/>
      <c r="V707" s="360"/>
      <c r="W707" s="360"/>
      <c r="X707" s="360"/>
      <c r="Y707" s="360"/>
      <c r="Z707" s="360"/>
      <c r="AA707" s="360"/>
      <c r="AB707" s="360"/>
      <c r="AC707" s="360"/>
      <c r="AD707" s="360"/>
      <c r="AE707" s="360"/>
      <c r="AF707" s="360"/>
      <c r="AG707" s="360"/>
      <c r="AH707" s="360"/>
      <c r="AI707" s="360"/>
      <c r="AJ707" s="360"/>
      <c r="AK707" s="360"/>
      <c r="AL707" s="360"/>
      <c r="AM707" s="360"/>
      <c r="AN707" s="360"/>
      <c r="AO707" s="360"/>
      <c r="AP707" s="360"/>
      <c r="AQ707" s="360"/>
      <c r="AR707" s="360"/>
      <c r="AS707" s="360"/>
      <c r="AT707" s="360"/>
      <c r="AU707" s="360"/>
      <c r="AV707" s="360"/>
      <c r="AW707" s="360"/>
      <c r="AX707" s="360"/>
      <c r="AY707" s="360"/>
      <c r="AZ707" s="360"/>
      <c r="BA707" s="360"/>
      <c r="BB707" s="360"/>
      <c r="BC707" s="360"/>
      <c r="BD707" s="360"/>
      <c r="BE707" s="361"/>
    </row>
    <row r="708" spans="2:58" x14ac:dyDescent="0.25">
      <c r="B708" s="359"/>
      <c r="C708" s="415" t="s">
        <v>68</v>
      </c>
      <c r="D708" s="363" t="s">
        <v>22</v>
      </c>
      <c r="E708" s="360"/>
      <c r="F708" s="360"/>
      <c r="G708" s="1288">
        <f>IF('II. Inputs, Baseline Energy Mix'!$S$15&gt;0,('II. Inputs, Baseline Energy Mix'!$S$16*'II. Inputs, Baseline Energy Mix'!$S$17*'II. Inputs, Baseline Energy Mix'!$S$30*'II. Inputs, Baseline Energy Mix'!$S$33),0)</f>
        <v>0</v>
      </c>
      <c r="H708" s="360"/>
      <c r="I708" s="360"/>
      <c r="J708" s="360"/>
      <c r="K708" s="360"/>
      <c r="L708" s="360"/>
      <c r="M708" s="360"/>
      <c r="N708" s="360"/>
      <c r="O708" s="360"/>
      <c r="P708" s="360"/>
      <c r="Q708" s="360"/>
      <c r="R708" s="360"/>
      <c r="S708" s="360"/>
      <c r="T708" s="360"/>
      <c r="U708" s="360"/>
      <c r="V708" s="360"/>
      <c r="W708" s="360"/>
      <c r="X708" s="360"/>
      <c r="Y708" s="360"/>
      <c r="Z708" s="360"/>
      <c r="AA708" s="360"/>
      <c r="AB708" s="360"/>
      <c r="AC708" s="360"/>
      <c r="AD708" s="360"/>
      <c r="AE708" s="360"/>
      <c r="AF708" s="360"/>
      <c r="AG708" s="360"/>
      <c r="AH708" s="360"/>
      <c r="AI708" s="360"/>
      <c r="AJ708" s="360"/>
      <c r="AK708" s="360"/>
      <c r="AL708" s="360"/>
      <c r="AM708" s="360"/>
      <c r="AN708" s="360"/>
      <c r="AO708" s="360"/>
      <c r="AP708" s="360"/>
      <c r="AQ708" s="360"/>
      <c r="AR708" s="360"/>
      <c r="AS708" s="360"/>
      <c r="AT708" s="360"/>
      <c r="AU708" s="360"/>
      <c r="AV708" s="360"/>
      <c r="AW708" s="360"/>
      <c r="AX708" s="360"/>
      <c r="AY708" s="360"/>
      <c r="AZ708" s="360"/>
      <c r="BA708" s="360"/>
      <c r="BB708" s="360"/>
      <c r="BC708" s="360"/>
      <c r="BD708" s="360"/>
      <c r="BE708" s="361"/>
    </row>
    <row r="709" spans="2:58" x14ac:dyDescent="0.25">
      <c r="B709" s="359"/>
      <c r="C709" s="415" t="s">
        <v>69</v>
      </c>
      <c r="D709" s="363" t="s">
        <v>20</v>
      </c>
      <c r="E709" s="360"/>
      <c r="F709" s="360"/>
      <c r="G709" s="362">
        <f>SUM('II. Inputs, Baseline Energy Mix'!$S$73)</f>
        <v>0</v>
      </c>
      <c r="H709" s="360"/>
      <c r="I709" s="360"/>
      <c r="J709" s="360"/>
      <c r="K709" s="360"/>
      <c r="L709" s="360"/>
      <c r="M709" s="360"/>
      <c r="N709" s="360"/>
      <c r="O709" s="360"/>
      <c r="P709" s="360"/>
      <c r="Q709" s="360"/>
      <c r="R709" s="360"/>
      <c r="S709" s="360"/>
      <c r="T709" s="360"/>
      <c r="U709" s="360"/>
      <c r="V709" s="360"/>
      <c r="W709" s="360"/>
      <c r="X709" s="360"/>
      <c r="Y709" s="360"/>
      <c r="Z709" s="360"/>
      <c r="AA709" s="360"/>
      <c r="AB709" s="360"/>
      <c r="AC709" s="360"/>
      <c r="AD709" s="360"/>
      <c r="AE709" s="360"/>
      <c r="AF709" s="360"/>
      <c r="AG709" s="360"/>
      <c r="AH709" s="360"/>
      <c r="AI709" s="360"/>
      <c r="AJ709" s="360"/>
      <c r="AK709" s="360"/>
      <c r="AL709" s="360"/>
      <c r="AM709" s="360"/>
      <c r="AN709" s="360"/>
      <c r="AO709" s="360"/>
      <c r="AP709" s="360"/>
      <c r="AQ709" s="360"/>
      <c r="AR709" s="360"/>
      <c r="AS709" s="360"/>
      <c r="AT709" s="360"/>
      <c r="AU709" s="360"/>
      <c r="AV709" s="360"/>
      <c r="AW709" s="360"/>
      <c r="AX709" s="360"/>
      <c r="AY709" s="360"/>
      <c r="AZ709" s="360"/>
      <c r="BA709" s="360"/>
      <c r="BB709" s="360"/>
      <c r="BC709" s="360"/>
      <c r="BD709" s="360"/>
      <c r="BE709" s="361"/>
    </row>
    <row r="710" spans="2:58" x14ac:dyDescent="0.25">
      <c r="B710" s="359"/>
      <c r="C710" s="415" t="s">
        <v>70</v>
      </c>
      <c r="D710" s="363" t="s">
        <v>16</v>
      </c>
      <c r="E710" s="360"/>
      <c r="F710" s="360"/>
      <c r="G710" s="416">
        <f>SUM('II. Inputs, Baseline Energy Mix'!$S$72)</f>
        <v>0</v>
      </c>
      <c r="H710" s="360"/>
      <c r="I710" s="360"/>
      <c r="J710" s="360"/>
      <c r="K710" s="360"/>
      <c r="L710" s="360"/>
      <c r="M710" s="360"/>
      <c r="N710" s="360"/>
      <c r="O710" s="360"/>
      <c r="P710" s="360"/>
      <c r="Q710" s="360"/>
      <c r="R710" s="360"/>
      <c r="S710" s="360"/>
      <c r="T710" s="360"/>
      <c r="U710" s="360"/>
      <c r="V710" s="360"/>
      <c r="W710" s="360"/>
      <c r="X710" s="360"/>
      <c r="Y710" s="360"/>
      <c r="Z710" s="360"/>
      <c r="AA710" s="360"/>
      <c r="AB710" s="360"/>
      <c r="AC710" s="360"/>
      <c r="AD710" s="360"/>
      <c r="AE710" s="360"/>
      <c r="AF710" s="360"/>
      <c r="AG710" s="360"/>
      <c r="AH710" s="360"/>
      <c r="AI710" s="360"/>
      <c r="AJ710" s="360"/>
      <c r="AK710" s="360"/>
      <c r="AL710" s="360"/>
      <c r="AM710" s="360"/>
      <c r="AN710" s="360"/>
      <c r="AO710" s="360"/>
      <c r="AP710" s="360"/>
      <c r="AQ710" s="360"/>
      <c r="AR710" s="360"/>
      <c r="AS710" s="360"/>
      <c r="AT710" s="360"/>
      <c r="AU710" s="360"/>
      <c r="AV710" s="360"/>
      <c r="AW710" s="360"/>
      <c r="AX710" s="360"/>
      <c r="AY710" s="360"/>
      <c r="AZ710" s="360"/>
      <c r="BA710" s="360"/>
      <c r="BB710" s="360"/>
      <c r="BC710" s="360"/>
      <c r="BD710" s="360"/>
      <c r="BE710" s="361"/>
    </row>
    <row r="711" spans="2:58" x14ac:dyDescent="0.25">
      <c r="B711" s="359"/>
      <c r="C711" s="415" t="str">
        <f>'II. Inputs, Baseline Energy Mix'!$E$75</f>
        <v>Guarantee Coverage, as a % of Commercial Loan Value</v>
      </c>
      <c r="D711" s="363" t="s">
        <v>16</v>
      </c>
      <c r="E711" s="360"/>
      <c r="F711" s="360"/>
      <c r="G711" s="419">
        <f>SUM('II. Inputs, Baseline Energy Mix'!$S$75)</f>
        <v>0</v>
      </c>
      <c r="H711" s="360"/>
      <c r="I711" s="360"/>
      <c r="J711" s="360"/>
      <c r="K711" s="360"/>
      <c r="L711" s="360"/>
      <c r="M711" s="360"/>
      <c r="N711" s="360"/>
      <c r="O711" s="360"/>
      <c r="P711" s="360"/>
      <c r="Q711" s="360"/>
      <c r="R711" s="360"/>
      <c r="S711" s="360"/>
      <c r="T711" s="360"/>
      <c r="U711" s="360"/>
      <c r="V711" s="360"/>
      <c r="W711" s="360"/>
      <c r="X711" s="360"/>
      <c r="Y711" s="360"/>
      <c r="Z711" s="360"/>
      <c r="AA711" s="360"/>
      <c r="AB711" s="360"/>
      <c r="AC711" s="360"/>
      <c r="AD711" s="360"/>
      <c r="AE711" s="360"/>
      <c r="AF711" s="360"/>
      <c r="AG711" s="360"/>
      <c r="AH711" s="360"/>
      <c r="AI711" s="360"/>
      <c r="AJ711" s="360"/>
      <c r="AK711" s="360"/>
      <c r="AL711" s="360"/>
      <c r="AM711" s="360"/>
      <c r="AN711" s="360"/>
      <c r="AO711" s="360"/>
      <c r="AP711" s="360"/>
      <c r="AQ711" s="360"/>
      <c r="AR711" s="360"/>
      <c r="AS711" s="360"/>
      <c r="AT711" s="360"/>
      <c r="AU711" s="360"/>
      <c r="AV711" s="360"/>
      <c r="AW711" s="360"/>
      <c r="AX711" s="360"/>
      <c r="AY711" s="360"/>
      <c r="AZ711" s="360"/>
      <c r="BA711" s="360"/>
      <c r="BB711" s="360"/>
      <c r="BC711" s="360"/>
      <c r="BD711" s="360"/>
      <c r="BE711" s="361"/>
    </row>
    <row r="712" spans="2:58" x14ac:dyDescent="0.25">
      <c r="B712" s="359"/>
      <c r="C712" s="415" t="str">
        <f>'II. Inputs, Baseline Energy Mix'!$E$76</f>
        <v xml:space="preserve">Term of Public Guarantee Coverage </v>
      </c>
      <c r="D712" s="363" t="s">
        <v>20</v>
      </c>
      <c r="E712" s="360"/>
      <c r="F712" s="360"/>
      <c r="G712" s="362">
        <f>'II. Inputs, Baseline Energy Mix'!$S$76</f>
        <v>0</v>
      </c>
      <c r="H712" s="360"/>
      <c r="I712" s="360"/>
      <c r="J712" s="360"/>
      <c r="K712" s="360"/>
      <c r="L712" s="360"/>
      <c r="M712" s="360"/>
      <c r="N712" s="360"/>
      <c r="O712" s="360"/>
      <c r="P712" s="360"/>
      <c r="Q712" s="360"/>
      <c r="R712" s="360"/>
      <c r="S712" s="360"/>
      <c r="T712" s="360"/>
      <c r="U712" s="360"/>
      <c r="V712" s="360"/>
      <c r="W712" s="360"/>
      <c r="X712" s="360"/>
      <c r="Y712" s="360"/>
      <c r="Z712" s="360"/>
      <c r="AA712" s="360"/>
      <c r="AB712" s="360"/>
      <c r="AC712" s="360"/>
      <c r="AD712" s="360"/>
      <c r="AE712" s="360"/>
      <c r="AF712" s="360"/>
      <c r="AG712" s="360"/>
      <c r="AH712" s="360"/>
      <c r="AI712" s="360"/>
      <c r="AJ712" s="360"/>
      <c r="AK712" s="360"/>
      <c r="AL712" s="360"/>
      <c r="AM712" s="360"/>
      <c r="AN712" s="360"/>
      <c r="AO712" s="360"/>
      <c r="AP712" s="360"/>
      <c r="AQ712" s="360"/>
      <c r="AR712" s="360"/>
      <c r="AS712" s="360"/>
      <c r="AT712" s="360"/>
      <c r="AU712" s="360"/>
      <c r="AV712" s="360"/>
      <c r="AW712" s="360"/>
      <c r="AX712" s="360"/>
      <c r="AY712" s="360"/>
      <c r="AZ712" s="360"/>
      <c r="BA712" s="360"/>
      <c r="BB712" s="360"/>
      <c r="BC712" s="360"/>
      <c r="BD712" s="360"/>
      <c r="BE712" s="361"/>
    </row>
    <row r="713" spans="2:58" x14ac:dyDescent="0.25">
      <c r="B713" s="359"/>
      <c r="C713" s="360"/>
      <c r="D713" s="360"/>
      <c r="E713" s="360"/>
      <c r="F713" s="360"/>
      <c r="G713" s="360"/>
      <c r="H713" s="360"/>
      <c r="I713" s="360"/>
      <c r="J713" s="360"/>
      <c r="K713" s="360"/>
      <c r="L713" s="360"/>
      <c r="M713" s="360"/>
      <c r="N713" s="360"/>
      <c r="O713" s="360"/>
      <c r="P713" s="360"/>
      <c r="Q713" s="360"/>
      <c r="R713" s="360"/>
      <c r="S713" s="360"/>
      <c r="T713" s="360"/>
      <c r="U713" s="360"/>
      <c r="V713" s="360"/>
      <c r="W713" s="360"/>
      <c r="X713" s="360"/>
      <c r="Y713" s="360"/>
      <c r="Z713" s="360"/>
      <c r="AA713" s="360"/>
      <c r="AB713" s="360"/>
      <c r="AC713" s="360"/>
      <c r="AD713" s="360"/>
      <c r="AE713" s="360"/>
      <c r="AF713" s="360"/>
      <c r="AG713" s="360"/>
      <c r="AH713" s="360"/>
      <c r="AI713" s="360"/>
      <c r="AJ713" s="360"/>
      <c r="AK713" s="360"/>
      <c r="AL713" s="360"/>
      <c r="AM713" s="360"/>
      <c r="AN713" s="360"/>
      <c r="AO713" s="360"/>
      <c r="AP713" s="360"/>
      <c r="AQ713" s="360"/>
      <c r="AR713" s="360"/>
      <c r="AS713" s="360"/>
      <c r="AT713" s="360"/>
      <c r="AU713" s="360"/>
      <c r="AV713" s="360"/>
      <c r="AW713" s="360"/>
      <c r="AX713" s="360"/>
      <c r="AY713" s="360"/>
      <c r="AZ713" s="360"/>
      <c r="BA713" s="360"/>
      <c r="BB713" s="360"/>
      <c r="BC713" s="360"/>
      <c r="BD713" s="360"/>
      <c r="BE713" s="361"/>
    </row>
    <row r="714" spans="2:58" x14ac:dyDescent="0.25">
      <c r="B714" s="359"/>
      <c r="C714" s="417" t="s">
        <v>67</v>
      </c>
      <c r="D714" s="360"/>
      <c r="E714" s="360"/>
      <c r="F714" s="360"/>
      <c r="G714" s="1288"/>
      <c r="H714" s="1288"/>
      <c r="I714" s="1288"/>
      <c r="J714" s="1288"/>
      <c r="K714" s="1288"/>
      <c r="L714" s="1288"/>
      <c r="M714" s="1288"/>
      <c r="N714" s="1288"/>
      <c r="O714" s="1288"/>
      <c r="P714" s="1288"/>
      <c r="Q714" s="1288"/>
      <c r="R714" s="1288"/>
      <c r="S714" s="1288"/>
      <c r="T714" s="1288"/>
      <c r="U714" s="1288"/>
      <c r="V714" s="1288"/>
      <c r="W714" s="1288"/>
      <c r="X714" s="1288"/>
      <c r="Y714" s="1288"/>
      <c r="Z714" s="1288"/>
      <c r="AA714" s="1288"/>
      <c r="AB714" s="1288"/>
      <c r="AC714" s="1288"/>
      <c r="AD714" s="1288"/>
      <c r="AE714" s="1288"/>
      <c r="AF714" s="1288"/>
      <c r="AG714" s="1288"/>
      <c r="AH714" s="1288"/>
      <c r="AI714" s="1288"/>
      <c r="AJ714" s="1288"/>
      <c r="AK714" s="1288"/>
      <c r="AL714" s="1288"/>
      <c r="AM714" s="1288"/>
      <c r="AN714" s="1288"/>
      <c r="AO714" s="1288"/>
      <c r="AP714" s="1288"/>
      <c r="AQ714" s="1288"/>
      <c r="AR714" s="1288"/>
      <c r="AS714" s="1288"/>
      <c r="AT714" s="1288"/>
      <c r="AU714" s="1288"/>
      <c r="AV714" s="1288"/>
      <c r="AW714" s="1288"/>
      <c r="AX714" s="1288"/>
      <c r="AY714" s="1288"/>
      <c r="AZ714" s="1288"/>
      <c r="BA714" s="1288"/>
      <c r="BB714" s="1288"/>
      <c r="BC714" s="1288"/>
      <c r="BD714" s="1288"/>
      <c r="BE714" s="1291"/>
      <c r="BF714" s="1299"/>
    </row>
    <row r="715" spans="2:58" x14ac:dyDescent="0.25">
      <c r="B715" s="359"/>
      <c r="C715" s="360" t="s">
        <v>73</v>
      </c>
      <c r="D715" s="360"/>
      <c r="E715" s="360"/>
      <c r="F715" s="360"/>
      <c r="G715" s="1288"/>
      <c r="H715" s="1288">
        <f>IF(H$299&gt;$G709,0,IPMT($G710,H$299,$G709,-$G708))</f>
        <v>0</v>
      </c>
      <c r="I715" s="1288">
        <f t="shared" ref="I715:BE715" si="233">IF(I$299&gt;$G709,0,IPMT($G710,I$299,$G709,-$G708))</f>
        <v>0</v>
      </c>
      <c r="J715" s="1288">
        <f t="shared" si="233"/>
        <v>0</v>
      </c>
      <c r="K715" s="1288">
        <f t="shared" si="233"/>
        <v>0</v>
      </c>
      <c r="L715" s="1288">
        <f t="shared" si="233"/>
        <v>0</v>
      </c>
      <c r="M715" s="1288">
        <f t="shared" si="233"/>
        <v>0</v>
      </c>
      <c r="N715" s="1288">
        <f t="shared" si="233"/>
        <v>0</v>
      </c>
      <c r="O715" s="1288">
        <f t="shared" si="233"/>
        <v>0</v>
      </c>
      <c r="P715" s="1288">
        <f t="shared" si="233"/>
        <v>0</v>
      </c>
      <c r="Q715" s="1288">
        <f t="shared" si="233"/>
        <v>0</v>
      </c>
      <c r="R715" s="1288">
        <f t="shared" si="233"/>
        <v>0</v>
      </c>
      <c r="S715" s="1288">
        <f t="shared" si="233"/>
        <v>0</v>
      </c>
      <c r="T715" s="1288">
        <f t="shared" si="233"/>
        <v>0</v>
      </c>
      <c r="U715" s="1288">
        <f t="shared" si="233"/>
        <v>0</v>
      </c>
      <c r="V715" s="1288">
        <f t="shared" si="233"/>
        <v>0</v>
      </c>
      <c r="W715" s="1288">
        <f t="shared" si="233"/>
        <v>0</v>
      </c>
      <c r="X715" s="1288">
        <f t="shared" si="233"/>
        <v>0</v>
      </c>
      <c r="Y715" s="1288">
        <f t="shared" si="233"/>
        <v>0</v>
      </c>
      <c r="Z715" s="1288">
        <f t="shared" si="233"/>
        <v>0</v>
      </c>
      <c r="AA715" s="1288">
        <f t="shared" si="233"/>
        <v>0</v>
      </c>
      <c r="AB715" s="1288">
        <f t="shared" si="233"/>
        <v>0</v>
      </c>
      <c r="AC715" s="1288">
        <f t="shared" si="233"/>
        <v>0</v>
      </c>
      <c r="AD715" s="1288">
        <f t="shared" si="233"/>
        <v>0</v>
      </c>
      <c r="AE715" s="1288">
        <f t="shared" si="233"/>
        <v>0</v>
      </c>
      <c r="AF715" s="1288">
        <f t="shared" si="233"/>
        <v>0</v>
      </c>
      <c r="AG715" s="1288">
        <f t="shared" si="233"/>
        <v>0</v>
      </c>
      <c r="AH715" s="1288">
        <f t="shared" si="233"/>
        <v>0</v>
      </c>
      <c r="AI715" s="1288">
        <f t="shared" si="233"/>
        <v>0</v>
      </c>
      <c r="AJ715" s="1288">
        <f t="shared" si="233"/>
        <v>0</v>
      </c>
      <c r="AK715" s="1288">
        <f t="shared" si="233"/>
        <v>0</v>
      </c>
      <c r="AL715" s="1288">
        <f t="shared" si="233"/>
        <v>0</v>
      </c>
      <c r="AM715" s="1288">
        <f t="shared" si="233"/>
        <v>0</v>
      </c>
      <c r="AN715" s="1288">
        <f t="shared" si="233"/>
        <v>0</v>
      </c>
      <c r="AO715" s="1288">
        <f t="shared" si="233"/>
        <v>0</v>
      </c>
      <c r="AP715" s="1288">
        <f t="shared" si="233"/>
        <v>0</v>
      </c>
      <c r="AQ715" s="1288">
        <f t="shared" si="233"/>
        <v>0</v>
      </c>
      <c r="AR715" s="1288">
        <f t="shared" si="233"/>
        <v>0</v>
      </c>
      <c r="AS715" s="1288">
        <f t="shared" si="233"/>
        <v>0</v>
      </c>
      <c r="AT715" s="1288">
        <f t="shared" si="233"/>
        <v>0</v>
      </c>
      <c r="AU715" s="1288">
        <f t="shared" si="233"/>
        <v>0</v>
      </c>
      <c r="AV715" s="1288">
        <f t="shared" si="233"/>
        <v>0</v>
      </c>
      <c r="AW715" s="1288">
        <f t="shared" si="233"/>
        <v>0</v>
      </c>
      <c r="AX715" s="1288">
        <f t="shared" si="233"/>
        <v>0</v>
      </c>
      <c r="AY715" s="1288">
        <f t="shared" si="233"/>
        <v>0</v>
      </c>
      <c r="AZ715" s="1288">
        <f t="shared" si="233"/>
        <v>0</v>
      </c>
      <c r="BA715" s="1288">
        <f t="shared" si="233"/>
        <v>0</v>
      </c>
      <c r="BB715" s="1288">
        <f t="shared" si="233"/>
        <v>0</v>
      </c>
      <c r="BC715" s="1288">
        <f t="shared" si="233"/>
        <v>0</v>
      </c>
      <c r="BD715" s="1288">
        <f t="shared" si="233"/>
        <v>0</v>
      </c>
      <c r="BE715" s="1291">
        <f t="shared" si="233"/>
        <v>0</v>
      </c>
      <c r="BF715" s="1299"/>
    </row>
    <row r="716" spans="2:58" x14ac:dyDescent="0.25">
      <c r="B716" s="359"/>
      <c r="C716" s="367" t="s">
        <v>72</v>
      </c>
      <c r="D716" s="367"/>
      <c r="E716" s="367"/>
      <c r="F716" s="367"/>
      <c r="G716" s="1292"/>
      <c r="H716" s="1292">
        <f>IF(H$299&gt;$G709,0,PPMT($G710,H$299,$G709,-$G708))</f>
        <v>0</v>
      </c>
      <c r="I716" s="1292">
        <f t="shared" ref="I716:BE716" si="234">IF(I$299&gt;$G709,0,PPMT($G710,I$299,$G709,-$G708))</f>
        <v>0</v>
      </c>
      <c r="J716" s="1292">
        <f t="shared" si="234"/>
        <v>0</v>
      </c>
      <c r="K716" s="1292">
        <f t="shared" si="234"/>
        <v>0</v>
      </c>
      <c r="L716" s="1292">
        <f t="shared" si="234"/>
        <v>0</v>
      </c>
      <c r="M716" s="1292">
        <f t="shared" si="234"/>
        <v>0</v>
      </c>
      <c r="N716" s="1292">
        <f t="shared" si="234"/>
        <v>0</v>
      </c>
      <c r="O716" s="1292">
        <f t="shared" si="234"/>
        <v>0</v>
      </c>
      <c r="P716" s="1292">
        <f t="shared" si="234"/>
        <v>0</v>
      </c>
      <c r="Q716" s="1292">
        <f t="shared" si="234"/>
        <v>0</v>
      </c>
      <c r="R716" s="1292">
        <f t="shared" si="234"/>
        <v>0</v>
      </c>
      <c r="S716" s="1292">
        <f t="shared" si="234"/>
        <v>0</v>
      </c>
      <c r="T716" s="1292">
        <f t="shared" si="234"/>
        <v>0</v>
      </c>
      <c r="U716" s="1292">
        <f t="shared" si="234"/>
        <v>0</v>
      </c>
      <c r="V716" s="1292">
        <f t="shared" si="234"/>
        <v>0</v>
      </c>
      <c r="W716" s="1292">
        <f t="shared" si="234"/>
        <v>0</v>
      </c>
      <c r="X716" s="1292">
        <f t="shared" si="234"/>
        <v>0</v>
      </c>
      <c r="Y716" s="1292">
        <f t="shared" si="234"/>
        <v>0</v>
      </c>
      <c r="Z716" s="1292">
        <f t="shared" si="234"/>
        <v>0</v>
      </c>
      <c r="AA716" s="1292">
        <f t="shared" si="234"/>
        <v>0</v>
      </c>
      <c r="AB716" s="1292">
        <f t="shared" si="234"/>
        <v>0</v>
      </c>
      <c r="AC716" s="1292">
        <f t="shared" si="234"/>
        <v>0</v>
      </c>
      <c r="AD716" s="1292">
        <f t="shared" si="234"/>
        <v>0</v>
      </c>
      <c r="AE716" s="1292">
        <f t="shared" si="234"/>
        <v>0</v>
      </c>
      <c r="AF716" s="1292">
        <f t="shared" si="234"/>
        <v>0</v>
      </c>
      <c r="AG716" s="1292">
        <f t="shared" si="234"/>
        <v>0</v>
      </c>
      <c r="AH716" s="1292">
        <f t="shared" si="234"/>
        <v>0</v>
      </c>
      <c r="AI716" s="1292">
        <f t="shared" si="234"/>
        <v>0</v>
      </c>
      <c r="AJ716" s="1292">
        <f t="shared" si="234"/>
        <v>0</v>
      </c>
      <c r="AK716" s="1292">
        <f t="shared" si="234"/>
        <v>0</v>
      </c>
      <c r="AL716" s="1292">
        <f t="shared" si="234"/>
        <v>0</v>
      </c>
      <c r="AM716" s="1292">
        <f t="shared" si="234"/>
        <v>0</v>
      </c>
      <c r="AN716" s="1292">
        <f t="shared" si="234"/>
        <v>0</v>
      </c>
      <c r="AO716" s="1292">
        <f t="shared" si="234"/>
        <v>0</v>
      </c>
      <c r="AP716" s="1292">
        <f t="shared" si="234"/>
        <v>0</v>
      </c>
      <c r="AQ716" s="1292">
        <f t="shared" si="234"/>
        <v>0</v>
      </c>
      <c r="AR716" s="1292">
        <f t="shared" si="234"/>
        <v>0</v>
      </c>
      <c r="AS716" s="1292">
        <f t="shared" si="234"/>
        <v>0</v>
      </c>
      <c r="AT716" s="1292">
        <f t="shared" si="234"/>
        <v>0</v>
      </c>
      <c r="AU716" s="1292">
        <f t="shared" si="234"/>
        <v>0</v>
      </c>
      <c r="AV716" s="1292">
        <f t="shared" si="234"/>
        <v>0</v>
      </c>
      <c r="AW716" s="1292">
        <f t="shared" si="234"/>
        <v>0</v>
      </c>
      <c r="AX716" s="1292">
        <f t="shared" si="234"/>
        <v>0</v>
      </c>
      <c r="AY716" s="1292">
        <f t="shared" si="234"/>
        <v>0</v>
      </c>
      <c r="AZ716" s="1292">
        <f t="shared" si="234"/>
        <v>0</v>
      </c>
      <c r="BA716" s="1292">
        <f t="shared" si="234"/>
        <v>0</v>
      </c>
      <c r="BB716" s="1292">
        <f t="shared" si="234"/>
        <v>0</v>
      </c>
      <c r="BC716" s="1292">
        <f t="shared" si="234"/>
        <v>0</v>
      </c>
      <c r="BD716" s="1292">
        <f t="shared" si="234"/>
        <v>0</v>
      </c>
      <c r="BE716" s="1293">
        <f t="shared" si="234"/>
        <v>0</v>
      </c>
      <c r="BF716" s="1299"/>
    </row>
    <row r="717" spans="2:58" x14ac:dyDescent="0.25">
      <c r="B717" s="359"/>
      <c r="C717" s="360" t="s">
        <v>74</v>
      </c>
      <c r="D717" s="360"/>
      <c r="E717" s="360"/>
      <c r="F717" s="360"/>
      <c r="G717" s="1288"/>
      <c r="H717" s="1288">
        <f>SUM(H715:H716)</f>
        <v>0</v>
      </c>
      <c r="I717" s="1288">
        <f t="shared" ref="I717:BE717" si="235">SUM(I715:I716)</f>
        <v>0</v>
      </c>
      <c r="J717" s="1288">
        <f t="shared" si="235"/>
        <v>0</v>
      </c>
      <c r="K717" s="1288">
        <f t="shared" si="235"/>
        <v>0</v>
      </c>
      <c r="L717" s="1288">
        <f t="shared" si="235"/>
        <v>0</v>
      </c>
      <c r="M717" s="1288">
        <f t="shared" si="235"/>
        <v>0</v>
      </c>
      <c r="N717" s="1288">
        <f t="shared" si="235"/>
        <v>0</v>
      </c>
      <c r="O717" s="1288">
        <f t="shared" si="235"/>
        <v>0</v>
      </c>
      <c r="P717" s="1288">
        <f t="shared" si="235"/>
        <v>0</v>
      </c>
      <c r="Q717" s="1288">
        <f t="shared" si="235"/>
        <v>0</v>
      </c>
      <c r="R717" s="1288">
        <f t="shared" si="235"/>
        <v>0</v>
      </c>
      <c r="S717" s="1288">
        <f t="shared" si="235"/>
        <v>0</v>
      </c>
      <c r="T717" s="1288">
        <f t="shared" si="235"/>
        <v>0</v>
      </c>
      <c r="U717" s="1288">
        <f t="shared" si="235"/>
        <v>0</v>
      </c>
      <c r="V717" s="1288">
        <f t="shared" si="235"/>
        <v>0</v>
      </c>
      <c r="W717" s="1288">
        <f t="shared" si="235"/>
        <v>0</v>
      </c>
      <c r="X717" s="1288">
        <f t="shared" si="235"/>
        <v>0</v>
      </c>
      <c r="Y717" s="1288">
        <f t="shared" si="235"/>
        <v>0</v>
      </c>
      <c r="Z717" s="1288">
        <f t="shared" si="235"/>
        <v>0</v>
      </c>
      <c r="AA717" s="1288">
        <f t="shared" si="235"/>
        <v>0</v>
      </c>
      <c r="AB717" s="1288">
        <f t="shared" si="235"/>
        <v>0</v>
      </c>
      <c r="AC717" s="1288">
        <f t="shared" si="235"/>
        <v>0</v>
      </c>
      <c r="AD717" s="1288">
        <f t="shared" si="235"/>
        <v>0</v>
      </c>
      <c r="AE717" s="1288">
        <f t="shared" si="235"/>
        <v>0</v>
      </c>
      <c r="AF717" s="1288">
        <f t="shared" si="235"/>
        <v>0</v>
      </c>
      <c r="AG717" s="1288">
        <f t="shared" si="235"/>
        <v>0</v>
      </c>
      <c r="AH717" s="1288">
        <f t="shared" si="235"/>
        <v>0</v>
      </c>
      <c r="AI717" s="1288">
        <f t="shared" si="235"/>
        <v>0</v>
      </c>
      <c r="AJ717" s="1288">
        <f t="shared" si="235"/>
        <v>0</v>
      </c>
      <c r="AK717" s="1288">
        <f t="shared" si="235"/>
        <v>0</v>
      </c>
      <c r="AL717" s="1288">
        <f t="shared" si="235"/>
        <v>0</v>
      </c>
      <c r="AM717" s="1288">
        <f t="shared" si="235"/>
        <v>0</v>
      </c>
      <c r="AN717" s="1288">
        <f t="shared" si="235"/>
        <v>0</v>
      </c>
      <c r="AO717" s="1288">
        <f t="shared" si="235"/>
        <v>0</v>
      </c>
      <c r="AP717" s="1288">
        <f t="shared" si="235"/>
        <v>0</v>
      </c>
      <c r="AQ717" s="1288">
        <f t="shared" si="235"/>
        <v>0</v>
      </c>
      <c r="AR717" s="1288">
        <f t="shared" si="235"/>
        <v>0</v>
      </c>
      <c r="AS717" s="1288">
        <f t="shared" si="235"/>
        <v>0</v>
      </c>
      <c r="AT717" s="1288">
        <f t="shared" si="235"/>
        <v>0</v>
      </c>
      <c r="AU717" s="1288">
        <f t="shared" si="235"/>
        <v>0</v>
      </c>
      <c r="AV717" s="1288">
        <f t="shared" si="235"/>
        <v>0</v>
      </c>
      <c r="AW717" s="1288">
        <f t="shared" si="235"/>
        <v>0</v>
      </c>
      <c r="AX717" s="1288">
        <f t="shared" si="235"/>
        <v>0</v>
      </c>
      <c r="AY717" s="1288">
        <f t="shared" si="235"/>
        <v>0</v>
      </c>
      <c r="AZ717" s="1288">
        <f t="shared" si="235"/>
        <v>0</v>
      </c>
      <c r="BA717" s="1288">
        <f t="shared" si="235"/>
        <v>0</v>
      </c>
      <c r="BB717" s="1288">
        <f t="shared" si="235"/>
        <v>0</v>
      </c>
      <c r="BC717" s="1288">
        <f t="shared" si="235"/>
        <v>0</v>
      </c>
      <c r="BD717" s="1288">
        <f t="shared" si="235"/>
        <v>0</v>
      </c>
      <c r="BE717" s="1291">
        <f t="shared" si="235"/>
        <v>0</v>
      </c>
      <c r="BF717" s="1299"/>
    </row>
    <row r="718" spans="2:58" x14ac:dyDescent="0.25">
      <c r="B718" s="359"/>
      <c r="C718" s="360"/>
      <c r="D718" s="360"/>
      <c r="E718" s="360"/>
      <c r="F718" s="360"/>
      <c r="G718" s="1288"/>
      <c r="H718" s="1288"/>
      <c r="I718" s="1288"/>
      <c r="J718" s="1288"/>
      <c r="K718" s="1288"/>
      <c r="L718" s="1288"/>
      <c r="M718" s="1288"/>
      <c r="N718" s="1288"/>
      <c r="O718" s="1288"/>
      <c r="P718" s="1288"/>
      <c r="Q718" s="1288"/>
      <c r="R718" s="1288"/>
      <c r="S718" s="1288"/>
      <c r="T718" s="1288"/>
      <c r="U718" s="1288"/>
      <c r="V718" s="1288"/>
      <c r="W718" s="1288"/>
      <c r="X718" s="1288"/>
      <c r="Y718" s="1288"/>
      <c r="Z718" s="1288"/>
      <c r="AA718" s="1288"/>
      <c r="AB718" s="1288"/>
      <c r="AC718" s="1288"/>
      <c r="AD718" s="1288"/>
      <c r="AE718" s="1288"/>
      <c r="AF718" s="1288"/>
      <c r="AG718" s="1288"/>
      <c r="AH718" s="1288"/>
      <c r="AI718" s="1288"/>
      <c r="AJ718" s="1288"/>
      <c r="AK718" s="1288"/>
      <c r="AL718" s="1288"/>
      <c r="AM718" s="1288"/>
      <c r="AN718" s="1288"/>
      <c r="AO718" s="1288"/>
      <c r="AP718" s="1288"/>
      <c r="AQ718" s="1288"/>
      <c r="AR718" s="1288"/>
      <c r="AS718" s="1288"/>
      <c r="AT718" s="1288"/>
      <c r="AU718" s="1288"/>
      <c r="AV718" s="1288"/>
      <c r="AW718" s="1288"/>
      <c r="AX718" s="1288"/>
      <c r="AY718" s="1288"/>
      <c r="AZ718" s="1288"/>
      <c r="BA718" s="1288"/>
      <c r="BB718" s="1288"/>
      <c r="BC718" s="1288"/>
      <c r="BD718" s="1288"/>
      <c r="BE718" s="1291"/>
      <c r="BF718" s="1299"/>
    </row>
    <row r="719" spans="2:58" x14ac:dyDescent="0.25">
      <c r="B719" s="359"/>
      <c r="C719" s="418" t="s">
        <v>65</v>
      </c>
      <c r="D719" s="360"/>
      <c r="E719" s="360"/>
      <c r="F719" s="360"/>
      <c r="G719" s="1288"/>
      <c r="H719" s="1288"/>
      <c r="I719" s="1288"/>
      <c r="J719" s="1288"/>
      <c r="K719" s="1288"/>
      <c r="L719" s="1288"/>
      <c r="M719" s="1288"/>
      <c r="N719" s="1288"/>
      <c r="O719" s="1288"/>
      <c r="P719" s="1288"/>
      <c r="Q719" s="1288"/>
      <c r="R719" s="1288"/>
      <c r="S719" s="1288"/>
      <c r="T719" s="1288"/>
      <c r="U719" s="1288"/>
      <c r="V719" s="1288"/>
      <c r="W719" s="1288"/>
      <c r="X719" s="1288"/>
      <c r="Y719" s="1288"/>
      <c r="Z719" s="1288"/>
      <c r="AA719" s="1288"/>
      <c r="AB719" s="1288"/>
      <c r="AC719" s="1288"/>
      <c r="AD719" s="1288"/>
      <c r="AE719" s="1288"/>
      <c r="AF719" s="1288"/>
      <c r="AG719" s="1288"/>
      <c r="AH719" s="1288"/>
      <c r="AI719" s="1288"/>
      <c r="AJ719" s="1288"/>
      <c r="AK719" s="1288"/>
      <c r="AL719" s="1288"/>
      <c r="AM719" s="1288"/>
      <c r="AN719" s="1288"/>
      <c r="AO719" s="1288"/>
      <c r="AP719" s="1288"/>
      <c r="AQ719" s="1288"/>
      <c r="AR719" s="1288"/>
      <c r="AS719" s="1288"/>
      <c r="AT719" s="1288"/>
      <c r="AU719" s="1288"/>
      <c r="AV719" s="1288"/>
      <c r="AW719" s="1288"/>
      <c r="AX719" s="1288"/>
      <c r="AY719" s="1288"/>
      <c r="AZ719" s="1288"/>
      <c r="BA719" s="1288"/>
      <c r="BB719" s="1288"/>
      <c r="BC719" s="1288"/>
      <c r="BD719" s="1288"/>
      <c r="BE719" s="1291"/>
      <c r="BF719" s="1299"/>
    </row>
    <row r="720" spans="2:58" x14ac:dyDescent="0.25">
      <c r="B720" s="359"/>
      <c r="C720" s="360" t="s">
        <v>75</v>
      </c>
      <c r="D720" s="360"/>
      <c r="E720" s="360"/>
      <c r="F720" s="360"/>
      <c r="G720" s="1288">
        <v>0</v>
      </c>
      <c r="H720" s="1288">
        <f t="shared" ref="H720:AM720" si="236">G723</f>
        <v>0</v>
      </c>
      <c r="I720" s="1288">
        <f t="shared" si="236"/>
        <v>0</v>
      </c>
      <c r="J720" s="1288">
        <f t="shared" si="236"/>
        <v>0</v>
      </c>
      <c r="K720" s="1288">
        <f t="shared" si="236"/>
        <v>0</v>
      </c>
      <c r="L720" s="1288">
        <f t="shared" si="236"/>
        <v>0</v>
      </c>
      <c r="M720" s="1288">
        <f t="shared" si="236"/>
        <v>0</v>
      </c>
      <c r="N720" s="1288">
        <f t="shared" si="236"/>
        <v>0</v>
      </c>
      <c r="O720" s="1288">
        <f t="shared" si="236"/>
        <v>0</v>
      </c>
      <c r="P720" s="1288">
        <f t="shared" si="236"/>
        <v>0</v>
      </c>
      <c r="Q720" s="1288">
        <f t="shared" si="236"/>
        <v>0</v>
      </c>
      <c r="R720" s="1288">
        <f t="shared" si="236"/>
        <v>0</v>
      </c>
      <c r="S720" s="1288">
        <f t="shared" si="236"/>
        <v>0</v>
      </c>
      <c r="T720" s="1288">
        <f t="shared" si="236"/>
        <v>0</v>
      </c>
      <c r="U720" s="1288">
        <f t="shared" si="236"/>
        <v>0</v>
      </c>
      <c r="V720" s="1288">
        <f t="shared" si="236"/>
        <v>0</v>
      </c>
      <c r="W720" s="1288">
        <f t="shared" si="236"/>
        <v>0</v>
      </c>
      <c r="X720" s="1288">
        <f t="shared" si="236"/>
        <v>0</v>
      </c>
      <c r="Y720" s="1288">
        <f t="shared" si="236"/>
        <v>0</v>
      </c>
      <c r="Z720" s="1288">
        <f t="shared" si="236"/>
        <v>0</v>
      </c>
      <c r="AA720" s="1288">
        <f t="shared" si="236"/>
        <v>0</v>
      </c>
      <c r="AB720" s="1288">
        <f t="shared" si="236"/>
        <v>0</v>
      </c>
      <c r="AC720" s="1288">
        <f t="shared" si="236"/>
        <v>0</v>
      </c>
      <c r="AD720" s="1288">
        <f t="shared" si="236"/>
        <v>0</v>
      </c>
      <c r="AE720" s="1288">
        <f t="shared" si="236"/>
        <v>0</v>
      </c>
      <c r="AF720" s="1288">
        <f t="shared" si="236"/>
        <v>0</v>
      </c>
      <c r="AG720" s="1288">
        <f t="shared" si="236"/>
        <v>0</v>
      </c>
      <c r="AH720" s="1288">
        <f t="shared" si="236"/>
        <v>0</v>
      </c>
      <c r="AI720" s="1288">
        <f t="shared" si="236"/>
        <v>0</v>
      </c>
      <c r="AJ720" s="1288">
        <f t="shared" si="236"/>
        <v>0</v>
      </c>
      <c r="AK720" s="1288">
        <f t="shared" si="236"/>
        <v>0</v>
      </c>
      <c r="AL720" s="1288">
        <f t="shared" si="236"/>
        <v>0</v>
      </c>
      <c r="AM720" s="1288">
        <f t="shared" si="236"/>
        <v>0</v>
      </c>
      <c r="AN720" s="1288">
        <f t="shared" ref="AN720:BE720" si="237">AM723</f>
        <v>0</v>
      </c>
      <c r="AO720" s="1288">
        <f t="shared" si="237"/>
        <v>0</v>
      </c>
      <c r="AP720" s="1288">
        <f t="shared" si="237"/>
        <v>0</v>
      </c>
      <c r="AQ720" s="1288">
        <f t="shared" si="237"/>
        <v>0</v>
      </c>
      <c r="AR720" s="1288">
        <f t="shared" si="237"/>
        <v>0</v>
      </c>
      <c r="AS720" s="1288">
        <f t="shared" si="237"/>
        <v>0</v>
      </c>
      <c r="AT720" s="1288">
        <f t="shared" si="237"/>
        <v>0</v>
      </c>
      <c r="AU720" s="1288">
        <f t="shared" si="237"/>
        <v>0</v>
      </c>
      <c r="AV720" s="1288">
        <f t="shared" si="237"/>
        <v>0</v>
      </c>
      <c r="AW720" s="1288">
        <f t="shared" si="237"/>
        <v>0</v>
      </c>
      <c r="AX720" s="1288">
        <f t="shared" si="237"/>
        <v>0</v>
      </c>
      <c r="AY720" s="1288">
        <f t="shared" si="237"/>
        <v>0</v>
      </c>
      <c r="AZ720" s="1288">
        <f t="shared" si="237"/>
        <v>0</v>
      </c>
      <c r="BA720" s="1288">
        <f t="shared" si="237"/>
        <v>0</v>
      </c>
      <c r="BB720" s="1288">
        <f t="shared" si="237"/>
        <v>0</v>
      </c>
      <c r="BC720" s="1288">
        <f t="shared" si="237"/>
        <v>0</v>
      </c>
      <c r="BD720" s="1288">
        <f t="shared" si="237"/>
        <v>0</v>
      </c>
      <c r="BE720" s="1291">
        <f t="shared" si="237"/>
        <v>0</v>
      </c>
      <c r="BF720" s="1299"/>
    </row>
    <row r="721" spans="2:58" x14ac:dyDescent="0.25">
      <c r="B721" s="359"/>
      <c r="C721" s="360" t="s">
        <v>76</v>
      </c>
      <c r="D721" s="360"/>
      <c r="E721" s="360"/>
      <c r="F721" s="360"/>
      <c r="G721" s="1288">
        <f>G708</f>
        <v>0</v>
      </c>
      <c r="H721" s="1288">
        <v>0</v>
      </c>
      <c r="I721" s="1288">
        <v>0</v>
      </c>
      <c r="J721" s="1288">
        <v>0</v>
      </c>
      <c r="K721" s="1288">
        <v>0</v>
      </c>
      <c r="L721" s="1288">
        <v>0</v>
      </c>
      <c r="M721" s="1288">
        <v>0</v>
      </c>
      <c r="N721" s="1288">
        <v>0</v>
      </c>
      <c r="O721" s="1288">
        <v>0</v>
      </c>
      <c r="P721" s="1288">
        <v>0</v>
      </c>
      <c r="Q721" s="1288">
        <v>0</v>
      </c>
      <c r="R721" s="1288">
        <v>0</v>
      </c>
      <c r="S721" s="1288">
        <v>0</v>
      </c>
      <c r="T721" s="1288">
        <v>0</v>
      </c>
      <c r="U721" s="1288">
        <v>0</v>
      </c>
      <c r="V721" s="1288">
        <v>0</v>
      </c>
      <c r="W721" s="1288">
        <v>0</v>
      </c>
      <c r="X721" s="1288">
        <v>0</v>
      </c>
      <c r="Y721" s="1288">
        <v>0</v>
      </c>
      <c r="Z721" s="1288">
        <v>0</v>
      </c>
      <c r="AA721" s="1288">
        <v>0</v>
      </c>
      <c r="AB721" s="1288">
        <v>0</v>
      </c>
      <c r="AC721" s="1288">
        <v>0</v>
      </c>
      <c r="AD721" s="1288">
        <v>0</v>
      </c>
      <c r="AE721" s="1288">
        <v>0</v>
      </c>
      <c r="AF721" s="1288">
        <v>0</v>
      </c>
      <c r="AG721" s="1288">
        <v>0</v>
      </c>
      <c r="AH721" s="1288">
        <v>0</v>
      </c>
      <c r="AI721" s="1288">
        <v>0</v>
      </c>
      <c r="AJ721" s="1288">
        <v>0</v>
      </c>
      <c r="AK721" s="1288">
        <v>0</v>
      </c>
      <c r="AL721" s="1288">
        <v>0</v>
      </c>
      <c r="AM721" s="1288">
        <v>0</v>
      </c>
      <c r="AN721" s="1288">
        <v>0</v>
      </c>
      <c r="AO721" s="1288">
        <v>0</v>
      </c>
      <c r="AP721" s="1288">
        <v>0</v>
      </c>
      <c r="AQ721" s="1288">
        <v>0</v>
      </c>
      <c r="AR721" s="1288">
        <v>0</v>
      </c>
      <c r="AS721" s="1288">
        <v>0</v>
      </c>
      <c r="AT721" s="1288">
        <v>0</v>
      </c>
      <c r="AU721" s="1288">
        <v>0</v>
      </c>
      <c r="AV721" s="1288">
        <v>0</v>
      </c>
      <c r="AW721" s="1288">
        <v>0</v>
      </c>
      <c r="AX721" s="1288">
        <v>0</v>
      </c>
      <c r="AY721" s="1288">
        <v>0</v>
      </c>
      <c r="AZ721" s="1288">
        <v>0</v>
      </c>
      <c r="BA721" s="1288">
        <v>0</v>
      </c>
      <c r="BB721" s="1288">
        <v>0</v>
      </c>
      <c r="BC721" s="1288">
        <v>0</v>
      </c>
      <c r="BD721" s="1288">
        <v>0</v>
      </c>
      <c r="BE721" s="1291">
        <v>0</v>
      </c>
      <c r="BF721" s="1299"/>
    </row>
    <row r="722" spans="2:58" x14ac:dyDescent="0.25">
      <c r="B722" s="359"/>
      <c r="C722" s="367" t="s">
        <v>77</v>
      </c>
      <c r="D722" s="367"/>
      <c r="E722" s="367"/>
      <c r="F722" s="367"/>
      <c r="G722" s="1292">
        <v>0</v>
      </c>
      <c r="H722" s="1292">
        <f>-H716</f>
        <v>0</v>
      </c>
      <c r="I722" s="1292">
        <f t="shared" ref="I722:BE722" si="238">-I716</f>
        <v>0</v>
      </c>
      <c r="J722" s="1292">
        <f t="shared" si="238"/>
        <v>0</v>
      </c>
      <c r="K722" s="1292">
        <f t="shared" si="238"/>
        <v>0</v>
      </c>
      <c r="L722" s="1292">
        <f t="shared" si="238"/>
        <v>0</v>
      </c>
      <c r="M722" s="1292">
        <f t="shared" si="238"/>
        <v>0</v>
      </c>
      <c r="N722" s="1292">
        <f t="shared" si="238"/>
        <v>0</v>
      </c>
      <c r="O722" s="1292">
        <f t="shared" si="238"/>
        <v>0</v>
      </c>
      <c r="P722" s="1292">
        <f t="shared" si="238"/>
        <v>0</v>
      </c>
      <c r="Q722" s="1292">
        <f t="shared" si="238"/>
        <v>0</v>
      </c>
      <c r="R722" s="1292">
        <f t="shared" si="238"/>
        <v>0</v>
      </c>
      <c r="S722" s="1292">
        <f t="shared" si="238"/>
        <v>0</v>
      </c>
      <c r="T722" s="1292">
        <f t="shared" si="238"/>
        <v>0</v>
      </c>
      <c r="U722" s="1292">
        <f t="shared" si="238"/>
        <v>0</v>
      </c>
      <c r="V722" s="1292">
        <f t="shared" si="238"/>
        <v>0</v>
      </c>
      <c r="W722" s="1292">
        <f t="shared" si="238"/>
        <v>0</v>
      </c>
      <c r="X722" s="1292">
        <f t="shared" si="238"/>
        <v>0</v>
      </c>
      <c r="Y722" s="1292">
        <f t="shared" si="238"/>
        <v>0</v>
      </c>
      <c r="Z722" s="1292">
        <f t="shared" si="238"/>
        <v>0</v>
      </c>
      <c r="AA722" s="1292">
        <f t="shared" si="238"/>
        <v>0</v>
      </c>
      <c r="AB722" s="1292">
        <f t="shared" si="238"/>
        <v>0</v>
      </c>
      <c r="AC722" s="1292">
        <f t="shared" si="238"/>
        <v>0</v>
      </c>
      <c r="AD722" s="1292">
        <f t="shared" si="238"/>
        <v>0</v>
      </c>
      <c r="AE722" s="1292">
        <f t="shared" si="238"/>
        <v>0</v>
      </c>
      <c r="AF722" s="1292">
        <f t="shared" si="238"/>
        <v>0</v>
      </c>
      <c r="AG722" s="1292">
        <f t="shared" si="238"/>
        <v>0</v>
      </c>
      <c r="AH722" s="1292">
        <f t="shared" si="238"/>
        <v>0</v>
      </c>
      <c r="AI722" s="1292">
        <f t="shared" si="238"/>
        <v>0</v>
      </c>
      <c r="AJ722" s="1292">
        <f t="shared" si="238"/>
        <v>0</v>
      </c>
      <c r="AK722" s="1292">
        <f t="shared" si="238"/>
        <v>0</v>
      </c>
      <c r="AL722" s="1292">
        <f t="shared" si="238"/>
        <v>0</v>
      </c>
      <c r="AM722" s="1292">
        <f t="shared" si="238"/>
        <v>0</v>
      </c>
      <c r="AN722" s="1292">
        <f t="shared" si="238"/>
        <v>0</v>
      </c>
      <c r="AO722" s="1292">
        <f t="shared" si="238"/>
        <v>0</v>
      </c>
      <c r="AP722" s="1292">
        <f t="shared" si="238"/>
        <v>0</v>
      </c>
      <c r="AQ722" s="1292">
        <f t="shared" si="238"/>
        <v>0</v>
      </c>
      <c r="AR722" s="1292">
        <f t="shared" si="238"/>
        <v>0</v>
      </c>
      <c r="AS722" s="1292">
        <f t="shared" si="238"/>
        <v>0</v>
      </c>
      <c r="AT722" s="1292">
        <f t="shared" si="238"/>
        <v>0</v>
      </c>
      <c r="AU722" s="1292">
        <f t="shared" si="238"/>
        <v>0</v>
      </c>
      <c r="AV722" s="1292">
        <f t="shared" si="238"/>
        <v>0</v>
      </c>
      <c r="AW722" s="1292">
        <f t="shared" si="238"/>
        <v>0</v>
      </c>
      <c r="AX722" s="1292">
        <f t="shared" si="238"/>
        <v>0</v>
      </c>
      <c r="AY722" s="1292">
        <f t="shared" si="238"/>
        <v>0</v>
      </c>
      <c r="AZ722" s="1292">
        <f t="shared" si="238"/>
        <v>0</v>
      </c>
      <c r="BA722" s="1292">
        <f t="shared" si="238"/>
        <v>0</v>
      </c>
      <c r="BB722" s="1292">
        <f t="shared" si="238"/>
        <v>0</v>
      </c>
      <c r="BC722" s="1292">
        <f t="shared" si="238"/>
        <v>0</v>
      </c>
      <c r="BD722" s="1292">
        <f t="shared" si="238"/>
        <v>0</v>
      </c>
      <c r="BE722" s="1293">
        <f t="shared" si="238"/>
        <v>0</v>
      </c>
      <c r="BF722" s="1299"/>
    </row>
    <row r="723" spans="2:58" x14ac:dyDescent="0.25">
      <c r="B723" s="359"/>
      <c r="C723" s="360" t="s">
        <v>66</v>
      </c>
      <c r="D723" s="360"/>
      <c r="E723" s="360"/>
      <c r="F723" s="360"/>
      <c r="G723" s="1288">
        <f>SUM(G720:G722)</f>
        <v>0</v>
      </c>
      <c r="H723" s="1288">
        <f>SUM(H720:H722)</f>
        <v>0</v>
      </c>
      <c r="I723" s="1288">
        <f t="shared" ref="I723:BE723" si="239">SUM(I720:I722)</f>
        <v>0</v>
      </c>
      <c r="J723" s="1288">
        <f t="shared" si="239"/>
        <v>0</v>
      </c>
      <c r="K723" s="1288">
        <f t="shared" si="239"/>
        <v>0</v>
      </c>
      <c r="L723" s="1288">
        <f t="shared" si="239"/>
        <v>0</v>
      </c>
      <c r="M723" s="1288">
        <f t="shared" si="239"/>
        <v>0</v>
      </c>
      <c r="N723" s="1288">
        <f t="shared" si="239"/>
        <v>0</v>
      </c>
      <c r="O723" s="1288">
        <f t="shared" si="239"/>
        <v>0</v>
      </c>
      <c r="P723" s="1288">
        <f t="shared" si="239"/>
        <v>0</v>
      </c>
      <c r="Q723" s="1288">
        <f t="shared" si="239"/>
        <v>0</v>
      </c>
      <c r="R723" s="1288">
        <f t="shared" si="239"/>
        <v>0</v>
      </c>
      <c r="S723" s="1288">
        <f t="shared" si="239"/>
        <v>0</v>
      </c>
      <c r="T723" s="1288">
        <f t="shared" si="239"/>
        <v>0</v>
      </c>
      <c r="U723" s="1288">
        <f t="shared" si="239"/>
        <v>0</v>
      </c>
      <c r="V723" s="1288">
        <f t="shared" si="239"/>
        <v>0</v>
      </c>
      <c r="W723" s="1288">
        <f t="shared" si="239"/>
        <v>0</v>
      </c>
      <c r="X723" s="1288">
        <f t="shared" si="239"/>
        <v>0</v>
      </c>
      <c r="Y723" s="1288">
        <f t="shared" si="239"/>
        <v>0</v>
      </c>
      <c r="Z723" s="1288">
        <f t="shared" si="239"/>
        <v>0</v>
      </c>
      <c r="AA723" s="1288">
        <f t="shared" si="239"/>
        <v>0</v>
      </c>
      <c r="AB723" s="1288">
        <f t="shared" si="239"/>
        <v>0</v>
      </c>
      <c r="AC723" s="1288">
        <f t="shared" si="239"/>
        <v>0</v>
      </c>
      <c r="AD723" s="1288">
        <f t="shared" si="239"/>
        <v>0</v>
      </c>
      <c r="AE723" s="1288">
        <f t="shared" si="239"/>
        <v>0</v>
      </c>
      <c r="AF723" s="1288">
        <f t="shared" si="239"/>
        <v>0</v>
      </c>
      <c r="AG723" s="1288">
        <f t="shared" si="239"/>
        <v>0</v>
      </c>
      <c r="AH723" s="1288">
        <f t="shared" si="239"/>
        <v>0</v>
      </c>
      <c r="AI723" s="1288">
        <f t="shared" si="239"/>
        <v>0</v>
      </c>
      <c r="AJ723" s="1288">
        <f t="shared" si="239"/>
        <v>0</v>
      </c>
      <c r="AK723" s="1288">
        <f t="shared" si="239"/>
        <v>0</v>
      </c>
      <c r="AL723" s="1288">
        <f t="shared" si="239"/>
        <v>0</v>
      </c>
      <c r="AM723" s="1288">
        <f t="shared" si="239"/>
        <v>0</v>
      </c>
      <c r="AN723" s="1288">
        <f t="shared" si="239"/>
        <v>0</v>
      </c>
      <c r="AO723" s="1288">
        <f t="shared" si="239"/>
        <v>0</v>
      </c>
      <c r="AP723" s="1288">
        <f t="shared" si="239"/>
        <v>0</v>
      </c>
      <c r="AQ723" s="1288">
        <f t="shared" si="239"/>
        <v>0</v>
      </c>
      <c r="AR723" s="1288">
        <f t="shared" si="239"/>
        <v>0</v>
      </c>
      <c r="AS723" s="1288">
        <f t="shared" si="239"/>
        <v>0</v>
      </c>
      <c r="AT723" s="1288">
        <f t="shared" si="239"/>
        <v>0</v>
      </c>
      <c r="AU723" s="1288">
        <f t="shared" si="239"/>
        <v>0</v>
      </c>
      <c r="AV723" s="1288">
        <f t="shared" si="239"/>
        <v>0</v>
      </c>
      <c r="AW723" s="1288">
        <f t="shared" si="239"/>
        <v>0</v>
      </c>
      <c r="AX723" s="1288">
        <f t="shared" si="239"/>
        <v>0</v>
      </c>
      <c r="AY723" s="1288">
        <f t="shared" si="239"/>
        <v>0</v>
      </c>
      <c r="AZ723" s="1288">
        <f t="shared" si="239"/>
        <v>0</v>
      </c>
      <c r="BA723" s="1288">
        <f t="shared" si="239"/>
        <v>0</v>
      </c>
      <c r="BB723" s="1288">
        <f t="shared" si="239"/>
        <v>0</v>
      </c>
      <c r="BC723" s="1288">
        <f t="shared" si="239"/>
        <v>0</v>
      </c>
      <c r="BD723" s="1288">
        <f t="shared" si="239"/>
        <v>0</v>
      </c>
      <c r="BE723" s="1291">
        <f t="shared" si="239"/>
        <v>0</v>
      </c>
      <c r="BF723" s="1299"/>
    </row>
    <row r="724" spans="2:58" x14ac:dyDescent="0.25">
      <c r="B724" s="359"/>
      <c r="C724" s="360"/>
      <c r="D724" s="360"/>
      <c r="E724" s="360"/>
      <c r="F724" s="360"/>
      <c r="G724" s="1288"/>
      <c r="H724" s="1288"/>
      <c r="I724" s="1288"/>
      <c r="J724" s="1288"/>
      <c r="K724" s="1288"/>
      <c r="L724" s="1288"/>
      <c r="M724" s="1288"/>
      <c r="N724" s="1288"/>
      <c r="O724" s="1288"/>
      <c r="P724" s="1288"/>
      <c r="Q724" s="1288"/>
      <c r="R724" s="1288"/>
      <c r="S724" s="1288"/>
      <c r="T724" s="1288"/>
      <c r="U724" s="1288"/>
      <c r="V724" s="1288"/>
      <c r="W724" s="1288"/>
      <c r="X724" s="1288"/>
      <c r="Y724" s="1288"/>
      <c r="Z724" s="1288"/>
      <c r="AA724" s="1288"/>
      <c r="AB724" s="1288"/>
      <c r="AC724" s="1288"/>
      <c r="AD724" s="1288"/>
      <c r="AE724" s="1288"/>
      <c r="AF724" s="1288"/>
      <c r="AG724" s="1288"/>
      <c r="AH724" s="1288"/>
      <c r="AI724" s="1288"/>
      <c r="AJ724" s="1288"/>
      <c r="AK724" s="1288"/>
      <c r="AL724" s="1288"/>
      <c r="AM724" s="1288"/>
      <c r="AN724" s="1288"/>
      <c r="AO724" s="1288"/>
      <c r="AP724" s="1288"/>
      <c r="AQ724" s="1288"/>
      <c r="AR724" s="1288"/>
      <c r="AS724" s="1288"/>
      <c r="AT724" s="1288"/>
      <c r="AU724" s="1288"/>
      <c r="AV724" s="1288"/>
      <c r="AW724" s="1288"/>
      <c r="AX724" s="1288"/>
      <c r="AY724" s="1288"/>
      <c r="AZ724" s="1288"/>
      <c r="BA724" s="1288"/>
      <c r="BB724" s="1288"/>
      <c r="BC724" s="1288"/>
      <c r="BD724" s="1288"/>
      <c r="BE724" s="1291"/>
      <c r="BF724" s="1299"/>
    </row>
    <row r="725" spans="2:58" x14ac:dyDescent="0.25">
      <c r="B725" s="359"/>
      <c r="C725" s="418" t="s">
        <v>71</v>
      </c>
      <c r="D725" s="360"/>
      <c r="E725" s="360"/>
      <c r="F725" s="360"/>
      <c r="G725" s="1288"/>
      <c r="H725" s="1288"/>
      <c r="I725" s="1288"/>
      <c r="J725" s="1288"/>
      <c r="K725" s="1288"/>
      <c r="L725" s="1288"/>
      <c r="M725" s="1288"/>
      <c r="N725" s="1288"/>
      <c r="O725" s="1288"/>
      <c r="P725" s="1288"/>
      <c r="Q725" s="1288"/>
      <c r="R725" s="1288"/>
      <c r="S725" s="1288"/>
      <c r="T725" s="1288"/>
      <c r="U725" s="1288"/>
      <c r="V725" s="1288"/>
      <c r="W725" s="1288"/>
      <c r="X725" s="1288"/>
      <c r="Y725" s="1288"/>
      <c r="Z725" s="1288"/>
      <c r="AA725" s="1288"/>
      <c r="AB725" s="1288"/>
      <c r="AC725" s="1288"/>
      <c r="AD725" s="1288"/>
      <c r="AE725" s="1288"/>
      <c r="AF725" s="1288"/>
      <c r="AG725" s="1288"/>
      <c r="AH725" s="1288"/>
      <c r="AI725" s="1288"/>
      <c r="AJ725" s="1288"/>
      <c r="AK725" s="1288"/>
      <c r="AL725" s="1288"/>
      <c r="AM725" s="1288"/>
      <c r="AN725" s="1288"/>
      <c r="AO725" s="1288"/>
      <c r="AP725" s="1288"/>
      <c r="AQ725" s="1288"/>
      <c r="AR725" s="1288"/>
      <c r="AS725" s="1288"/>
      <c r="AT725" s="1288"/>
      <c r="AU725" s="1288"/>
      <c r="AV725" s="1288"/>
      <c r="AW725" s="1288"/>
      <c r="AX725" s="1288"/>
      <c r="AY725" s="1288"/>
      <c r="AZ725" s="1288"/>
      <c r="BA725" s="1288"/>
      <c r="BB725" s="1288"/>
      <c r="BC725" s="1288"/>
      <c r="BD725" s="1288"/>
      <c r="BE725" s="1291"/>
      <c r="BF725" s="1299"/>
    </row>
    <row r="726" spans="2:58" x14ac:dyDescent="0.25">
      <c r="B726" s="359"/>
      <c r="C726" s="360" t="s">
        <v>234</v>
      </c>
      <c r="D726" s="360"/>
      <c r="E726" s="360"/>
      <c r="F726" s="360"/>
      <c r="G726" s="1288"/>
      <c r="H726" s="1288">
        <f>IF($G708&gt;0, $G708*'II. Inputs, Baseline Energy Mix'!$S$74/10000,0)</f>
        <v>0</v>
      </c>
      <c r="I726" s="1288">
        <v>0</v>
      </c>
      <c r="J726" s="1288">
        <v>0</v>
      </c>
      <c r="K726" s="1288">
        <v>0</v>
      </c>
      <c r="L726" s="1288">
        <v>0</v>
      </c>
      <c r="M726" s="1288">
        <v>0</v>
      </c>
      <c r="N726" s="1288">
        <v>0</v>
      </c>
      <c r="O726" s="1288">
        <v>0</v>
      </c>
      <c r="P726" s="1288">
        <v>0</v>
      </c>
      <c r="Q726" s="1288">
        <v>0</v>
      </c>
      <c r="R726" s="1288">
        <v>0</v>
      </c>
      <c r="S726" s="1288">
        <v>0</v>
      </c>
      <c r="T726" s="1288">
        <v>0</v>
      </c>
      <c r="U726" s="1288">
        <v>0</v>
      </c>
      <c r="V726" s="1288">
        <v>0</v>
      </c>
      <c r="W726" s="1288">
        <v>0</v>
      </c>
      <c r="X726" s="1288">
        <v>0</v>
      </c>
      <c r="Y726" s="1288">
        <v>0</v>
      </c>
      <c r="Z726" s="1288">
        <v>0</v>
      </c>
      <c r="AA726" s="1288">
        <v>0</v>
      </c>
      <c r="AB726" s="1288">
        <v>0</v>
      </c>
      <c r="AC726" s="1288">
        <v>0</v>
      </c>
      <c r="AD726" s="1288">
        <v>0</v>
      </c>
      <c r="AE726" s="1288">
        <v>0</v>
      </c>
      <c r="AF726" s="1288">
        <v>0</v>
      </c>
      <c r="AG726" s="1288">
        <v>0</v>
      </c>
      <c r="AH726" s="1288">
        <v>0</v>
      </c>
      <c r="AI726" s="1288">
        <v>0</v>
      </c>
      <c r="AJ726" s="1288">
        <v>0</v>
      </c>
      <c r="AK726" s="1288">
        <v>0</v>
      </c>
      <c r="AL726" s="1288">
        <v>0</v>
      </c>
      <c r="AM726" s="1288">
        <v>0</v>
      </c>
      <c r="AN726" s="1288">
        <v>0</v>
      </c>
      <c r="AO726" s="1288">
        <v>0</v>
      </c>
      <c r="AP726" s="1288">
        <v>0</v>
      </c>
      <c r="AQ726" s="1288">
        <v>0</v>
      </c>
      <c r="AR726" s="1288">
        <v>0</v>
      </c>
      <c r="AS726" s="1288">
        <v>0</v>
      </c>
      <c r="AT726" s="1288">
        <v>0</v>
      </c>
      <c r="AU726" s="1288">
        <v>0</v>
      </c>
      <c r="AV726" s="1288">
        <v>0</v>
      </c>
      <c r="AW726" s="1288">
        <v>0</v>
      </c>
      <c r="AX726" s="1288">
        <v>0</v>
      </c>
      <c r="AY726" s="1288">
        <v>0</v>
      </c>
      <c r="AZ726" s="1288">
        <v>0</v>
      </c>
      <c r="BA726" s="1288">
        <v>0</v>
      </c>
      <c r="BB726" s="1288">
        <v>0</v>
      </c>
      <c r="BC726" s="1288">
        <v>0</v>
      </c>
      <c r="BD726" s="1288">
        <v>0</v>
      </c>
      <c r="BE726" s="1291">
        <v>0</v>
      </c>
      <c r="BF726" s="1299"/>
    </row>
    <row r="727" spans="2:58" x14ac:dyDescent="0.25">
      <c r="B727" s="359"/>
      <c r="C727" s="360" t="str">
        <f>'II. Inputs, Baseline Energy Mix'!$E$77</f>
        <v>Front-end Fee, Public Guarantee</v>
      </c>
      <c r="D727" s="360"/>
      <c r="E727" s="360"/>
      <c r="F727" s="360"/>
      <c r="G727" s="1288"/>
      <c r="H727" s="1288">
        <f>IF($G708&gt;0, $G708*$G711*'II. Inputs, Baseline Energy Mix'!$S$77/10000,0)</f>
        <v>0</v>
      </c>
      <c r="I727" s="1288">
        <v>0</v>
      </c>
      <c r="J727" s="1288">
        <v>0</v>
      </c>
      <c r="K727" s="1288">
        <v>0</v>
      </c>
      <c r="L727" s="1288">
        <v>0</v>
      </c>
      <c r="M727" s="1288">
        <v>0</v>
      </c>
      <c r="N727" s="1288">
        <v>0</v>
      </c>
      <c r="O727" s="1288">
        <v>0</v>
      </c>
      <c r="P727" s="1288">
        <v>0</v>
      </c>
      <c r="Q727" s="1288">
        <v>0</v>
      </c>
      <c r="R727" s="1288">
        <v>0</v>
      </c>
      <c r="S727" s="1288">
        <v>0</v>
      </c>
      <c r="T727" s="1288">
        <v>0</v>
      </c>
      <c r="U727" s="1288">
        <v>0</v>
      </c>
      <c r="V727" s="1288">
        <v>0</v>
      </c>
      <c r="W727" s="1288">
        <v>0</v>
      </c>
      <c r="X727" s="1288">
        <v>0</v>
      </c>
      <c r="Y727" s="1288">
        <v>0</v>
      </c>
      <c r="Z727" s="1288">
        <v>0</v>
      </c>
      <c r="AA727" s="1288">
        <v>0</v>
      </c>
      <c r="AB727" s="1288">
        <v>0</v>
      </c>
      <c r="AC727" s="1288">
        <v>0</v>
      </c>
      <c r="AD727" s="1288">
        <v>0</v>
      </c>
      <c r="AE727" s="1288">
        <v>0</v>
      </c>
      <c r="AF727" s="1288">
        <v>0</v>
      </c>
      <c r="AG727" s="1288">
        <v>0</v>
      </c>
      <c r="AH727" s="1288">
        <v>0</v>
      </c>
      <c r="AI727" s="1288">
        <v>0</v>
      </c>
      <c r="AJ727" s="1288">
        <v>0</v>
      </c>
      <c r="AK727" s="1288">
        <v>0</v>
      </c>
      <c r="AL727" s="1288">
        <v>0</v>
      </c>
      <c r="AM727" s="1288">
        <v>0</v>
      </c>
      <c r="AN727" s="1288">
        <v>0</v>
      </c>
      <c r="AO727" s="1288">
        <v>0</v>
      </c>
      <c r="AP727" s="1288">
        <v>0</v>
      </c>
      <c r="AQ727" s="1288">
        <v>0</v>
      </c>
      <c r="AR727" s="1288">
        <v>0</v>
      </c>
      <c r="AS727" s="1288">
        <v>0</v>
      </c>
      <c r="AT727" s="1288">
        <v>0</v>
      </c>
      <c r="AU727" s="1288">
        <v>0</v>
      </c>
      <c r="AV727" s="1288">
        <v>0</v>
      </c>
      <c r="AW727" s="1288">
        <v>0</v>
      </c>
      <c r="AX727" s="1288">
        <v>0</v>
      </c>
      <c r="AY727" s="1288">
        <v>0</v>
      </c>
      <c r="AZ727" s="1288">
        <v>0</v>
      </c>
      <c r="BA727" s="1288">
        <v>0</v>
      </c>
      <c r="BB727" s="1288">
        <v>0</v>
      </c>
      <c r="BC727" s="1288">
        <v>0</v>
      </c>
      <c r="BD727" s="1288">
        <v>0</v>
      </c>
      <c r="BE727" s="1291">
        <v>0</v>
      </c>
      <c r="BF727" s="1299"/>
    </row>
    <row r="728" spans="2:58" x14ac:dyDescent="0.25">
      <c r="B728" s="359"/>
      <c r="C728" s="360" t="str">
        <f>'II. Inputs, Baseline Energy Mix'!$E$78</f>
        <v xml:space="preserve">Annual Public Guarantee Fee </v>
      </c>
      <c r="D728" s="360"/>
      <c r="E728" s="360"/>
      <c r="F728" s="360"/>
      <c r="G728" s="1288"/>
      <c r="H728" s="1288">
        <f>IF(H$299&gt;$G712,0,((H720+H723)/2)*$G711*'II. Inputs, Baseline Energy Mix'!$S$78/10000)</f>
        <v>0</v>
      </c>
      <c r="I728" s="1288">
        <f>IF(I$299&gt;$G712,0,((I720+I723)/2)*$G711*'II. Inputs, Baseline Energy Mix'!$S$78/10000)</f>
        <v>0</v>
      </c>
      <c r="J728" s="1288">
        <f>IF(J$299&gt;$G712,0,((J720+J723)/2)*$G711*'II. Inputs, Baseline Energy Mix'!$S$78/10000)</f>
        <v>0</v>
      </c>
      <c r="K728" s="1288">
        <f>IF(K$299&gt;$G712,0,((K720+K723)/2)*$G711*'II. Inputs, Baseline Energy Mix'!$S$78/10000)</f>
        <v>0</v>
      </c>
      <c r="L728" s="1288">
        <f>IF(L$299&gt;$G712,0,((L720+L723)/2)*$G711*'II. Inputs, Baseline Energy Mix'!$S$78/10000)</f>
        <v>0</v>
      </c>
      <c r="M728" s="1288">
        <f>IF(M$299&gt;$G712,0,((M720+M723)/2)*$G711*'II. Inputs, Baseline Energy Mix'!$S$78/10000)</f>
        <v>0</v>
      </c>
      <c r="N728" s="1288">
        <f>IF(N$299&gt;$G712,0,((N720+N723)/2)*$G711*'II. Inputs, Baseline Energy Mix'!$S$78/10000)</f>
        <v>0</v>
      </c>
      <c r="O728" s="1288">
        <f>IF(O$299&gt;$G712,0,((O720+O723)/2)*$G711*'II. Inputs, Baseline Energy Mix'!$S$78/10000)</f>
        <v>0</v>
      </c>
      <c r="P728" s="1288">
        <f>IF(P$299&gt;$G712,0,((P720+P723)/2)*$G711*'II. Inputs, Baseline Energy Mix'!$S$78/10000)</f>
        <v>0</v>
      </c>
      <c r="Q728" s="1288">
        <f>IF(Q$299&gt;$G712,0,((Q720+Q723)/2)*$G711*'II. Inputs, Baseline Energy Mix'!$S$78/10000)</f>
        <v>0</v>
      </c>
      <c r="R728" s="1288">
        <f>IF(R$299&gt;$G712,0,((R720+R723)/2)*$G711*'II. Inputs, Baseline Energy Mix'!$S$78/10000)</f>
        <v>0</v>
      </c>
      <c r="S728" s="1288">
        <f>IF(S$299&gt;$G712,0,((S720+S723)/2)*$G711*'II. Inputs, Baseline Energy Mix'!$S$78/10000)</f>
        <v>0</v>
      </c>
      <c r="T728" s="1288">
        <f>IF(T$299&gt;$G712,0,((T720+T723)/2)*$G711*'II. Inputs, Baseline Energy Mix'!$S$78/10000)</f>
        <v>0</v>
      </c>
      <c r="U728" s="1288">
        <f>IF(U$299&gt;$G712,0,((U720+U723)/2)*$G711*'II. Inputs, Baseline Energy Mix'!$S$78/10000)</f>
        <v>0</v>
      </c>
      <c r="V728" s="1288">
        <f>IF(V$299&gt;$G712,0,((V720+V723)/2)*$G711*'II. Inputs, Baseline Energy Mix'!$S$78/10000)</f>
        <v>0</v>
      </c>
      <c r="W728" s="1288">
        <f>IF(W$299&gt;$G712,0,((W720+W723)/2)*$G711*'II. Inputs, Baseline Energy Mix'!$S$78/10000)</f>
        <v>0</v>
      </c>
      <c r="X728" s="1288">
        <f>IF(X$299&gt;$G712,0,((X720+X723)/2)*$G711*'II. Inputs, Baseline Energy Mix'!$S$78/10000)</f>
        <v>0</v>
      </c>
      <c r="Y728" s="1288">
        <f>IF(Y$299&gt;$G712,0,((Y720+Y723)/2)*$G711*'II. Inputs, Baseline Energy Mix'!$S$78/10000)</f>
        <v>0</v>
      </c>
      <c r="Z728" s="1288">
        <f>IF(Z$299&gt;$G712,0,((Z720+Z723)/2)*$G711*'II. Inputs, Baseline Energy Mix'!$S$78/10000)</f>
        <v>0</v>
      </c>
      <c r="AA728" s="1288">
        <f>IF(AA$299&gt;$G712,0,((AA720+AA723)/2)*$G711*'II. Inputs, Baseline Energy Mix'!$S$78/10000)</f>
        <v>0</v>
      </c>
      <c r="AB728" s="1288">
        <f>IF(AB$299&gt;$G712,0,((AB720+AB723)/2)*$G711*'II. Inputs, Baseline Energy Mix'!$S$78/10000)</f>
        <v>0</v>
      </c>
      <c r="AC728" s="1288">
        <f>IF(AC$299&gt;$G712,0,((AC720+AC723)/2)*$G711*'II. Inputs, Baseline Energy Mix'!$S$78/10000)</f>
        <v>0</v>
      </c>
      <c r="AD728" s="1288">
        <f>IF(AD$299&gt;$G712,0,((AD720+AD723)/2)*$G711*'II. Inputs, Baseline Energy Mix'!$S$78/10000)</f>
        <v>0</v>
      </c>
      <c r="AE728" s="1288">
        <f>IF(AE$299&gt;$G712,0,((AE720+AE723)/2)*$G711*'II. Inputs, Baseline Energy Mix'!$S$78/10000)</f>
        <v>0</v>
      </c>
      <c r="AF728" s="1288">
        <f>IF(AF$299&gt;$G712,0,((AF720+AF723)/2)*$G711*'II. Inputs, Baseline Energy Mix'!$S$78/10000)</f>
        <v>0</v>
      </c>
      <c r="AG728" s="1288">
        <f>IF(AG$299&gt;$G712,0,((AG720+AG723)/2)*$G711*'II. Inputs, Baseline Energy Mix'!$S$78/10000)</f>
        <v>0</v>
      </c>
      <c r="AH728" s="1288">
        <f>IF(AH$299&gt;$G712,0,((AH720+AH723)/2)*$G711*'II. Inputs, Baseline Energy Mix'!$S$78/10000)</f>
        <v>0</v>
      </c>
      <c r="AI728" s="1288">
        <f>IF(AI$299&gt;$G712,0,((AI720+AI723)/2)*$G711*'II. Inputs, Baseline Energy Mix'!$S$78/10000)</f>
        <v>0</v>
      </c>
      <c r="AJ728" s="1288">
        <f>IF(AJ$299&gt;$G712,0,((AJ720+AJ723)/2)*$G711*'II. Inputs, Baseline Energy Mix'!$S$78/10000)</f>
        <v>0</v>
      </c>
      <c r="AK728" s="1288">
        <f>IF(AK$299&gt;$G712,0,((AK720+AK723)/2)*$G711*'II. Inputs, Baseline Energy Mix'!$S$78/10000)</f>
        <v>0</v>
      </c>
      <c r="AL728" s="1288">
        <f>IF(AL$299&gt;$G712,0,((AL720+AL723)/2)*$G711*'II. Inputs, Baseline Energy Mix'!$S$78/10000)</f>
        <v>0</v>
      </c>
      <c r="AM728" s="1288">
        <f>IF(AM$299&gt;$G712,0,((AM720+AM723)/2)*$G711*'II. Inputs, Baseline Energy Mix'!$S$78/10000)</f>
        <v>0</v>
      </c>
      <c r="AN728" s="1288">
        <f>IF(AN$299&gt;$G712,0,((AN720+AN723)/2)*$G711*'II. Inputs, Baseline Energy Mix'!$S$78/10000)</f>
        <v>0</v>
      </c>
      <c r="AO728" s="1288">
        <f>IF(AO$299&gt;$G712,0,((AO720+AO723)/2)*$G711*'II. Inputs, Baseline Energy Mix'!$S$78/10000)</f>
        <v>0</v>
      </c>
      <c r="AP728" s="1288">
        <f>IF(AP$299&gt;$G712,0,((AP720+AP723)/2)*$G711*'II. Inputs, Baseline Energy Mix'!$S$78/10000)</f>
        <v>0</v>
      </c>
      <c r="AQ728" s="1288">
        <f>IF(AQ$299&gt;$G712,0,((AQ720+AQ723)/2)*$G711*'II. Inputs, Baseline Energy Mix'!$S$78/10000)</f>
        <v>0</v>
      </c>
      <c r="AR728" s="1288">
        <f>IF(AR$299&gt;$G712,0,((AR720+AR723)/2)*$G711*'II. Inputs, Baseline Energy Mix'!$S$78/10000)</f>
        <v>0</v>
      </c>
      <c r="AS728" s="1288">
        <f>IF(AS$299&gt;$G712,0,((AS720+AS723)/2)*$G711*'II. Inputs, Baseline Energy Mix'!$S$78/10000)</f>
        <v>0</v>
      </c>
      <c r="AT728" s="1288">
        <f>IF(AT$299&gt;$G712,0,((AT720+AT723)/2)*$G711*'II. Inputs, Baseline Energy Mix'!$S$78/10000)</f>
        <v>0</v>
      </c>
      <c r="AU728" s="1288">
        <f>IF(AU$299&gt;$G712,0,((AU720+AU723)/2)*$G711*'II. Inputs, Baseline Energy Mix'!$S$78/10000)</f>
        <v>0</v>
      </c>
      <c r="AV728" s="1288">
        <f>IF(AV$299&gt;$G712,0,((AV720+AV723)/2)*$G711*'II. Inputs, Baseline Energy Mix'!$S$78/10000)</f>
        <v>0</v>
      </c>
      <c r="AW728" s="1288">
        <f>IF(AW$299&gt;$G712,0,((AW720+AW723)/2)*$G711*'II. Inputs, Baseline Energy Mix'!$S$78/10000)</f>
        <v>0</v>
      </c>
      <c r="AX728" s="1288">
        <f>IF(AX$299&gt;$G712,0,((AX720+AX723)/2)*$G711*'II. Inputs, Baseline Energy Mix'!$S$78/10000)</f>
        <v>0</v>
      </c>
      <c r="AY728" s="1288">
        <f>IF(AY$299&gt;$G712,0,((AY720+AY723)/2)*$G711*'II. Inputs, Baseline Energy Mix'!$S$78/10000)</f>
        <v>0</v>
      </c>
      <c r="AZ728" s="1288">
        <f>IF(AZ$299&gt;$G712,0,((AZ720+AZ723)/2)*$G711*'II. Inputs, Baseline Energy Mix'!$S$78/10000)</f>
        <v>0</v>
      </c>
      <c r="BA728" s="1288">
        <f>IF(BA$299&gt;$G712,0,((BA720+BA723)/2)*$G711*'II. Inputs, Baseline Energy Mix'!$S$78/10000)</f>
        <v>0</v>
      </c>
      <c r="BB728" s="1288">
        <f>IF(BB$299&gt;$G712,0,((BB720+BB723)/2)*$G711*'II. Inputs, Baseline Energy Mix'!$S$78/10000)</f>
        <v>0</v>
      </c>
      <c r="BC728" s="1288">
        <f>IF(BC$299&gt;$G712,0,((BC720+BC723)/2)*$G711*'II. Inputs, Baseline Energy Mix'!$S$78/10000)</f>
        <v>0</v>
      </c>
      <c r="BD728" s="1288">
        <f>IF(BD$299&gt;$G712,0,((BD720+BD723)/2)*$G711*'II. Inputs, Baseline Energy Mix'!$S$78/10000)</f>
        <v>0</v>
      </c>
      <c r="BE728" s="1291">
        <f>IF(BE$299&gt;$G712,0,((BE720+BE723)/2)*$G711*'II. Inputs, Baseline Energy Mix'!$S$78/10000)</f>
        <v>0</v>
      </c>
      <c r="BF728" s="1299"/>
    </row>
    <row r="729" spans="2:58" x14ac:dyDescent="0.25">
      <c r="B729" s="359"/>
      <c r="C729" s="360"/>
      <c r="D729" s="360"/>
      <c r="E729" s="360"/>
      <c r="F729" s="360"/>
      <c r="G729" s="360"/>
      <c r="H729" s="360"/>
      <c r="I729" s="360"/>
      <c r="J729" s="360"/>
      <c r="K729" s="360"/>
      <c r="L729" s="360"/>
      <c r="M729" s="360"/>
      <c r="N729" s="360"/>
      <c r="O729" s="360"/>
      <c r="P729" s="360"/>
      <c r="Q729" s="360"/>
      <c r="R729" s="360"/>
      <c r="S729" s="360"/>
      <c r="T729" s="360"/>
      <c r="U729" s="360"/>
      <c r="V729" s="360"/>
      <c r="W729" s="360"/>
      <c r="X729" s="360"/>
      <c r="Y729" s="360"/>
      <c r="Z729" s="360"/>
      <c r="AA729" s="360"/>
      <c r="AB729" s="360"/>
      <c r="AC729" s="360"/>
      <c r="AD729" s="360"/>
      <c r="AE729" s="360"/>
      <c r="AF729" s="360"/>
      <c r="AG729" s="360"/>
      <c r="AH729" s="360"/>
      <c r="AI729" s="360"/>
      <c r="AJ729" s="360"/>
      <c r="AK729" s="360"/>
      <c r="AL729" s="360"/>
      <c r="AM729" s="360"/>
      <c r="AN729" s="360"/>
      <c r="AO729" s="360"/>
      <c r="AP729" s="360"/>
      <c r="AQ729" s="360"/>
      <c r="AR729" s="360"/>
      <c r="AS729" s="360"/>
      <c r="AT729" s="360"/>
      <c r="AU729" s="360"/>
      <c r="AV729" s="360"/>
      <c r="AW729" s="360"/>
      <c r="AX729" s="360"/>
      <c r="AY729" s="360"/>
      <c r="AZ729" s="360"/>
      <c r="BA729" s="360"/>
      <c r="BB729" s="360"/>
      <c r="BC729" s="360"/>
      <c r="BD729" s="360"/>
      <c r="BE729" s="361"/>
    </row>
    <row r="730" spans="2:58" x14ac:dyDescent="0.25">
      <c r="B730" s="371" t="s">
        <v>181</v>
      </c>
      <c r="C730" s="360"/>
      <c r="D730" s="360"/>
      <c r="E730" s="360"/>
      <c r="F730" s="360"/>
      <c r="G730" s="360"/>
      <c r="H730" s="360"/>
      <c r="I730" s="360"/>
      <c r="J730" s="360"/>
      <c r="K730" s="360"/>
      <c r="L730" s="360"/>
      <c r="M730" s="360"/>
      <c r="N730" s="360"/>
      <c r="O730" s="360"/>
      <c r="P730" s="360"/>
      <c r="Q730" s="360"/>
      <c r="R730" s="360"/>
      <c r="S730" s="360"/>
      <c r="T730" s="360"/>
      <c r="U730" s="360"/>
      <c r="V730" s="360"/>
      <c r="W730" s="360"/>
      <c r="X730" s="360"/>
      <c r="Y730" s="360"/>
      <c r="Z730" s="360"/>
      <c r="AA730" s="360"/>
      <c r="AB730" s="360"/>
      <c r="AC730" s="360"/>
      <c r="AD730" s="360"/>
      <c r="AE730" s="360"/>
      <c r="AF730" s="360"/>
      <c r="AG730" s="360"/>
      <c r="AH730" s="360"/>
      <c r="AI730" s="360"/>
      <c r="AJ730" s="360"/>
      <c r="AK730" s="360"/>
      <c r="AL730" s="360"/>
      <c r="AM730" s="360"/>
      <c r="AN730" s="360"/>
      <c r="AO730" s="360"/>
      <c r="AP730" s="360"/>
      <c r="AQ730" s="360"/>
      <c r="AR730" s="360"/>
      <c r="AS730" s="360"/>
      <c r="AT730" s="360"/>
      <c r="AU730" s="360"/>
      <c r="AV730" s="360"/>
      <c r="AW730" s="360"/>
      <c r="AX730" s="360"/>
      <c r="AY730" s="360"/>
      <c r="AZ730" s="360"/>
      <c r="BA730" s="360"/>
      <c r="BB730" s="360"/>
      <c r="BC730" s="360"/>
      <c r="BD730" s="360"/>
      <c r="BE730" s="361"/>
    </row>
    <row r="731" spans="2:58" x14ac:dyDescent="0.25">
      <c r="B731" s="359"/>
      <c r="C731" s="415" t="s">
        <v>68</v>
      </c>
      <c r="D731" s="360"/>
      <c r="E731" s="360"/>
      <c r="F731" s="360"/>
      <c r="G731" s="1288">
        <f>IF('II. Inputs, Baseline Energy Mix'!$S$15&gt;0,('II. Inputs, Baseline Energy Mix'!$S$16*'II. Inputs, Baseline Energy Mix'!$S$17*'II. Inputs, Baseline Energy Mix'!$S$30*'II. Inputs, Baseline Energy Mix'!$S$34),0)</f>
        <v>0</v>
      </c>
      <c r="H731" s="360"/>
      <c r="I731" s="360"/>
      <c r="J731" s="360"/>
      <c r="K731" s="360"/>
      <c r="L731" s="360"/>
      <c r="M731" s="360"/>
      <c r="N731" s="360"/>
      <c r="O731" s="360"/>
      <c r="P731" s="360"/>
      <c r="Q731" s="360"/>
      <c r="R731" s="360"/>
      <c r="S731" s="360"/>
      <c r="T731" s="360"/>
      <c r="U731" s="360"/>
      <c r="V731" s="360"/>
      <c r="W731" s="360"/>
      <c r="X731" s="360"/>
      <c r="Y731" s="360"/>
      <c r="Z731" s="360"/>
      <c r="AA731" s="360"/>
      <c r="AB731" s="360"/>
      <c r="AC731" s="360"/>
      <c r="AD731" s="360"/>
      <c r="AE731" s="360"/>
      <c r="AF731" s="360"/>
      <c r="AG731" s="360"/>
      <c r="AH731" s="360"/>
      <c r="AI731" s="360"/>
      <c r="AJ731" s="360"/>
      <c r="AK731" s="360"/>
      <c r="AL731" s="360"/>
      <c r="AM731" s="360"/>
      <c r="AN731" s="360"/>
      <c r="AO731" s="360"/>
      <c r="AP731" s="360"/>
      <c r="AQ731" s="360"/>
      <c r="AR731" s="360"/>
      <c r="AS731" s="360"/>
      <c r="AT731" s="360"/>
      <c r="AU731" s="360"/>
      <c r="AV731" s="360"/>
      <c r="AW731" s="360"/>
      <c r="AX731" s="360"/>
      <c r="AY731" s="360"/>
      <c r="AZ731" s="360"/>
      <c r="BA731" s="360"/>
      <c r="BB731" s="360"/>
      <c r="BC731" s="360"/>
      <c r="BD731" s="360"/>
      <c r="BE731" s="361"/>
    </row>
    <row r="732" spans="2:58" x14ac:dyDescent="0.25">
      <c r="B732" s="359"/>
      <c r="C732" s="415" t="s">
        <v>69</v>
      </c>
      <c r="D732" s="360"/>
      <c r="E732" s="360"/>
      <c r="F732" s="360"/>
      <c r="G732" s="362">
        <f>SUM('II. Inputs, Baseline Energy Mix'!$S$46)</f>
        <v>0</v>
      </c>
      <c r="H732" s="360"/>
      <c r="I732" s="360"/>
      <c r="J732" s="360"/>
      <c r="K732" s="360"/>
      <c r="L732" s="360"/>
      <c r="M732" s="360"/>
      <c r="N732" s="360"/>
      <c r="O732" s="360"/>
      <c r="P732" s="360"/>
      <c r="Q732" s="360"/>
      <c r="R732" s="360"/>
      <c r="S732" s="360"/>
      <c r="T732" s="360"/>
      <c r="U732" s="360"/>
      <c r="V732" s="360"/>
      <c r="W732" s="360"/>
      <c r="X732" s="360"/>
      <c r="Y732" s="360"/>
      <c r="Z732" s="360"/>
      <c r="AA732" s="360"/>
      <c r="AB732" s="360"/>
      <c r="AC732" s="360"/>
      <c r="AD732" s="360"/>
      <c r="AE732" s="360"/>
      <c r="AF732" s="360"/>
      <c r="AG732" s="360"/>
      <c r="AH732" s="360"/>
      <c r="AI732" s="360"/>
      <c r="AJ732" s="360"/>
      <c r="AK732" s="360"/>
      <c r="AL732" s="360"/>
      <c r="AM732" s="360"/>
      <c r="AN732" s="360"/>
      <c r="AO732" s="360"/>
      <c r="AP732" s="360"/>
      <c r="AQ732" s="360"/>
      <c r="AR732" s="360"/>
      <c r="AS732" s="360"/>
      <c r="AT732" s="360"/>
      <c r="AU732" s="360"/>
      <c r="AV732" s="360"/>
      <c r="AW732" s="360"/>
      <c r="AX732" s="360"/>
      <c r="AY732" s="360"/>
      <c r="AZ732" s="360"/>
      <c r="BA732" s="360"/>
      <c r="BB732" s="360"/>
      <c r="BC732" s="360"/>
      <c r="BD732" s="360"/>
      <c r="BE732" s="361"/>
    </row>
    <row r="733" spans="2:58" x14ac:dyDescent="0.25">
      <c r="B733" s="359"/>
      <c r="C733" s="415" t="s">
        <v>70</v>
      </c>
      <c r="D733" s="360"/>
      <c r="E733" s="360"/>
      <c r="F733" s="360"/>
      <c r="G733" s="419">
        <f>SUM('II. Inputs, Baseline Energy Mix'!$S$41)</f>
        <v>0</v>
      </c>
      <c r="H733" s="360"/>
      <c r="I733" s="360"/>
      <c r="J733" s="360"/>
      <c r="K733" s="360"/>
      <c r="L733" s="360"/>
      <c r="M733" s="360"/>
      <c r="N733" s="360"/>
      <c r="O733" s="360"/>
      <c r="P733" s="360"/>
      <c r="Q733" s="360"/>
      <c r="R733" s="360"/>
      <c r="S733" s="360"/>
      <c r="T733" s="360"/>
      <c r="U733" s="360"/>
      <c r="V733" s="360"/>
      <c r="W733" s="360"/>
      <c r="X733" s="360"/>
      <c r="Y733" s="360"/>
      <c r="Z733" s="360"/>
      <c r="AA733" s="360"/>
      <c r="AB733" s="360"/>
      <c r="AC733" s="360"/>
      <c r="AD733" s="360"/>
      <c r="AE733" s="360"/>
      <c r="AF733" s="360"/>
      <c r="AG733" s="360"/>
      <c r="AH733" s="360"/>
      <c r="AI733" s="360"/>
      <c r="AJ733" s="360"/>
      <c r="AK733" s="360"/>
      <c r="AL733" s="360"/>
      <c r="AM733" s="360"/>
      <c r="AN733" s="360"/>
      <c r="AO733" s="360"/>
      <c r="AP733" s="360"/>
      <c r="AQ733" s="360"/>
      <c r="AR733" s="360"/>
      <c r="AS733" s="360"/>
      <c r="AT733" s="360"/>
      <c r="AU733" s="360"/>
      <c r="AV733" s="360"/>
      <c r="AW733" s="360"/>
      <c r="AX733" s="360"/>
      <c r="AY733" s="360"/>
      <c r="AZ733" s="360"/>
      <c r="BA733" s="360"/>
      <c r="BB733" s="360"/>
      <c r="BC733" s="360"/>
      <c r="BD733" s="360"/>
      <c r="BE733" s="361"/>
    </row>
    <row r="734" spans="2:58" x14ac:dyDescent="0.25">
      <c r="B734" s="359"/>
      <c r="C734" s="360"/>
      <c r="D734" s="360"/>
      <c r="E734" s="360"/>
      <c r="F734" s="360"/>
      <c r="G734" s="360"/>
      <c r="H734" s="360"/>
      <c r="I734" s="360"/>
      <c r="J734" s="360"/>
      <c r="K734" s="360"/>
      <c r="L734" s="360"/>
      <c r="M734" s="360"/>
      <c r="N734" s="360"/>
      <c r="O734" s="360"/>
      <c r="P734" s="360"/>
      <c r="Q734" s="360"/>
      <c r="R734" s="360"/>
      <c r="S734" s="360"/>
      <c r="T734" s="360"/>
      <c r="U734" s="360"/>
      <c r="V734" s="360"/>
      <c r="W734" s="360"/>
      <c r="X734" s="360"/>
      <c r="Y734" s="360"/>
      <c r="Z734" s="360"/>
      <c r="AA734" s="360"/>
      <c r="AB734" s="360"/>
      <c r="AC734" s="360"/>
      <c r="AD734" s="360"/>
      <c r="AE734" s="360"/>
      <c r="AF734" s="360"/>
      <c r="AG734" s="360"/>
      <c r="AH734" s="360"/>
      <c r="AI734" s="360"/>
      <c r="AJ734" s="360"/>
      <c r="AK734" s="360"/>
      <c r="AL734" s="360"/>
      <c r="AM734" s="360"/>
      <c r="AN734" s="360"/>
      <c r="AO734" s="360"/>
      <c r="AP734" s="360"/>
      <c r="AQ734" s="360"/>
      <c r="AR734" s="360"/>
      <c r="AS734" s="360"/>
      <c r="AT734" s="360"/>
      <c r="AU734" s="360"/>
      <c r="AV734" s="360"/>
      <c r="AW734" s="360"/>
      <c r="AX734" s="360"/>
      <c r="AY734" s="360"/>
      <c r="AZ734" s="360"/>
      <c r="BA734" s="360"/>
      <c r="BB734" s="360"/>
      <c r="BC734" s="360"/>
      <c r="BD734" s="360"/>
      <c r="BE734" s="361"/>
    </row>
    <row r="735" spans="2:58" x14ac:dyDescent="0.25">
      <c r="B735" s="359"/>
      <c r="C735" s="417" t="s">
        <v>67</v>
      </c>
      <c r="D735" s="360"/>
      <c r="E735" s="360"/>
      <c r="F735" s="360"/>
      <c r="G735" s="360"/>
      <c r="H735" s="360"/>
      <c r="I735" s="360"/>
      <c r="J735" s="360"/>
      <c r="K735" s="360"/>
      <c r="L735" s="360"/>
      <c r="M735" s="360"/>
      <c r="N735" s="360"/>
      <c r="O735" s="360"/>
      <c r="P735" s="360"/>
      <c r="Q735" s="360"/>
      <c r="R735" s="360"/>
      <c r="S735" s="360"/>
      <c r="T735" s="360"/>
      <c r="U735" s="360"/>
      <c r="V735" s="360"/>
      <c r="W735" s="360"/>
      <c r="X735" s="360"/>
      <c r="Y735" s="360"/>
      <c r="Z735" s="360"/>
      <c r="AA735" s="360"/>
      <c r="AB735" s="360"/>
      <c r="AC735" s="360"/>
      <c r="AD735" s="360"/>
      <c r="AE735" s="360"/>
      <c r="AF735" s="360"/>
      <c r="AG735" s="360"/>
      <c r="AH735" s="360"/>
      <c r="AI735" s="360"/>
      <c r="AJ735" s="360"/>
      <c r="AK735" s="360"/>
      <c r="AL735" s="360"/>
      <c r="AM735" s="360"/>
      <c r="AN735" s="360"/>
      <c r="AO735" s="360"/>
      <c r="AP735" s="360"/>
      <c r="AQ735" s="360"/>
      <c r="AR735" s="360"/>
      <c r="AS735" s="360"/>
      <c r="AT735" s="360"/>
      <c r="AU735" s="360"/>
      <c r="AV735" s="360"/>
      <c r="AW735" s="360"/>
      <c r="AX735" s="360"/>
      <c r="AY735" s="360"/>
      <c r="AZ735" s="360"/>
      <c r="BA735" s="360"/>
      <c r="BB735" s="360"/>
      <c r="BC735" s="360"/>
      <c r="BD735" s="360"/>
      <c r="BE735" s="361"/>
    </row>
    <row r="736" spans="2:58" x14ac:dyDescent="0.25">
      <c r="B736" s="359"/>
      <c r="C736" s="360" t="s">
        <v>73</v>
      </c>
      <c r="D736" s="360"/>
      <c r="E736" s="360"/>
      <c r="F736" s="360"/>
      <c r="G736" s="1288"/>
      <c r="H736" s="1288">
        <f>IF(H$299&gt;$G732,0,IPMT($G733,H$299,$G732,-$G731))</f>
        <v>0</v>
      </c>
      <c r="I736" s="1288">
        <f t="shared" ref="I736:BE736" si="240">IF(I$299&gt;$G732,0,IPMT($G733,I$299,$G732,-$G731))</f>
        <v>0</v>
      </c>
      <c r="J736" s="1288">
        <f t="shared" si="240"/>
        <v>0</v>
      </c>
      <c r="K736" s="1288">
        <f t="shared" si="240"/>
        <v>0</v>
      </c>
      <c r="L736" s="1288">
        <f t="shared" si="240"/>
        <v>0</v>
      </c>
      <c r="M736" s="1288">
        <f t="shared" si="240"/>
        <v>0</v>
      </c>
      <c r="N736" s="1288">
        <f t="shared" si="240"/>
        <v>0</v>
      </c>
      <c r="O736" s="1288">
        <f t="shared" si="240"/>
        <v>0</v>
      </c>
      <c r="P736" s="1288">
        <f t="shared" si="240"/>
        <v>0</v>
      </c>
      <c r="Q736" s="1288">
        <f t="shared" si="240"/>
        <v>0</v>
      </c>
      <c r="R736" s="1288">
        <f t="shared" si="240"/>
        <v>0</v>
      </c>
      <c r="S736" s="1288">
        <f t="shared" si="240"/>
        <v>0</v>
      </c>
      <c r="T736" s="1288">
        <f t="shared" si="240"/>
        <v>0</v>
      </c>
      <c r="U736" s="1288">
        <f t="shared" si="240"/>
        <v>0</v>
      </c>
      <c r="V736" s="1288">
        <f t="shared" si="240"/>
        <v>0</v>
      </c>
      <c r="W736" s="1288">
        <f t="shared" si="240"/>
        <v>0</v>
      </c>
      <c r="X736" s="1288">
        <f t="shared" si="240"/>
        <v>0</v>
      </c>
      <c r="Y736" s="1288">
        <f t="shared" si="240"/>
        <v>0</v>
      </c>
      <c r="Z736" s="1288">
        <f t="shared" si="240"/>
        <v>0</v>
      </c>
      <c r="AA736" s="1288">
        <f t="shared" si="240"/>
        <v>0</v>
      </c>
      <c r="AB736" s="1288">
        <f t="shared" si="240"/>
        <v>0</v>
      </c>
      <c r="AC736" s="1288">
        <f t="shared" si="240"/>
        <v>0</v>
      </c>
      <c r="AD736" s="1288">
        <f t="shared" si="240"/>
        <v>0</v>
      </c>
      <c r="AE736" s="1288">
        <f t="shared" si="240"/>
        <v>0</v>
      </c>
      <c r="AF736" s="1288">
        <f t="shared" si="240"/>
        <v>0</v>
      </c>
      <c r="AG736" s="1288">
        <f t="shared" si="240"/>
        <v>0</v>
      </c>
      <c r="AH736" s="1288">
        <f t="shared" si="240"/>
        <v>0</v>
      </c>
      <c r="AI736" s="1288">
        <f t="shared" si="240"/>
        <v>0</v>
      </c>
      <c r="AJ736" s="1288">
        <f t="shared" si="240"/>
        <v>0</v>
      </c>
      <c r="AK736" s="1288">
        <f t="shared" si="240"/>
        <v>0</v>
      </c>
      <c r="AL736" s="1288">
        <f t="shared" si="240"/>
        <v>0</v>
      </c>
      <c r="AM736" s="1288">
        <f t="shared" si="240"/>
        <v>0</v>
      </c>
      <c r="AN736" s="1288">
        <f t="shared" si="240"/>
        <v>0</v>
      </c>
      <c r="AO736" s="1288">
        <f t="shared" si="240"/>
        <v>0</v>
      </c>
      <c r="AP736" s="1288">
        <f t="shared" si="240"/>
        <v>0</v>
      </c>
      <c r="AQ736" s="1288">
        <f t="shared" si="240"/>
        <v>0</v>
      </c>
      <c r="AR736" s="1288">
        <f t="shared" si="240"/>
        <v>0</v>
      </c>
      <c r="AS736" s="1288">
        <f t="shared" si="240"/>
        <v>0</v>
      </c>
      <c r="AT736" s="1288">
        <f t="shared" si="240"/>
        <v>0</v>
      </c>
      <c r="AU736" s="1288">
        <f t="shared" si="240"/>
        <v>0</v>
      </c>
      <c r="AV736" s="1288">
        <f t="shared" si="240"/>
        <v>0</v>
      </c>
      <c r="AW736" s="1288">
        <f t="shared" si="240"/>
        <v>0</v>
      </c>
      <c r="AX736" s="1288">
        <f t="shared" si="240"/>
        <v>0</v>
      </c>
      <c r="AY736" s="1288">
        <f t="shared" si="240"/>
        <v>0</v>
      </c>
      <c r="AZ736" s="1288">
        <f t="shared" si="240"/>
        <v>0</v>
      </c>
      <c r="BA736" s="1288">
        <f t="shared" si="240"/>
        <v>0</v>
      </c>
      <c r="BB736" s="1288">
        <f t="shared" si="240"/>
        <v>0</v>
      </c>
      <c r="BC736" s="1288">
        <f t="shared" si="240"/>
        <v>0</v>
      </c>
      <c r="BD736" s="1288">
        <f t="shared" si="240"/>
        <v>0</v>
      </c>
      <c r="BE736" s="1291">
        <f t="shared" si="240"/>
        <v>0</v>
      </c>
    </row>
    <row r="737" spans="2:57" x14ac:dyDescent="0.25">
      <c r="B737" s="359"/>
      <c r="C737" s="367" t="s">
        <v>72</v>
      </c>
      <c r="D737" s="367"/>
      <c r="E737" s="367"/>
      <c r="F737" s="367"/>
      <c r="G737" s="1292"/>
      <c r="H737" s="1292">
        <f>IF(H$299&gt;$G732,0,PPMT($G733,H$299,$G732,-$G731))</f>
        <v>0</v>
      </c>
      <c r="I737" s="1292">
        <f t="shared" ref="I737:BE737" si="241">IF(I$299&gt;$G732,0,PPMT($G733,I$299,$G732,-$G731))</f>
        <v>0</v>
      </c>
      <c r="J737" s="1292">
        <f t="shared" si="241"/>
        <v>0</v>
      </c>
      <c r="K737" s="1292">
        <f t="shared" si="241"/>
        <v>0</v>
      </c>
      <c r="L737" s="1292">
        <f t="shared" si="241"/>
        <v>0</v>
      </c>
      <c r="M737" s="1292">
        <f t="shared" si="241"/>
        <v>0</v>
      </c>
      <c r="N737" s="1292">
        <f t="shared" si="241"/>
        <v>0</v>
      </c>
      <c r="O737" s="1292">
        <f t="shared" si="241"/>
        <v>0</v>
      </c>
      <c r="P737" s="1292">
        <f t="shared" si="241"/>
        <v>0</v>
      </c>
      <c r="Q737" s="1292">
        <f t="shared" si="241"/>
        <v>0</v>
      </c>
      <c r="R737" s="1292">
        <f t="shared" si="241"/>
        <v>0</v>
      </c>
      <c r="S737" s="1292">
        <f t="shared" si="241"/>
        <v>0</v>
      </c>
      <c r="T737" s="1292">
        <f t="shared" si="241"/>
        <v>0</v>
      </c>
      <c r="U737" s="1292">
        <f t="shared" si="241"/>
        <v>0</v>
      </c>
      <c r="V737" s="1292">
        <f t="shared" si="241"/>
        <v>0</v>
      </c>
      <c r="W737" s="1292">
        <f t="shared" si="241"/>
        <v>0</v>
      </c>
      <c r="X737" s="1292">
        <f t="shared" si="241"/>
        <v>0</v>
      </c>
      <c r="Y737" s="1292">
        <f t="shared" si="241"/>
        <v>0</v>
      </c>
      <c r="Z737" s="1292">
        <f t="shared" si="241"/>
        <v>0</v>
      </c>
      <c r="AA737" s="1292">
        <f t="shared" si="241"/>
        <v>0</v>
      </c>
      <c r="AB737" s="1292">
        <f t="shared" si="241"/>
        <v>0</v>
      </c>
      <c r="AC737" s="1292">
        <f t="shared" si="241"/>
        <v>0</v>
      </c>
      <c r="AD737" s="1292">
        <f t="shared" si="241"/>
        <v>0</v>
      </c>
      <c r="AE737" s="1292">
        <f t="shared" si="241"/>
        <v>0</v>
      </c>
      <c r="AF737" s="1292">
        <f t="shared" si="241"/>
        <v>0</v>
      </c>
      <c r="AG737" s="1292">
        <f t="shared" si="241"/>
        <v>0</v>
      </c>
      <c r="AH737" s="1292">
        <f t="shared" si="241"/>
        <v>0</v>
      </c>
      <c r="AI737" s="1292">
        <f t="shared" si="241"/>
        <v>0</v>
      </c>
      <c r="AJ737" s="1292">
        <f t="shared" si="241"/>
        <v>0</v>
      </c>
      <c r="AK737" s="1292">
        <f t="shared" si="241"/>
        <v>0</v>
      </c>
      <c r="AL737" s="1292">
        <f t="shared" si="241"/>
        <v>0</v>
      </c>
      <c r="AM737" s="1292">
        <f t="shared" si="241"/>
        <v>0</v>
      </c>
      <c r="AN737" s="1292">
        <f t="shared" si="241"/>
        <v>0</v>
      </c>
      <c r="AO737" s="1292">
        <f t="shared" si="241"/>
        <v>0</v>
      </c>
      <c r="AP737" s="1292">
        <f t="shared" si="241"/>
        <v>0</v>
      </c>
      <c r="AQ737" s="1292">
        <f t="shared" si="241"/>
        <v>0</v>
      </c>
      <c r="AR737" s="1292">
        <f t="shared" si="241"/>
        <v>0</v>
      </c>
      <c r="AS737" s="1292">
        <f t="shared" si="241"/>
        <v>0</v>
      </c>
      <c r="AT737" s="1292">
        <f t="shared" si="241"/>
        <v>0</v>
      </c>
      <c r="AU737" s="1292">
        <f t="shared" si="241"/>
        <v>0</v>
      </c>
      <c r="AV737" s="1292">
        <f t="shared" si="241"/>
        <v>0</v>
      </c>
      <c r="AW737" s="1292">
        <f t="shared" si="241"/>
        <v>0</v>
      </c>
      <c r="AX737" s="1292">
        <f t="shared" si="241"/>
        <v>0</v>
      </c>
      <c r="AY737" s="1292">
        <f t="shared" si="241"/>
        <v>0</v>
      </c>
      <c r="AZ737" s="1292">
        <f t="shared" si="241"/>
        <v>0</v>
      </c>
      <c r="BA737" s="1292">
        <f t="shared" si="241"/>
        <v>0</v>
      </c>
      <c r="BB737" s="1292">
        <f t="shared" si="241"/>
        <v>0</v>
      </c>
      <c r="BC737" s="1292">
        <f t="shared" si="241"/>
        <v>0</v>
      </c>
      <c r="BD737" s="1292">
        <f t="shared" si="241"/>
        <v>0</v>
      </c>
      <c r="BE737" s="1293">
        <f t="shared" si="241"/>
        <v>0</v>
      </c>
    </row>
    <row r="738" spans="2:57" x14ac:dyDescent="0.25">
      <c r="B738" s="359"/>
      <c r="C738" s="360" t="s">
        <v>74</v>
      </c>
      <c r="D738" s="360"/>
      <c r="E738" s="360"/>
      <c r="F738" s="360"/>
      <c r="G738" s="1288"/>
      <c r="H738" s="1288">
        <f>SUM(H736:H737)</f>
        <v>0</v>
      </c>
      <c r="I738" s="1288">
        <f t="shared" ref="I738:BE738" si="242">SUM(I736:I737)</f>
        <v>0</v>
      </c>
      <c r="J738" s="1288">
        <f t="shared" si="242"/>
        <v>0</v>
      </c>
      <c r="K738" s="1288">
        <f t="shared" si="242"/>
        <v>0</v>
      </c>
      <c r="L738" s="1288">
        <f t="shared" si="242"/>
        <v>0</v>
      </c>
      <c r="M738" s="1288">
        <f t="shared" si="242"/>
        <v>0</v>
      </c>
      <c r="N738" s="1288">
        <f t="shared" si="242"/>
        <v>0</v>
      </c>
      <c r="O738" s="1288">
        <f t="shared" si="242"/>
        <v>0</v>
      </c>
      <c r="P738" s="1288">
        <f t="shared" si="242"/>
        <v>0</v>
      </c>
      <c r="Q738" s="1288">
        <f t="shared" si="242"/>
        <v>0</v>
      </c>
      <c r="R738" s="1288">
        <f t="shared" si="242"/>
        <v>0</v>
      </c>
      <c r="S738" s="1288">
        <f t="shared" si="242"/>
        <v>0</v>
      </c>
      <c r="T738" s="1288">
        <f t="shared" si="242"/>
        <v>0</v>
      </c>
      <c r="U738" s="1288">
        <f t="shared" si="242"/>
        <v>0</v>
      </c>
      <c r="V738" s="1288">
        <f t="shared" si="242"/>
        <v>0</v>
      </c>
      <c r="W738" s="1288">
        <f t="shared" si="242"/>
        <v>0</v>
      </c>
      <c r="X738" s="1288">
        <f t="shared" si="242"/>
        <v>0</v>
      </c>
      <c r="Y738" s="1288">
        <f t="shared" si="242"/>
        <v>0</v>
      </c>
      <c r="Z738" s="1288">
        <f t="shared" si="242"/>
        <v>0</v>
      </c>
      <c r="AA738" s="1288">
        <f t="shared" si="242"/>
        <v>0</v>
      </c>
      <c r="AB738" s="1288">
        <f t="shared" si="242"/>
        <v>0</v>
      </c>
      <c r="AC738" s="1288">
        <f t="shared" si="242"/>
        <v>0</v>
      </c>
      <c r="AD738" s="1288">
        <f t="shared" si="242"/>
        <v>0</v>
      </c>
      <c r="AE738" s="1288">
        <f t="shared" si="242"/>
        <v>0</v>
      </c>
      <c r="AF738" s="1288">
        <f t="shared" si="242"/>
        <v>0</v>
      </c>
      <c r="AG738" s="1288">
        <f t="shared" si="242"/>
        <v>0</v>
      </c>
      <c r="AH738" s="1288">
        <f t="shared" si="242"/>
        <v>0</v>
      </c>
      <c r="AI738" s="1288">
        <f t="shared" si="242"/>
        <v>0</v>
      </c>
      <c r="AJ738" s="1288">
        <f t="shared" si="242"/>
        <v>0</v>
      </c>
      <c r="AK738" s="1288">
        <f t="shared" si="242"/>
        <v>0</v>
      </c>
      <c r="AL738" s="1288">
        <f t="shared" si="242"/>
        <v>0</v>
      </c>
      <c r="AM738" s="1288">
        <f t="shared" si="242"/>
        <v>0</v>
      </c>
      <c r="AN738" s="1288">
        <f t="shared" si="242"/>
        <v>0</v>
      </c>
      <c r="AO738" s="1288">
        <f t="shared" si="242"/>
        <v>0</v>
      </c>
      <c r="AP738" s="1288">
        <f t="shared" si="242"/>
        <v>0</v>
      </c>
      <c r="AQ738" s="1288">
        <f t="shared" si="242"/>
        <v>0</v>
      </c>
      <c r="AR738" s="1288">
        <f t="shared" si="242"/>
        <v>0</v>
      </c>
      <c r="AS738" s="1288">
        <f t="shared" si="242"/>
        <v>0</v>
      </c>
      <c r="AT738" s="1288">
        <f t="shared" si="242"/>
        <v>0</v>
      </c>
      <c r="AU738" s="1288">
        <f t="shared" si="242"/>
        <v>0</v>
      </c>
      <c r="AV738" s="1288">
        <f t="shared" si="242"/>
        <v>0</v>
      </c>
      <c r="AW738" s="1288">
        <f t="shared" si="242"/>
        <v>0</v>
      </c>
      <c r="AX738" s="1288">
        <f t="shared" si="242"/>
        <v>0</v>
      </c>
      <c r="AY738" s="1288">
        <f t="shared" si="242"/>
        <v>0</v>
      </c>
      <c r="AZ738" s="1288">
        <f t="shared" si="242"/>
        <v>0</v>
      </c>
      <c r="BA738" s="1288">
        <f t="shared" si="242"/>
        <v>0</v>
      </c>
      <c r="BB738" s="1288">
        <f t="shared" si="242"/>
        <v>0</v>
      </c>
      <c r="BC738" s="1288">
        <f t="shared" si="242"/>
        <v>0</v>
      </c>
      <c r="BD738" s="1288">
        <f t="shared" si="242"/>
        <v>0</v>
      </c>
      <c r="BE738" s="1291">
        <f t="shared" si="242"/>
        <v>0</v>
      </c>
    </row>
    <row r="739" spans="2:57" x14ac:dyDescent="0.25">
      <c r="B739" s="359"/>
      <c r="C739" s="360"/>
      <c r="D739" s="360"/>
      <c r="E739" s="360"/>
      <c r="F739" s="360"/>
      <c r="G739" s="1288"/>
      <c r="H739" s="1288"/>
      <c r="I739" s="1288"/>
      <c r="J739" s="1288"/>
      <c r="K739" s="1288"/>
      <c r="L739" s="1288"/>
      <c r="M739" s="1288"/>
      <c r="N739" s="1288"/>
      <c r="O739" s="1288"/>
      <c r="P739" s="1288"/>
      <c r="Q739" s="1288"/>
      <c r="R739" s="1288"/>
      <c r="S739" s="1288"/>
      <c r="T739" s="1288"/>
      <c r="U739" s="1288"/>
      <c r="V739" s="1288"/>
      <c r="W739" s="1288"/>
      <c r="X739" s="1288"/>
      <c r="Y739" s="1288"/>
      <c r="Z739" s="1288"/>
      <c r="AA739" s="1288"/>
      <c r="AB739" s="1288"/>
      <c r="AC739" s="1288"/>
      <c r="AD739" s="1288"/>
      <c r="AE739" s="1288"/>
      <c r="AF739" s="1288"/>
      <c r="AG739" s="1288"/>
      <c r="AH739" s="1288"/>
      <c r="AI739" s="1288"/>
      <c r="AJ739" s="1288"/>
      <c r="AK739" s="1288"/>
      <c r="AL739" s="1288"/>
      <c r="AM739" s="1288"/>
      <c r="AN739" s="1288"/>
      <c r="AO739" s="1288"/>
      <c r="AP739" s="1288"/>
      <c r="AQ739" s="1288"/>
      <c r="AR739" s="1288"/>
      <c r="AS739" s="1288"/>
      <c r="AT739" s="1288"/>
      <c r="AU739" s="1288"/>
      <c r="AV739" s="1288"/>
      <c r="AW739" s="1288"/>
      <c r="AX739" s="1288"/>
      <c r="AY739" s="1288"/>
      <c r="AZ739" s="1288"/>
      <c r="BA739" s="1288"/>
      <c r="BB739" s="1288"/>
      <c r="BC739" s="1288"/>
      <c r="BD739" s="1288"/>
      <c r="BE739" s="1291"/>
    </row>
    <row r="740" spans="2:57" x14ac:dyDescent="0.25">
      <c r="B740" s="359"/>
      <c r="C740" s="418" t="s">
        <v>65</v>
      </c>
      <c r="D740" s="360"/>
      <c r="E740" s="360"/>
      <c r="F740" s="360"/>
      <c r="G740" s="1288"/>
      <c r="H740" s="1288"/>
      <c r="I740" s="1288"/>
      <c r="J740" s="1288"/>
      <c r="K740" s="1288"/>
      <c r="L740" s="1288"/>
      <c r="M740" s="1288"/>
      <c r="N740" s="1288"/>
      <c r="O740" s="1288"/>
      <c r="P740" s="1288"/>
      <c r="Q740" s="1288"/>
      <c r="R740" s="1288"/>
      <c r="S740" s="1288"/>
      <c r="T740" s="1288"/>
      <c r="U740" s="1288"/>
      <c r="V740" s="1288"/>
      <c r="W740" s="1288"/>
      <c r="X740" s="1288"/>
      <c r="Y740" s="1288"/>
      <c r="Z740" s="1288"/>
      <c r="AA740" s="1288"/>
      <c r="AB740" s="1288"/>
      <c r="AC740" s="1288"/>
      <c r="AD740" s="1288"/>
      <c r="AE740" s="1288"/>
      <c r="AF740" s="1288"/>
      <c r="AG740" s="1288"/>
      <c r="AH740" s="1288"/>
      <c r="AI740" s="1288"/>
      <c r="AJ740" s="1288"/>
      <c r="AK740" s="1288"/>
      <c r="AL740" s="1288"/>
      <c r="AM740" s="1288"/>
      <c r="AN740" s="1288"/>
      <c r="AO740" s="1288"/>
      <c r="AP740" s="1288"/>
      <c r="AQ740" s="1288"/>
      <c r="AR740" s="1288"/>
      <c r="AS740" s="1288"/>
      <c r="AT740" s="1288"/>
      <c r="AU740" s="1288"/>
      <c r="AV740" s="1288"/>
      <c r="AW740" s="1288"/>
      <c r="AX740" s="1288"/>
      <c r="AY740" s="1288"/>
      <c r="AZ740" s="1288"/>
      <c r="BA740" s="1288"/>
      <c r="BB740" s="1288"/>
      <c r="BC740" s="1288"/>
      <c r="BD740" s="1288"/>
      <c r="BE740" s="1291"/>
    </row>
    <row r="741" spans="2:57" x14ac:dyDescent="0.25">
      <c r="B741" s="359"/>
      <c r="C741" s="360" t="s">
        <v>75</v>
      </c>
      <c r="D741" s="360"/>
      <c r="E741" s="360"/>
      <c r="F741" s="360"/>
      <c r="G741" s="1288">
        <v>0</v>
      </c>
      <c r="H741" s="1288">
        <f t="shared" ref="H741:AM741" si="243">G744</f>
        <v>0</v>
      </c>
      <c r="I741" s="1288">
        <f t="shared" si="243"/>
        <v>0</v>
      </c>
      <c r="J741" s="1288">
        <f t="shared" si="243"/>
        <v>0</v>
      </c>
      <c r="K741" s="1288">
        <f t="shared" si="243"/>
        <v>0</v>
      </c>
      <c r="L741" s="1288">
        <f t="shared" si="243"/>
        <v>0</v>
      </c>
      <c r="M741" s="1288">
        <f t="shared" si="243"/>
        <v>0</v>
      </c>
      <c r="N741" s="1288">
        <f t="shared" si="243"/>
        <v>0</v>
      </c>
      <c r="O741" s="1288">
        <f t="shared" si="243"/>
        <v>0</v>
      </c>
      <c r="P741" s="1288">
        <f t="shared" si="243"/>
        <v>0</v>
      </c>
      <c r="Q741" s="1288">
        <f t="shared" si="243"/>
        <v>0</v>
      </c>
      <c r="R741" s="1288">
        <f t="shared" si="243"/>
        <v>0</v>
      </c>
      <c r="S741" s="1288">
        <f t="shared" si="243"/>
        <v>0</v>
      </c>
      <c r="T741" s="1288">
        <f t="shared" si="243"/>
        <v>0</v>
      </c>
      <c r="U741" s="1288">
        <f t="shared" si="243"/>
        <v>0</v>
      </c>
      <c r="V741" s="1288">
        <f t="shared" si="243"/>
        <v>0</v>
      </c>
      <c r="W741" s="1288">
        <f t="shared" si="243"/>
        <v>0</v>
      </c>
      <c r="X741" s="1288">
        <f t="shared" si="243"/>
        <v>0</v>
      </c>
      <c r="Y741" s="1288">
        <f t="shared" si="243"/>
        <v>0</v>
      </c>
      <c r="Z741" s="1288">
        <f t="shared" si="243"/>
        <v>0</v>
      </c>
      <c r="AA741" s="1288">
        <f t="shared" si="243"/>
        <v>0</v>
      </c>
      <c r="AB741" s="1288">
        <f t="shared" si="243"/>
        <v>0</v>
      </c>
      <c r="AC741" s="1288">
        <f t="shared" si="243"/>
        <v>0</v>
      </c>
      <c r="AD741" s="1288">
        <f t="shared" si="243"/>
        <v>0</v>
      </c>
      <c r="AE741" s="1288">
        <f t="shared" si="243"/>
        <v>0</v>
      </c>
      <c r="AF741" s="1288">
        <f t="shared" si="243"/>
        <v>0</v>
      </c>
      <c r="AG741" s="1288">
        <f t="shared" si="243"/>
        <v>0</v>
      </c>
      <c r="AH741" s="1288">
        <f t="shared" si="243"/>
        <v>0</v>
      </c>
      <c r="AI741" s="1288">
        <f t="shared" si="243"/>
        <v>0</v>
      </c>
      <c r="AJ741" s="1288">
        <f t="shared" si="243"/>
        <v>0</v>
      </c>
      <c r="AK741" s="1288">
        <f t="shared" si="243"/>
        <v>0</v>
      </c>
      <c r="AL741" s="1288">
        <f t="shared" si="243"/>
        <v>0</v>
      </c>
      <c r="AM741" s="1288">
        <f t="shared" si="243"/>
        <v>0</v>
      </c>
      <c r="AN741" s="1288">
        <f t="shared" ref="AN741:BE741" si="244">AM744</f>
        <v>0</v>
      </c>
      <c r="AO741" s="1288">
        <f t="shared" si="244"/>
        <v>0</v>
      </c>
      <c r="AP741" s="1288">
        <f t="shared" si="244"/>
        <v>0</v>
      </c>
      <c r="AQ741" s="1288">
        <f t="shared" si="244"/>
        <v>0</v>
      </c>
      <c r="AR741" s="1288">
        <f t="shared" si="244"/>
        <v>0</v>
      </c>
      <c r="AS741" s="1288">
        <f t="shared" si="244"/>
        <v>0</v>
      </c>
      <c r="AT741" s="1288">
        <f t="shared" si="244"/>
        <v>0</v>
      </c>
      <c r="AU741" s="1288">
        <f t="shared" si="244"/>
        <v>0</v>
      </c>
      <c r="AV741" s="1288">
        <f t="shared" si="244"/>
        <v>0</v>
      </c>
      <c r="AW741" s="1288">
        <f t="shared" si="244"/>
        <v>0</v>
      </c>
      <c r="AX741" s="1288">
        <f t="shared" si="244"/>
        <v>0</v>
      </c>
      <c r="AY741" s="1288">
        <f t="shared" si="244"/>
        <v>0</v>
      </c>
      <c r="AZ741" s="1288">
        <f t="shared" si="244"/>
        <v>0</v>
      </c>
      <c r="BA741" s="1288">
        <f t="shared" si="244"/>
        <v>0</v>
      </c>
      <c r="BB741" s="1288">
        <f t="shared" si="244"/>
        <v>0</v>
      </c>
      <c r="BC741" s="1288">
        <f t="shared" si="244"/>
        <v>0</v>
      </c>
      <c r="BD741" s="1288">
        <f t="shared" si="244"/>
        <v>0</v>
      </c>
      <c r="BE741" s="1291">
        <f t="shared" si="244"/>
        <v>0</v>
      </c>
    </row>
    <row r="742" spans="2:57" x14ac:dyDescent="0.25">
      <c r="B742" s="359"/>
      <c r="C742" s="360" t="s">
        <v>76</v>
      </c>
      <c r="D742" s="360"/>
      <c r="E742" s="360"/>
      <c r="F742" s="360"/>
      <c r="G742" s="1288">
        <f>G731</f>
        <v>0</v>
      </c>
      <c r="H742" s="1288">
        <v>0</v>
      </c>
      <c r="I742" s="1288">
        <v>0</v>
      </c>
      <c r="J742" s="1288">
        <v>0</v>
      </c>
      <c r="K742" s="1288">
        <v>0</v>
      </c>
      <c r="L742" s="1288">
        <v>0</v>
      </c>
      <c r="M742" s="1288">
        <v>0</v>
      </c>
      <c r="N742" s="1288">
        <v>0</v>
      </c>
      <c r="O742" s="1288">
        <v>0</v>
      </c>
      <c r="P742" s="1288">
        <v>0</v>
      </c>
      <c r="Q742" s="1288">
        <v>0</v>
      </c>
      <c r="R742" s="1288">
        <v>0</v>
      </c>
      <c r="S742" s="1288">
        <v>0</v>
      </c>
      <c r="T742" s="1288">
        <v>0</v>
      </c>
      <c r="U742" s="1288">
        <v>0</v>
      </c>
      <c r="V742" s="1288">
        <v>0</v>
      </c>
      <c r="W742" s="1288">
        <v>0</v>
      </c>
      <c r="X742" s="1288">
        <v>0</v>
      </c>
      <c r="Y742" s="1288">
        <v>0</v>
      </c>
      <c r="Z742" s="1288">
        <v>0</v>
      </c>
      <c r="AA742" s="1288">
        <v>0</v>
      </c>
      <c r="AB742" s="1288">
        <v>0</v>
      </c>
      <c r="AC742" s="1288">
        <v>0</v>
      </c>
      <c r="AD742" s="1288">
        <v>0</v>
      </c>
      <c r="AE742" s="1288">
        <v>0</v>
      </c>
      <c r="AF742" s="1288">
        <v>0</v>
      </c>
      <c r="AG742" s="1288">
        <v>0</v>
      </c>
      <c r="AH742" s="1288">
        <v>0</v>
      </c>
      <c r="AI742" s="1288">
        <v>0</v>
      </c>
      <c r="AJ742" s="1288">
        <v>0</v>
      </c>
      <c r="AK742" s="1288">
        <v>0</v>
      </c>
      <c r="AL742" s="1288">
        <v>0</v>
      </c>
      <c r="AM742" s="1288">
        <v>0</v>
      </c>
      <c r="AN742" s="1288">
        <v>0</v>
      </c>
      <c r="AO742" s="1288">
        <v>0</v>
      </c>
      <c r="AP742" s="1288">
        <v>0</v>
      </c>
      <c r="AQ742" s="1288">
        <v>0</v>
      </c>
      <c r="AR742" s="1288">
        <v>0</v>
      </c>
      <c r="AS742" s="1288">
        <v>0</v>
      </c>
      <c r="AT742" s="1288">
        <v>0</v>
      </c>
      <c r="AU742" s="1288">
        <v>0</v>
      </c>
      <c r="AV742" s="1288">
        <v>0</v>
      </c>
      <c r="AW742" s="1288">
        <v>0</v>
      </c>
      <c r="AX742" s="1288">
        <v>0</v>
      </c>
      <c r="AY742" s="1288">
        <v>0</v>
      </c>
      <c r="AZ742" s="1288">
        <v>0</v>
      </c>
      <c r="BA742" s="1288">
        <v>0</v>
      </c>
      <c r="BB742" s="1288">
        <v>0</v>
      </c>
      <c r="BC742" s="1288">
        <v>0</v>
      </c>
      <c r="BD742" s="1288">
        <v>0</v>
      </c>
      <c r="BE742" s="1291">
        <v>0</v>
      </c>
    </row>
    <row r="743" spans="2:57" x14ac:dyDescent="0.25">
      <c r="B743" s="359"/>
      <c r="C743" s="367" t="s">
        <v>77</v>
      </c>
      <c r="D743" s="367"/>
      <c r="E743" s="367"/>
      <c r="F743" s="367"/>
      <c r="G743" s="1292">
        <v>0</v>
      </c>
      <c r="H743" s="1292">
        <f>-H737</f>
        <v>0</v>
      </c>
      <c r="I743" s="1292">
        <f t="shared" ref="I743:BE743" si="245">-I737</f>
        <v>0</v>
      </c>
      <c r="J743" s="1292">
        <f t="shared" si="245"/>
        <v>0</v>
      </c>
      <c r="K743" s="1292">
        <f t="shared" si="245"/>
        <v>0</v>
      </c>
      <c r="L743" s="1292">
        <f t="shared" si="245"/>
        <v>0</v>
      </c>
      <c r="M743" s="1292">
        <f t="shared" si="245"/>
        <v>0</v>
      </c>
      <c r="N743" s="1292">
        <f t="shared" si="245"/>
        <v>0</v>
      </c>
      <c r="O743" s="1292">
        <f t="shared" si="245"/>
        <v>0</v>
      </c>
      <c r="P743" s="1292">
        <f t="shared" si="245"/>
        <v>0</v>
      </c>
      <c r="Q743" s="1292">
        <f t="shared" si="245"/>
        <v>0</v>
      </c>
      <c r="R743" s="1292">
        <f t="shared" si="245"/>
        <v>0</v>
      </c>
      <c r="S743" s="1292">
        <f t="shared" si="245"/>
        <v>0</v>
      </c>
      <c r="T743" s="1292">
        <f t="shared" si="245"/>
        <v>0</v>
      </c>
      <c r="U743" s="1292">
        <f t="shared" si="245"/>
        <v>0</v>
      </c>
      <c r="V743" s="1292">
        <f t="shared" si="245"/>
        <v>0</v>
      </c>
      <c r="W743" s="1292">
        <f t="shared" si="245"/>
        <v>0</v>
      </c>
      <c r="X743" s="1292">
        <f t="shared" si="245"/>
        <v>0</v>
      </c>
      <c r="Y743" s="1292">
        <f t="shared" si="245"/>
        <v>0</v>
      </c>
      <c r="Z743" s="1292">
        <f t="shared" si="245"/>
        <v>0</v>
      </c>
      <c r="AA743" s="1292">
        <f t="shared" si="245"/>
        <v>0</v>
      </c>
      <c r="AB743" s="1292">
        <f t="shared" si="245"/>
        <v>0</v>
      </c>
      <c r="AC743" s="1292">
        <f t="shared" si="245"/>
        <v>0</v>
      </c>
      <c r="AD743" s="1292">
        <f t="shared" si="245"/>
        <v>0</v>
      </c>
      <c r="AE743" s="1292">
        <f t="shared" si="245"/>
        <v>0</v>
      </c>
      <c r="AF743" s="1292">
        <f t="shared" si="245"/>
        <v>0</v>
      </c>
      <c r="AG743" s="1292">
        <f t="shared" si="245"/>
        <v>0</v>
      </c>
      <c r="AH743" s="1292">
        <f t="shared" si="245"/>
        <v>0</v>
      </c>
      <c r="AI743" s="1292">
        <f t="shared" si="245"/>
        <v>0</v>
      </c>
      <c r="AJ743" s="1292">
        <f t="shared" si="245"/>
        <v>0</v>
      </c>
      <c r="AK743" s="1292">
        <f t="shared" si="245"/>
        <v>0</v>
      </c>
      <c r="AL743" s="1292">
        <f t="shared" si="245"/>
        <v>0</v>
      </c>
      <c r="AM743" s="1292">
        <f t="shared" si="245"/>
        <v>0</v>
      </c>
      <c r="AN743" s="1292">
        <f t="shared" si="245"/>
        <v>0</v>
      </c>
      <c r="AO743" s="1292">
        <f t="shared" si="245"/>
        <v>0</v>
      </c>
      <c r="AP743" s="1292">
        <f t="shared" si="245"/>
        <v>0</v>
      </c>
      <c r="AQ743" s="1292">
        <f t="shared" si="245"/>
        <v>0</v>
      </c>
      <c r="AR743" s="1292">
        <f t="shared" si="245"/>
        <v>0</v>
      </c>
      <c r="AS743" s="1292">
        <f t="shared" si="245"/>
        <v>0</v>
      </c>
      <c r="AT743" s="1292">
        <f t="shared" si="245"/>
        <v>0</v>
      </c>
      <c r="AU743" s="1292">
        <f t="shared" si="245"/>
        <v>0</v>
      </c>
      <c r="AV743" s="1292">
        <f t="shared" si="245"/>
        <v>0</v>
      </c>
      <c r="AW743" s="1292">
        <f t="shared" si="245"/>
        <v>0</v>
      </c>
      <c r="AX743" s="1292">
        <f t="shared" si="245"/>
        <v>0</v>
      </c>
      <c r="AY743" s="1292">
        <f t="shared" si="245"/>
        <v>0</v>
      </c>
      <c r="AZ743" s="1292">
        <f t="shared" si="245"/>
        <v>0</v>
      </c>
      <c r="BA743" s="1292">
        <f t="shared" si="245"/>
        <v>0</v>
      </c>
      <c r="BB743" s="1292">
        <f t="shared" si="245"/>
        <v>0</v>
      </c>
      <c r="BC743" s="1292">
        <f t="shared" si="245"/>
        <v>0</v>
      </c>
      <c r="BD743" s="1292">
        <f t="shared" si="245"/>
        <v>0</v>
      </c>
      <c r="BE743" s="1293">
        <f t="shared" si="245"/>
        <v>0</v>
      </c>
    </row>
    <row r="744" spans="2:57" x14ac:dyDescent="0.25">
      <c r="B744" s="359"/>
      <c r="C744" s="360" t="s">
        <v>66</v>
      </c>
      <c r="D744" s="360"/>
      <c r="E744" s="360"/>
      <c r="F744" s="360"/>
      <c r="G744" s="1288">
        <f>SUM(G741:G743)</f>
        <v>0</v>
      </c>
      <c r="H744" s="1288">
        <f>SUM(H741:H743)</f>
        <v>0</v>
      </c>
      <c r="I744" s="1288">
        <f t="shared" ref="I744:BE744" si="246">SUM(I741:I743)</f>
        <v>0</v>
      </c>
      <c r="J744" s="1288">
        <f t="shared" si="246"/>
        <v>0</v>
      </c>
      <c r="K744" s="1288">
        <f t="shared" si="246"/>
        <v>0</v>
      </c>
      <c r="L744" s="1288">
        <f t="shared" si="246"/>
        <v>0</v>
      </c>
      <c r="M744" s="1288">
        <f t="shared" si="246"/>
        <v>0</v>
      </c>
      <c r="N744" s="1288">
        <f t="shared" si="246"/>
        <v>0</v>
      </c>
      <c r="O744" s="1288">
        <f t="shared" si="246"/>
        <v>0</v>
      </c>
      <c r="P744" s="1288">
        <f t="shared" si="246"/>
        <v>0</v>
      </c>
      <c r="Q744" s="1288">
        <f t="shared" si="246"/>
        <v>0</v>
      </c>
      <c r="R744" s="1288">
        <f t="shared" si="246"/>
        <v>0</v>
      </c>
      <c r="S744" s="1288">
        <f t="shared" si="246"/>
        <v>0</v>
      </c>
      <c r="T744" s="1288">
        <f t="shared" si="246"/>
        <v>0</v>
      </c>
      <c r="U744" s="1288">
        <f t="shared" si="246"/>
        <v>0</v>
      </c>
      <c r="V744" s="1288">
        <f t="shared" si="246"/>
        <v>0</v>
      </c>
      <c r="W744" s="1288">
        <f t="shared" si="246"/>
        <v>0</v>
      </c>
      <c r="X744" s="1288">
        <f t="shared" si="246"/>
        <v>0</v>
      </c>
      <c r="Y744" s="1288">
        <f t="shared" si="246"/>
        <v>0</v>
      </c>
      <c r="Z744" s="1288">
        <f t="shared" si="246"/>
        <v>0</v>
      </c>
      <c r="AA744" s="1288">
        <f t="shared" si="246"/>
        <v>0</v>
      </c>
      <c r="AB744" s="1288">
        <f t="shared" si="246"/>
        <v>0</v>
      </c>
      <c r="AC744" s="1288">
        <f t="shared" si="246"/>
        <v>0</v>
      </c>
      <c r="AD744" s="1288">
        <f t="shared" si="246"/>
        <v>0</v>
      </c>
      <c r="AE744" s="1288">
        <f t="shared" si="246"/>
        <v>0</v>
      </c>
      <c r="AF744" s="1288">
        <f t="shared" si="246"/>
        <v>0</v>
      </c>
      <c r="AG744" s="1288">
        <f t="shared" si="246"/>
        <v>0</v>
      </c>
      <c r="AH744" s="1288">
        <f t="shared" si="246"/>
        <v>0</v>
      </c>
      <c r="AI744" s="1288">
        <f t="shared" si="246"/>
        <v>0</v>
      </c>
      <c r="AJ744" s="1288">
        <f t="shared" si="246"/>
        <v>0</v>
      </c>
      <c r="AK744" s="1288">
        <f t="shared" si="246"/>
        <v>0</v>
      </c>
      <c r="AL744" s="1288">
        <f t="shared" si="246"/>
        <v>0</v>
      </c>
      <c r="AM744" s="1288">
        <f t="shared" si="246"/>
        <v>0</v>
      </c>
      <c r="AN744" s="1288">
        <f t="shared" si="246"/>
        <v>0</v>
      </c>
      <c r="AO744" s="1288">
        <f t="shared" si="246"/>
        <v>0</v>
      </c>
      <c r="AP744" s="1288">
        <f t="shared" si="246"/>
        <v>0</v>
      </c>
      <c r="AQ744" s="1288">
        <f t="shared" si="246"/>
        <v>0</v>
      </c>
      <c r="AR744" s="1288">
        <f t="shared" si="246"/>
        <v>0</v>
      </c>
      <c r="AS744" s="1288">
        <f t="shared" si="246"/>
        <v>0</v>
      </c>
      <c r="AT744" s="1288">
        <f t="shared" si="246"/>
        <v>0</v>
      </c>
      <c r="AU744" s="1288">
        <f t="shared" si="246"/>
        <v>0</v>
      </c>
      <c r="AV744" s="1288">
        <f t="shared" si="246"/>
        <v>0</v>
      </c>
      <c r="AW744" s="1288">
        <f t="shared" si="246"/>
        <v>0</v>
      </c>
      <c r="AX744" s="1288">
        <f t="shared" si="246"/>
        <v>0</v>
      </c>
      <c r="AY744" s="1288">
        <f t="shared" si="246"/>
        <v>0</v>
      </c>
      <c r="AZ744" s="1288">
        <f t="shared" si="246"/>
        <v>0</v>
      </c>
      <c r="BA744" s="1288">
        <f t="shared" si="246"/>
        <v>0</v>
      </c>
      <c r="BB744" s="1288">
        <f t="shared" si="246"/>
        <v>0</v>
      </c>
      <c r="BC744" s="1288">
        <f t="shared" si="246"/>
        <v>0</v>
      </c>
      <c r="BD744" s="1288">
        <f t="shared" si="246"/>
        <v>0</v>
      </c>
      <c r="BE744" s="1291">
        <f t="shared" si="246"/>
        <v>0</v>
      </c>
    </row>
    <row r="745" spans="2:57" x14ac:dyDescent="0.25">
      <c r="B745" s="359"/>
      <c r="C745" s="360"/>
      <c r="D745" s="360"/>
      <c r="E745" s="360"/>
      <c r="F745" s="360"/>
      <c r="G745" s="1288"/>
      <c r="H745" s="1288"/>
      <c r="I745" s="1288"/>
      <c r="J745" s="1288"/>
      <c r="K745" s="1288"/>
      <c r="L745" s="1288"/>
      <c r="M745" s="1288"/>
      <c r="N745" s="1288"/>
      <c r="O745" s="1288"/>
      <c r="P745" s="1288"/>
      <c r="Q745" s="1288"/>
      <c r="R745" s="1288"/>
      <c r="S745" s="1288"/>
      <c r="T745" s="1288"/>
      <c r="U745" s="1288"/>
      <c r="V745" s="1288"/>
      <c r="W745" s="1288"/>
      <c r="X745" s="1288"/>
      <c r="Y745" s="1288"/>
      <c r="Z745" s="1288"/>
      <c r="AA745" s="1288"/>
      <c r="AB745" s="1288"/>
      <c r="AC745" s="1288"/>
      <c r="AD745" s="1288"/>
      <c r="AE745" s="1288"/>
      <c r="AF745" s="1288"/>
      <c r="AG745" s="1288"/>
      <c r="AH745" s="1288"/>
      <c r="AI745" s="1288"/>
      <c r="AJ745" s="1288"/>
      <c r="AK745" s="1288"/>
      <c r="AL745" s="1288"/>
      <c r="AM745" s="1288"/>
      <c r="AN745" s="1288"/>
      <c r="AO745" s="1288"/>
      <c r="AP745" s="1288"/>
      <c r="AQ745" s="1288"/>
      <c r="AR745" s="1288"/>
      <c r="AS745" s="1288"/>
      <c r="AT745" s="1288"/>
      <c r="AU745" s="1288"/>
      <c r="AV745" s="1288"/>
      <c r="AW745" s="1288"/>
      <c r="AX745" s="1288"/>
      <c r="AY745" s="1288"/>
      <c r="AZ745" s="1288"/>
      <c r="BA745" s="1288"/>
      <c r="BB745" s="1288"/>
      <c r="BC745" s="1288"/>
      <c r="BD745" s="1288"/>
      <c r="BE745" s="1291"/>
    </row>
    <row r="746" spans="2:57" x14ac:dyDescent="0.25">
      <c r="B746" s="359"/>
      <c r="C746" s="418" t="s">
        <v>71</v>
      </c>
      <c r="D746" s="360"/>
      <c r="E746" s="360"/>
      <c r="F746" s="360"/>
      <c r="G746" s="1288"/>
      <c r="H746" s="1288"/>
      <c r="I746" s="1288"/>
      <c r="J746" s="1288"/>
      <c r="K746" s="1288"/>
      <c r="L746" s="1288"/>
      <c r="M746" s="1288"/>
      <c r="N746" s="1288"/>
      <c r="O746" s="1288"/>
      <c r="P746" s="1288"/>
      <c r="Q746" s="1288"/>
      <c r="R746" s="1288"/>
      <c r="S746" s="1288"/>
      <c r="T746" s="1288"/>
      <c r="U746" s="1288"/>
      <c r="V746" s="1288"/>
      <c r="W746" s="1288"/>
      <c r="X746" s="1288"/>
      <c r="Y746" s="1288"/>
      <c r="Z746" s="1288"/>
      <c r="AA746" s="1288"/>
      <c r="AB746" s="1288"/>
      <c r="AC746" s="1288"/>
      <c r="AD746" s="1288"/>
      <c r="AE746" s="1288"/>
      <c r="AF746" s="1288"/>
      <c r="AG746" s="1288"/>
      <c r="AH746" s="1288"/>
      <c r="AI746" s="1288"/>
      <c r="AJ746" s="1288"/>
      <c r="AK746" s="1288"/>
      <c r="AL746" s="1288"/>
      <c r="AM746" s="1288"/>
      <c r="AN746" s="1288"/>
      <c r="AO746" s="1288"/>
      <c r="AP746" s="1288"/>
      <c r="AQ746" s="1288"/>
      <c r="AR746" s="1288"/>
      <c r="AS746" s="1288"/>
      <c r="AT746" s="1288"/>
      <c r="AU746" s="1288"/>
      <c r="AV746" s="1288"/>
      <c r="AW746" s="1288"/>
      <c r="AX746" s="1288"/>
      <c r="AY746" s="1288"/>
      <c r="AZ746" s="1288"/>
      <c r="BA746" s="1288"/>
      <c r="BB746" s="1288"/>
      <c r="BC746" s="1288"/>
      <c r="BD746" s="1288"/>
      <c r="BE746" s="1291"/>
    </row>
    <row r="747" spans="2:57" x14ac:dyDescent="0.25">
      <c r="B747" s="359"/>
      <c r="C747" s="360" t="s">
        <v>237</v>
      </c>
      <c r="D747" s="360"/>
      <c r="E747" s="360"/>
      <c r="F747" s="360"/>
      <c r="G747" s="1288"/>
      <c r="H747" s="1288">
        <f>IF($G731&gt;0, $G731*'II. Inputs, Baseline Energy Mix'!$S$51/10000,0)</f>
        <v>0</v>
      </c>
      <c r="I747" s="1288">
        <v>0</v>
      </c>
      <c r="J747" s="1288">
        <v>0</v>
      </c>
      <c r="K747" s="1288">
        <v>0</v>
      </c>
      <c r="L747" s="1288">
        <v>0</v>
      </c>
      <c r="M747" s="1288">
        <v>0</v>
      </c>
      <c r="N747" s="1288">
        <v>0</v>
      </c>
      <c r="O747" s="1288">
        <v>0</v>
      </c>
      <c r="P747" s="1288">
        <v>0</v>
      </c>
      <c r="Q747" s="1288">
        <v>0</v>
      </c>
      <c r="R747" s="1288">
        <v>0</v>
      </c>
      <c r="S747" s="1288">
        <v>0</v>
      </c>
      <c r="T747" s="1288">
        <v>0</v>
      </c>
      <c r="U747" s="1288">
        <v>0</v>
      </c>
      <c r="V747" s="1288">
        <v>0</v>
      </c>
      <c r="W747" s="1288">
        <v>0</v>
      </c>
      <c r="X747" s="1288">
        <v>0</v>
      </c>
      <c r="Y747" s="1288">
        <v>0</v>
      </c>
      <c r="Z747" s="1288">
        <v>0</v>
      </c>
      <c r="AA747" s="1288">
        <v>0</v>
      </c>
      <c r="AB747" s="1288">
        <v>0</v>
      </c>
      <c r="AC747" s="1288">
        <v>0</v>
      </c>
      <c r="AD747" s="1288">
        <v>0</v>
      </c>
      <c r="AE747" s="1288">
        <v>0</v>
      </c>
      <c r="AF747" s="1288">
        <v>0</v>
      </c>
      <c r="AG747" s="1288">
        <v>0</v>
      </c>
      <c r="AH747" s="1288">
        <v>0</v>
      </c>
      <c r="AI747" s="1288">
        <v>0</v>
      </c>
      <c r="AJ747" s="1288">
        <v>0</v>
      </c>
      <c r="AK747" s="1288">
        <v>0</v>
      </c>
      <c r="AL747" s="1288">
        <v>0</v>
      </c>
      <c r="AM747" s="1288">
        <v>0</v>
      </c>
      <c r="AN747" s="1288">
        <v>0</v>
      </c>
      <c r="AO747" s="1288">
        <v>0</v>
      </c>
      <c r="AP747" s="1288">
        <v>0</v>
      </c>
      <c r="AQ747" s="1288">
        <v>0</v>
      </c>
      <c r="AR747" s="1288">
        <v>0</v>
      </c>
      <c r="AS747" s="1288">
        <v>0</v>
      </c>
      <c r="AT747" s="1288">
        <v>0</v>
      </c>
      <c r="AU747" s="1288">
        <v>0</v>
      </c>
      <c r="AV747" s="1288">
        <v>0</v>
      </c>
      <c r="AW747" s="1288">
        <v>0</v>
      </c>
      <c r="AX747" s="1288">
        <v>0</v>
      </c>
      <c r="AY747" s="1288">
        <v>0</v>
      </c>
      <c r="AZ747" s="1288">
        <v>0</v>
      </c>
      <c r="BA747" s="1288">
        <v>0</v>
      </c>
      <c r="BB747" s="1288">
        <v>0</v>
      </c>
      <c r="BC747" s="1288">
        <v>0</v>
      </c>
      <c r="BD747" s="1288">
        <v>0</v>
      </c>
      <c r="BE747" s="1291">
        <v>0</v>
      </c>
    </row>
    <row r="748" spans="2:57" x14ac:dyDescent="0.25">
      <c r="B748" s="359"/>
      <c r="C748" s="360"/>
      <c r="D748" s="360"/>
      <c r="E748" s="360"/>
      <c r="F748" s="360"/>
      <c r="G748" s="360"/>
      <c r="H748" s="360"/>
      <c r="I748" s="360"/>
      <c r="J748" s="360"/>
      <c r="K748" s="360"/>
      <c r="L748" s="360"/>
      <c r="M748" s="360"/>
      <c r="N748" s="360"/>
      <c r="O748" s="360"/>
      <c r="P748" s="360"/>
      <c r="Q748" s="360"/>
      <c r="R748" s="360"/>
      <c r="S748" s="360"/>
      <c r="T748" s="360"/>
      <c r="U748" s="360"/>
      <c r="V748" s="360"/>
      <c r="W748" s="360"/>
      <c r="X748" s="360"/>
      <c r="Y748" s="360"/>
      <c r="Z748" s="360"/>
      <c r="AA748" s="360"/>
      <c r="AB748" s="360"/>
      <c r="AC748" s="360"/>
      <c r="AD748" s="360"/>
      <c r="AE748" s="360"/>
      <c r="AF748" s="360"/>
      <c r="AG748" s="360"/>
      <c r="AH748" s="360"/>
      <c r="AI748" s="360"/>
      <c r="AJ748" s="360"/>
      <c r="AK748" s="360"/>
      <c r="AL748" s="360"/>
      <c r="AM748" s="360"/>
      <c r="AN748" s="360"/>
      <c r="AO748" s="360"/>
      <c r="AP748" s="360"/>
      <c r="AQ748" s="360"/>
      <c r="AR748" s="360"/>
      <c r="AS748" s="360"/>
      <c r="AT748" s="360"/>
      <c r="AU748" s="360"/>
      <c r="AV748" s="360"/>
      <c r="AW748" s="360"/>
      <c r="AX748" s="360"/>
      <c r="AY748" s="360"/>
      <c r="AZ748" s="360"/>
      <c r="BA748" s="360"/>
      <c r="BB748" s="360"/>
      <c r="BC748" s="360"/>
      <c r="BD748" s="360"/>
      <c r="BE748" s="361"/>
    </row>
    <row r="749" spans="2:57" x14ac:dyDescent="0.25">
      <c r="B749" s="359"/>
      <c r="C749" s="360"/>
      <c r="D749" s="360"/>
      <c r="E749" s="360"/>
      <c r="F749" s="360"/>
      <c r="G749" s="360"/>
      <c r="H749" s="360"/>
      <c r="I749" s="360"/>
      <c r="J749" s="360"/>
      <c r="K749" s="360"/>
      <c r="L749" s="360"/>
      <c r="M749" s="360"/>
      <c r="N749" s="360"/>
      <c r="O749" s="360"/>
      <c r="P749" s="360"/>
      <c r="Q749" s="360"/>
      <c r="R749" s="360"/>
      <c r="S749" s="360"/>
      <c r="T749" s="360"/>
      <c r="U749" s="360"/>
      <c r="V749" s="360"/>
      <c r="W749" s="360"/>
      <c r="X749" s="360"/>
      <c r="Y749" s="360"/>
      <c r="Z749" s="360"/>
      <c r="AA749" s="360"/>
      <c r="AB749" s="360"/>
      <c r="AC749" s="360"/>
      <c r="AD749" s="360"/>
      <c r="AE749" s="360"/>
      <c r="AF749" s="360"/>
      <c r="AG749" s="360"/>
      <c r="AH749" s="360"/>
      <c r="AI749" s="360"/>
      <c r="AJ749" s="360"/>
      <c r="AK749" s="360"/>
      <c r="AL749" s="360"/>
      <c r="AM749" s="360"/>
      <c r="AN749" s="360"/>
      <c r="AO749" s="360"/>
      <c r="AP749" s="360"/>
      <c r="AQ749" s="360"/>
      <c r="AR749" s="360"/>
      <c r="AS749" s="360"/>
      <c r="AT749" s="360"/>
      <c r="AU749" s="360"/>
      <c r="AV749" s="360"/>
      <c r="AW749" s="360"/>
      <c r="AX749" s="360"/>
      <c r="AY749" s="360"/>
      <c r="AZ749" s="360"/>
      <c r="BA749" s="360"/>
      <c r="BB749" s="360"/>
      <c r="BC749" s="360"/>
      <c r="BD749" s="360"/>
      <c r="BE749" s="361"/>
    </row>
    <row r="750" spans="2:57" x14ac:dyDescent="0.25">
      <c r="B750" s="371" t="s">
        <v>86</v>
      </c>
      <c r="C750" s="360"/>
      <c r="D750" s="360"/>
      <c r="E750" s="360"/>
      <c r="F750" s="360"/>
      <c r="G750" s="360"/>
      <c r="H750" s="360"/>
      <c r="I750" s="360"/>
      <c r="J750" s="360"/>
      <c r="K750" s="360"/>
      <c r="L750" s="360"/>
      <c r="M750" s="360"/>
      <c r="N750" s="360"/>
      <c r="O750" s="360"/>
      <c r="P750" s="360"/>
      <c r="Q750" s="360"/>
      <c r="R750" s="360"/>
      <c r="S750" s="360"/>
      <c r="T750" s="360"/>
      <c r="U750" s="360"/>
      <c r="V750" s="360"/>
      <c r="W750" s="360"/>
      <c r="X750" s="360"/>
      <c r="Y750" s="360"/>
      <c r="Z750" s="360"/>
      <c r="AA750" s="360"/>
      <c r="AB750" s="360"/>
      <c r="AC750" s="360"/>
      <c r="AD750" s="360"/>
      <c r="AE750" s="360"/>
      <c r="AF750" s="360"/>
      <c r="AG750" s="360"/>
      <c r="AH750" s="360"/>
      <c r="AI750" s="360"/>
      <c r="AJ750" s="360"/>
      <c r="AK750" s="360"/>
      <c r="AL750" s="360"/>
      <c r="AM750" s="360"/>
      <c r="AN750" s="360"/>
      <c r="AO750" s="360"/>
      <c r="AP750" s="360"/>
      <c r="AQ750" s="360"/>
      <c r="AR750" s="360"/>
      <c r="AS750" s="360"/>
      <c r="AT750" s="360"/>
      <c r="AU750" s="360"/>
      <c r="AV750" s="360"/>
      <c r="AW750" s="360"/>
      <c r="AX750" s="360"/>
      <c r="AY750" s="360"/>
      <c r="AZ750" s="360"/>
      <c r="BA750" s="360"/>
      <c r="BB750" s="360"/>
      <c r="BC750" s="360"/>
      <c r="BD750" s="360"/>
      <c r="BE750" s="361"/>
    </row>
    <row r="751" spans="2:57" x14ac:dyDescent="0.25">
      <c r="B751" s="359"/>
      <c r="C751" s="415" t="s">
        <v>84</v>
      </c>
      <c r="D751" s="360"/>
      <c r="E751" s="360"/>
      <c r="F751" s="360"/>
      <c r="G751" s="1288">
        <f>IF('II. Inputs, Baseline Energy Mix'!$S$15&gt;0, ('II. Inputs, Baseline Energy Mix'!$S$16*'II. Inputs, Baseline Energy Mix'!$S$17*'II. Inputs, Baseline Energy Mix'!$S$29*'II. Inputs, Baseline Energy Mix'!$S$80),0)</f>
        <v>0</v>
      </c>
      <c r="H751" s="360"/>
      <c r="I751" s="360"/>
      <c r="J751" s="360"/>
      <c r="K751" s="360"/>
      <c r="L751" s="360"/>
      <c r="M751" s="360"/>
      <c r="N751" s="360"/>
      <c r="O751" s="360"/>
      <c r="P751" s="360"/>
      <c r="Q751" s="360"/>
      <c r="R751" s="360"/>
      <c r="S751" s="360"/>
      <c r="T751" s="360"/>
      <c r="U751" s="360"/>
      <c r="V751" s="360"/>
      <c r="W751" s="360"/>
      <c r="X751" s="360"/>
      <c r="Y751" s="360"/>
      <c r="Z751" s="360"/>
      <c r="AA751" s="360"/>
      <c r="AB751" s="360"/>
      <c r="AC751" s="360"/>
      <c r="AD751" s="360"/>
      <c r="AE751" s="360"/>
      <c r="AF751" s="360"/>
      <c r="AG751" s="360"/>
      <c r="AH751" s="360"/>
      <c r="AI751" s="360"/>
      <c r="AJ751" s="360"/>
      <c r="AK751" s="360"/>
      <c r="AL751" s="360"/>
      <c r="AM751" s="360"/>
      <c r="AN751" s="360"/>
      <c r="AO751" s="360"/>
      <c r="AP751" s="360"/>
      <c r="AQ751" s="360"/>
      <c r="AR751" s="360"/>
      <c r="AS751" s="360"/>
      <c r="AT751" s="360"/>
      <c r="AU751" s="360"/>
      <c r="AV751" s="360"/>
      <c r="AW751" s="360"/>
      <c r="AX751" s="360"/>
      <c r="AY751" s="360"/>
      <c r="AZ751" s="360"/>
      <c r="BA751" s="360"/>
      <c r="BB751" s="360"/>
      <c r="BC751" s="360"/>
      <c r="BD751" s="360"/>
      <c r="BE751" s="361"/>
    </row>
    <row r="752" spans="2:57" x14ac:dyDescent="0.25">
      <c r="B752" s="359"/>
      <c r="C752" s="415" t="str">
        <f>'II. Inputs, Baseline Energy Mix'!$E$81</f>
        <v xml:space="preserve">Term of Political Risk Insurance </v>
      </c>
      <c r="D752" s="360"/>
      <c r="E752" s="360"/>
      <c r="F752" s="360"/>
      <c r="G752" s="362">
        <f>'II. Inputs, Baseline Energy Mix'!$S$81</f>
        <v>0</v>
      </c>
      <c r="H752" s="360"/>
      <c r="I752" s="360"/>
      <c r="J752" s="360"/>
      <c r="K752" s="360"/>
      <c r="L752" s="360"/>
      <c r="M752" s="360"/>
      <c r="N752" s="360"/>
      <c r="O752" s="360"/>
      <c r="P752" s="360"/>
      <c r="Q752" s="360"/>
      <c r="R752" s="360"/>
      <c r="S752" s="360"/>
      <c r="T752" s="360"/>
      <c r="U752" s="360"/>
      <c r="V752" s="360"/>
      <c r="W752" s="360"/>
      <c r="X752" s="360"/>
      <c r="Y752" s="360"/>
      <c r="Z752" s="360"/>
      <c r="AA752" s="360"/>
      <c r="AB752" s="360"/>
      <c r="AC752" s="360"/>
      <c r="AD752" s="360"/>
      <c r="AE752" s="360"/>
      <c r="AF752" s="360"/>
      <c r="AG752" s="360"/>
      <c r="AH752" s="360"/>
      <c r="AI752" s="360"/>
      <c r="AJ752" s="360"/>
      <c r="AK752" s="360"/>
      <c r="AL752" s="360"/>
      <c r="AM752" s="360"/>
      <c r="AN752" s="360"/>
      <c r="AO752" s="360"/>
      <c r="AP752" s="360"/>
      <c r="AQ752" s="360"/>
      <c r="AR752" s="360"/>
      <c r="AS752" s="360"/>
      <c r="AT752" s="360"/>
      <c r="AU752" s="360"/>
      <c r="AV752" s="360"/>
      <c r="AW752" s="360"/>
      <c r="AX752" s="360"/>
      <c r="AY752" s="360"/>
      <c r="AZ752" s="360"/>
      <c r="BA752" s="360"/>
      <c r="BB752" s="360"/>
      <c r="BC752" s="360"/>
      <c r="BD752" s="360"/>
      <c r="BE752" s="361"/>
    </row>
    <row r="753" spans="1:57" x14ac:dyDescent="0.25">
      <c r="B753" s="359"/>
      <c r="C753" s="415" t="str">
        <f>'II. Inputs, Baseline Energy Mix'!$E$82</f>
        <v xml:space="preserve">Front-end Fee </v>
      </c>
      <c r="D753" s="360"/>
      <c r="E753" s="360"/>
      <c r="F753" s="360"/>
      <c r="G753" s="1288">
        <f>'II. Inputs, Baseline Energy Mix'!$S$82</f>
        <v>0</v>
      </c>
      <c r="H753" s="360"/>
      <c r="I753" s="360"/>
      <c r="J753" s="360"/>
      <c r="K753" s="360"/>
      <c r="L753" s="360"/>
      <c r="M753" s="360"/>
      <c r="N753" s="360"/>
      <c r="O753" s="360"/>
      <c r="P753" s="360"/>
      <c r="Q753" s="360"/>
      <c r="R753" s="360"/>
      <c r="S753" s="360"/>
      <c r="T753" s="360"/>
      <c r="U753" s="360"/>
      <c r="V753" s="360"/>
      <c r="W753" s="360"/>
      <c r="X753" s="360"/>
      <c r="Y753" s="360"/>
      <c r="Z753" s="360"/>
      <c r="AA753" s="360"/>
      <c r="AB753" s="360"/>
      <c r="AC753" s="360"/>
      <c r="AD753" s="360"/>
      <c r="AE753" s="360"/>
      <c r="AF753" s="360"/>
      <c r="AG753" s="360"/>
      <c r="AH753" s="360"/>
      <c r="AI753" s="360"/>
      <c r="AJ753" s="360"/>
      <c r="AK753" s="360"/>
      <c r="AL753" s="360"/>
      <c r="AM753" s="360"/>
      <c r="AN753" s="360"/>
      <c r="AO753" s="360"/>
      <c r="AP753" s="360"/>
      <c r="AQ753" s="360"/>
      <c r="AR753" s="360"/>
      <c r="AS753" s="360"/>
      <c r="AT753" s="360"/>
      <c r="AU753" s="360"/>
      <c r="AV753" s="360"/>
      <c r="AW753" s="360"/>
      <c r="AX753" s="360"/>
      <c r="AY753" s="360"/>
      <c r="AZ753" s="360"/>
      <c r="BA753" s="360"/>
      <c r="BB753" s="360"/>
      <c r="BC753" s="360"/>
      <c r="BD753" s="360"/>
      <c r="BE753" s="361"/>
    </row>
    <row r="754" spans="1:57" x14ac:dyDescent="0.25">
      <c r="B754" s="359"/>
      <c r="C754" s="415" t="str">
        <f>'II. Inputs, Baseline Energy Mix'!$E$83</f>
        <v xml:space="preserve">Annual Political Risk Insurance Premium </v>
      </c>
      <c r="D754" s="360"/>
      <c r="E754" s="360"/>
      <c r="F754" s="360"/>
      <c r="G754" s="1288">
        <f>'II. Inputs, Baseline Energy Mix'!$S$83</f>
        <v>0</v>
      </c>
      <c r="H754" s="360"/>
      <c r="I754" s="360"/>
      <c r="J754" s="360"/>
      <c r="K754" s="360"/>
      <c r="L754" s="360"/>
      <c r="M754" s="360"/>
      <c r="N754" s="360"/>
      <c r="O754" s="360"/>
      <c r="P754" s="360"/>
      <c r="Q754" s="360"/>
      <c r="R754" s="360"/>
      <c r="S754" s="360"/>
      <c r="T754" s="360"/>
      <c r="U754" s="360"/>
      <c r="V754" s="360"/>
      <c r="W754" s="360"/>
      <c r="X754" s="360"/>
      <c r="Y754" s="360"/>
      <c r="Z754" s="360"/>
      <c r="AA754" s="360"/>
      <c r="AB754" s="360"/>
      <c r="AC754" s="360"/>
      <c r="AD754" s="360"/>
      <c r="AE754" s="360"/>
      <c r="AF754" s="360"/>
      <c r="AG754" s="360"/>
      <c r="AH754" s="360"/>
      <c r="AI754" s="360"/>
      <c r="AJ754" s="360"/>
      <c r="AK754" s="360"/>
      <c r="AL754" s="360"/>
      <c r="AM754" s="360"/>
      <c r="AN754" s="360"/>
      <c r="AO754" s="360"/>
      <c r="AP754" s="360"/>
      <c r="AQ754" s="360"/>
      <c r="AR754" s="360"/>
      <c r="AS754" s="360"/>
      <c r="AT754" s="360"/>
      <c r="AU754" s="360"/>
      <c r="AV754" s="360"/>
      <c r="AW754" s="360"/>
      <c r="AX754" s="360"/>
      <c r="AY754" s="360"/>
      <c r="AZ754" s="360"/>
      <c r="BA754" s="360"/>
      <c r="BB754" s="360"/>
      <c r="BC754" s="360"/>
      <c r="BD754" s="360"/>
      <c r="BE754" s="361"/>
    </row>
    <row r="755" spans="1:57" x14ac:dyDescent="0.25">
      <c r="B755" s="359"/>
      <c r="C755" s="360"/>
      <c r="D755" s="360"/>
      <c r="E755" s="360"/>
      <c r="F755" s="360"/>
      <c r="G755" s="360"/>
      <c r="H755" s="360"/>
      <c r="I755" s="360"/>
      <c r="J755" s="360"/>
      <c r="K755" s="360"/>
      <c r="L755" s="360"/>
      <c r="M755" s="360"/>
      <c r="N755" s="360"/>
      <c r="O755" s="360"/>
      <c r="P755" s="360"/>
      <c r="Q755" s="360"/>
      <c r="R755" s="360"/>
      <c r="S755" s="360"/>
      <c r="T755" s="360"/>
      <c r="U755" s="360"/>
      <c r="V755" s="360"/>
      <c r="W755" s="360"/>
      <c r="X755" s="360"/>
      <c r="Y755" s="360"/>
      <c r="Z755" s="360"/>
      <c r="AA755" s="360"/>
      <c r="AB755" s="360"/>
      <c r="AC755" s="360"/>
      <c r="AD755" s="360"/>
      <c r="AE755" s="360"/>
      <c r="AF755" s="360"/>
      <c r="AG755" s="360"/>
      <c r="AH755" s="360"/>
      <c r="AI755" s="360"/>
      <c r="AJ755" s="360"/>
      <c r="AK755" s="360"/>
      <c r="AL755" s="360"/>
      <c r="AM755" s="360"/>
      <c r="AN755" s="360"/>
      <c r="AO755" s="360"/>
      <c r="AP755" s="360"/>
      <c r="AQ755" s="360"/>
      <c r="AR755" s="360"/>
      <c r="AS755" s="360"/>
      <c r="AT755" s="360"/>
      <c r="AU755" s="360"/>
      <c r="AV755" s="360"/>
      <c r="AW755" s="360"/>
      <c r="AX755" s="360"/>
      <c r="AY755" s="360"/>
      <c r="AZ755" s="360"/>
      <c r="BA755" s="360"/>
      <c r="BB755" s="360"/>
      <c r="BC755" s="360"/>
      <c r="BD755" s="360"/>
      <c r="BE755" s="361"/>
    </row>
    <row r="756" spans="1:57" x14ac:dyDescent="0.25">
      <c r="B756" s="359"/>
      <c r="C756" s="418" t="s">
        <v>71</v>
      </c>
      <c r="D756" s="360"/>
      <c r="E756" s="360"/>
      <c r="F756" s="360"/>
      <c r="G756" s="360"/>
      <c r="H756" s="360"/>
      <c r="I756" s="360"/>
      <c r="J756" s="360"/>
      <c r="K756" s="360"/>
      <c r="L756" s="360"/>
      <c r="M756" s="360"/>
      <c r="N756" s="360"/>
      <c r="O756" s="360"/>
      <c r="P756" s="360"/>
      <c r="Q756" s="360"/>
      <c r="R756" s="360"/>
      <c r="S756" s="360"/>
      <c r="T756" s="360"/>
      <c r="U756" s="360"/>
      <c r="V756" s="360"/>
      <c r="W756" s="360"/>
      <c r="X756" s="360"/>
      <c r="Y756" s="360"/>
      <c r="Z756" s="360"/>
      <c r="AA756" s="360"/>
      <c r="AB756" s="360"/>
      <c r="AC756" s="360"/>
      <c r="AD756" s="360"/>
      <c r="AE756" s="360"/>
      <c r="AF756" s="360"/>
      <c r="AG756" s="360"/>
      <c r="AH756" s="360"/>
      <c r="AI756" s="360"/>
      <c r="AJ756" s="360"/>
      <c r="AK756" s="360"/>
      <c r="AL756" s="360"/>
      <c r="AM756" s="360"/>
      <c r="AN756" s="360"/>
      <c r="AO756" s="360"/>
      <c r="AP756" s="360"/>
      <c r="AQ756" s="360"/>
      <c r="AR756" s="360"/>
      <c r="AS756" s="360"/>
      <c r="AT756" s="360"/>
      <c r="AU756" s="360"/>
      <c r="AV756" s="360"/>
      <c r="AW756" s="360"/>
      <c r="AX756" s="360"/>
      <c r="AY756" s="360"/>
      <c r="AZ756" s="360"/>
      <c r="BA756" s="360"/>
      <c r="BB756" s="360"/>
      <c r="BC756" s="360"/>
      <c r="BD756" s="360"/>
      <c r="BE756" s="361"/>
    </row>
    <row r="757" spans="1:57" x14ac:dyDescent="0.25">
      <c r="B757" s="359"/>
      <c r="C757" s="360" t="str">
        <f>'II. Inputs, Baseline Energy Mix'!$E$82</f>
        <v xml:space="preserve">Front-end Fee </v>
      </c>
      <c r="D757" s="360"/>
      <c r="E757" s="360"/>
      <c r="F757" s="360"/>
      <c r="G757" s="360"/>
      <c r="H757" s="1288">
        <f>IF(G751&gt;0, G751*G753/10000, 0)</f>
        <v>0</v>
      </c>
      <c r="I757" s="1288">
        <v>0</v>
      </c>
      <c r="J757" s="1288">
        <v>0</v>
      </c>
      <c r="K757" s="1288">
        <v>0</v>
      </c>
      <c r="L757" s="1288">
        <v>0</v>
      </c>
      <c r="M757" s="1288">
        <v>0</v>
      </c>
      <c r="N757" s="1288">
        <v>0</v>
      </c>
      <c r="O757" s="1288">
        <v>0</v>
      </c>
      <c r="P757" s="1288">
        <v>0</v>
      </c>
      <c r="Q757" s="1288">
        <v>0</v>
      </c>
      <c r="R757" s="1288">
        <v>0</v>
      </c>
      <c r="S757" s="1288">
        <v>0</v>
      </c>
      <c r="T757" s="1288">
        <v>0</v>
      </c>
      <c r="U757" s="1288">
        <v>0</v>
      </c>
      <c r="V757" s="1288">
        <v>0</v>
      </c>
      <c r="W757" s="1288">
        <v>0</v>
      </c>
      <c r="X757" s="1288">
        <v>0</v>
      </c>
      <c r="Y757" s="1288">
        <v>0</v>
      </c>
      <c r="Z757" s="1288">
        <v>0</v>
      </c>
      <c r="AA757" s="1288">
        <v>0</v>
      </c>
      <c r="AB757" s="1288">
        <v>0</v>
      </c>
      <c r="AC757" s="1288">
        <v>0</v>
      </c>
      <c r="AD757" s="1288">
        <v>0</v>
      </c>
      <c r="AE757" s="1288">
        <v>0</v>
      </c>
      <c r="AF757" s="1288">
        <v>0</v>
      </c>
      <c r="AG757" s="1288">
        <v>0</v>
      </c>
      <c r="AH757" s="1288">
        <v>0</v>
      </c>
      <c r="AI757" s="1288">
        <v>0</v>
      </c>
      <c r="AJ757" s="1288">
        <v>0</v>
      </c>
      <c r="AK757" s="1288">
        <v>0</v>
      </c>
      <c r="AL757" s="1288">
        <v>0</v>
      </c>
      <c r="AM757" s="1288">
        <v>0</v>
      </c>
      <c r="AN757" s="1288">
        <v>0</v>
      </c>
      <c r="AO757" s="1288">
        <v>0</v>
      </c>
      <c r="AP757" s="1288">
        <v>0</v>
      </c>
      <c r="AQ757" s="1288">
        <v>0</v>
      </c>
      <c r="AR757" s="1288">
        <v>0</v>
      </c>
      <c r="AS757" s="1288">
        <v>0</v>
      </c>
      <c r="AT757" s="1288">
        <v>0</v>
      </c>
      <c r="AU757" s="1288">
        <v>0</v>
      </c>
      <c r="AV757" s="1288">
        <v>0</v>
      </c>
      <c r="AW757" s="1288">
        <v>0</v>
      </c>
      <c r="AX757" s="1288">
        <v>0</v>
      </c>
      <c r="AY757" s="1288">
        <v>0</v>
      </c>
      <c r="AZ757" s="1288">
        <v>0</v>
      </c>
      <c r="BA757" s="1288">
        <v>0</v>
      </c>
      <c r="BB757" s="1288">
        <v>0</v>
      </c>
      <c r="BC757" s="1288">
        <v>0</v>
      </c>
      <c r="BD757" s="1288">
        <v>0</v>
      </c>
      <c r="BE757" s="1291">
        <v>0</v>
      </c>
    </row>
    <row r="758" spans="1:57" x14ac:dyDescent="0.25">
      <c r="B758" s="359"/>
      <c r="C758" s="367" t="str">
        <f>'II. Inputs, Baseline Energy Mix'!$E$83</f>
        <v xml:space="preserve">Annual Political Risk Insurance Premium </v>
      </c>
      <c r="D758" s="367"/>
      <c r="E758" s="367"/>
      <c r="F758" s="367"/>
      <c r="G758" s="367"/>
      <c r="H758" s="1292">
        <f>IF(H$299&gt;$G752,0,($G751*$G754/10000))</f>
        <v>0</v>
      </c>
      <c r="I758" s="1292">
        <f>IF(I$299&gt;$G752,0,($G751*$G754/10000))</f>
        <v>0</v>
      </c>
      <c r="J758" s="1292">
        <f t="shared" ref="J758:BE758" si="247">IF(J$299&gt;$G752,0,($G751*$G754/10000))</f>
        <v>0</v>
      </c>
      <c r="K758" s="1292">
        <f t="shared" si="247"/>
        <v>0</v>
      </c>
      <c r="L758" s="1292">
        <f t="shared" si="247"/>
        <v>0</v>
      </c>
      <c r="M758" s="1292">
        <f t="shared" si="247"/>
        <v>0</v>
      </c>
      <c r="N758" s="1292">
        <f t="shared" si="247"/>
        <v>0</v>
      </c>
      <c r="O758" s="1292">
        <f t="shared" si="247"/>
        <v>0</v>
      </c>
      <c r="P758" s="1292">
        <f t="shared" si="247"/>
        <v>0</v>
      </c>
      <c r="Q758" s="1292">
        <f t="shared" si="247"/>
        <v>0</v>
      </c>
      <c r="R758" s="1292">
        <f t="shared" si="247"/>
        <v>0</v>
      </c>
      <c r="S758" s="1292">
        <f t="shared" si="247"/>
        <v>0</v>
      </c>
      <c r="T758" s="1292">
        <f t="shared" si="247"/>
        <v>0</v>
      </c>
      <c r="U758" s="1292">
        <f t="shared" si="247"/>
        <v>0</v>
      </c>
      <c r="V758" s="1292">
        <f t="shared" si="247"/>
        <v>0</v>
      </c>
      <c r="W758" s="1292">
        <f t="shared" si="247"/>
        <v>0</v>
      </c>
      <c r="X758" s="1292">
        <f t="shared" si="247"/>
        <v>0</v>
      </c>
      <c r="Y758" s="1292">
        <f t="shared" si="247"/>
        <v>0</v>
      </c>
      <c r="Z758" s="1292">
        <f t="shared" si="247"/>
        <v>0</v>
      </c>
      <c r="AA758" s="1292">
        <f t="shared" si="247"/>
        <v>0</v>
      </c>
      <c r="AB758" s="1292">
        <f t="shared" si="247"/>
        <v>0</v>
      </c>
      <c r="AC758" s="1292">
        <f t="shared" si="247"/>
        <v>0</v>
      </c>
      <c r="AD758" s="1292">
        <f t="shared" si="247"/>
        <v>0</v>
      </c>
      <c r="AE758" s="1292">
        <f t="shared" si="247"/>
        <v>0</v>
      </c>
      <c r="AF758" s="1292">
        <f t="shared" si="247"/>
        <v>0</v>
      </c>
      <c r="AG758" s="1292">
        <f t="shared" si="247"/>
        <v>0</v>
      </c>
      <c r="AH758" s="1292">
        <f t="shared" si="247"/>
        <v>0</v>
      </c>
      <c r="AI758" s="1292">
        <f t="shared" si="247"/>
        <v>0</v>
      </c>
      <c r="AJ758" s="1292">
        <f t="shared" si="247"/>
        <v>0</v>
      </c>
      <c r="AK758" s="1292">
        <f t="shared" si="247"/>
        <v>0</v>
      </c>
      <c r="AL758" s="1292">
        <f t="shared" si="247"/>
        <v>0</v>
      </c>
      <c r="AM758" s="1292">
        <f t="shared" si="247"/>
        <v>0</v>
      </c>
      <c r="AN758" s="1292">
        <f t="shared" si="247"/>
        <v>0</v>
      </c>
      <c r="AO758" s="1292">
        <f t="shared" si="247"/>
        <v>0</v>
      </c>
      <c r="AP758" s="1292">
        <f t="shared" si="247"/>
        <v>0</v>
      </c>
      <c r="AQ758" s="1292">
        <f t="shared" si="247"/>
        <v>0</v>
      </c>
      <c r="AR758" s="1292">
        <f t="shared" si="247"/>
        <v>0</v>
      </c>
      <c r="AS758" s="1292">
        <f t="shared" si="247"/>
        <v>0</v>
      </c>
      <c r="AT758" s="1292">
        <f t="shared" si="247"/>
        <v>0</v>
      </c>
      <c r="AU758" s="1292">
        <f t="shared" si="247"/>
        <v>0</v>
      </c>
      <c r="AV758" s="1292">
        <f t="shared" si="247"/>
        <v>0</v>
      </c>
      <c r="AW758" s="1292">
        <f t="shared" si="247"/>
        <v>0</v>
      </c>
      <c r="AX758" s="1292">
        <f t="shared" si="247"/>
        <v>0</v>
      </c>
      <c r="AY758" s="1292">
        <f t="shared" si="247"/>
        <v>0</v>
      </c>
      <c r="AZ758" s="1292">
        <f t="shared" si="247"/>
        <v>0</v>
      </c>
      <c r="BA758" s="1292">
        <f t="shared" si="247"/>
        <v>0</v>
      </c>
      <c r="BB758" s="1292">
        <f t="shared" si="247"/>
        <v>0</v>
      </c>
      <c r="BC758" s="1292">
        <f t="shared" si="247"/>
        <v>0</v>
      </c>
      <c r="BD758" s="1292">
        <f t="shared" si="247"/>
        <v>0</v>
      </c>
      <c r="BE758" s="1293">
        <f t="shared" si="247"/>
        <v>0</v>
      </c>
    </row>
    <row r="759" spans="1:57" x14ac:dyDescent="0.25">
      <c r="B759" s="359"/>
      <c r="C759" s="360" t="s">
        <v>85</v>
      </c>
      <c r="D759" s="360"/>
      <c r="E759" s="360"/>
      <c r="F759" s="360"/>
      <c r="G759" s="360"/>
      <c r="H759" s="1288">
        <f>H757+H758</f>
        <v>0</v>
      </c>
      <c r="I759" s="1288">
        <f t="shared" ref="I759:BE759" si="248">I757+I758</f>
        <v>0</v>
      </c>
      <c r="J759" s="1288">
        <f t="shared" si="248"/>
        <v>0</v>
      </c>
      <c r="K759" s="1288">
        <f t="shared" si="248"/>
        <v>0</v>
      </c>
      <c r="L759" s="1288">
        <f t="shared" si="248"/>
        <v>0</v>
      </c>
      <c r="M759" s="1288">
        <f t="shared" si="248"/>
        <v>0</v>
      </c>
      <c r="N759" s="1288">
        <f t="shared" si="248"/>
        <v>0</v>
      </c>
      <c r="O759" s="1288">
        <f t="shared" si="248"/>
        <v>0</v>
      </c>
      <c r="P759" s="1288">
        <f t="shared" si="248"/>
        <v>0</v>
      </c>
      <c r="Q759" s="1288">
        <f t="shared" si="248"/>
        <v>0</v>
      </c>
      <c r="R759" s="1288">
        <f t="shared" si="248"/>
        <v>0</v>
      </c>
      <c r="S759" s="1288">
        <f t="shared" si="248"/>
        <v>0</v>
      </c>
      <c r="T759" s="1288">
        <f t="shared" si="248"/>
        <v>0</v>
      </c>
      <c r="U759" s="1288">
        <f t="shared" si="248"/>
        <v>0</v>
      </c>
      <c r="V759" s="1288">
        <f t="shared" si="248"/>
        <v>0</v>
      </c>
      <c r="W759" s="1288">
        <f t="shared" si="248"/>
        <v>0</v>
      </c>
      <c r="X759" s="1288">
        <f t="shared" si="248"/>
        <v>0</v>
      </c>
      <c r="Y759" s="1288">
        <f t="shared" si="248"/>
        <v>0</v>
      </c>
      <c r="Z759" s="1288">
        <f t="shared" si="248"/>
        <v>0</v>
      </c>
      <c r="AA759" s="1288">
        <f t="shared" si="248"/>
        <v>0</v>
      </c>
      <c r="AB759" s="1288">
        <f t="shared" si="248"/>
        <v>0</v>
      </c>
      <c r="AC759" s="1288">
        <f t="shared" si="248"/>
        <v>0</v>
      </c>
      <c r="AD759" s="1288">
        <f t="shared" si="248"/>
        <v>0</v>
      </c>
      <c r="AE759" s="1288">
        <f t="shared" si="248"/>
        <v>0</v>
      </c>
      <c r="AF759" s="1288">
        <f t="shared" si="248"/>
        <v>0</v>
      </c>
      <c r="AG759" s="1288">
        <f t="shared" si="248"/>
        <v>0</v>
      </c>
      <c r="AH759" s="1288">
        <f t="shared" si="248"/>
        <v>0</v>
      </c>
      <c r="AI759" s="1288">
        <f t="shared" si="248"/>
        <v>0</v>
      </c>
      <c r="AJ759" s="1288">
        <f t="shared" si="248"/>
        <v>0</v>
      </c>
      <c r="AK759" s="1288">
        <f t="shared" si="248"/>
        <v>0</v>
      </c>
      <c r="AL759" s="1288">
        <f t="shared" si="248"/>
        <v>0</v>
      </c>
      <c r="AM759" s="1288">
        <f t="shared" si="248"/>
        <v>0</v>
      </c>
      <c r="AN759" s="1288">
        <f t="shared" si="248"/>
        <v>0</v>
      </c>
      <c r="AO759" s="1288">
        <f t="shared" si="248"/>
        <v>0</v>
      </c>
      <c r="AP759" s="1288">
        <f t="shared" si="248"/>
        <v>0</v>
      </c>
      <c r="AQ759" s="1288">
        <f t="shared" si="248"/>
        <v>0</v>
      </c>
      <c r="AR759" s="1288">
        <f t="shared" si="248"/>
        <v>0</v>
      </c>
      <c r="AS759" s="1288">
        <f t="shared" si="248"/>
        <v>0</v>
      </c>
      <c r="AT759" s="1288">
        <f t="shared" si="248"/>
        <v>0</v>
      </c>
      <c r="AU759" s="1288">
        <f t="shared" si="248"/>
        <v>0</v>
      </c>
      <c r="AV759" s="1288">
        <f t="shared" si="248"/>
        <v>0</v>
      </c>
      <c r="AW759" s="1288">
        <f t="shared" si="248"/>
        <v>0</v>
      </c>
      <c r="AX759" s="1288">
        <f t="shared" si="248"/>
        <v>0</v>
      </c>
      <c r="AY759" s="1288">
        <f t="shared" si="248"/>
        <v>0</v>
      </c>
      <c r="AZ759" s="1288">
        <f t="shared" si="248"/>
        <v>0</v>
      </c>
      <c r="BA759" s="1288">
        <f t="shared" si="248"/>
        <v>0</v>
      </c>
      <c r="BB759" s="1288">
        <f t="shared" si="248"/>
        <v>0</v>
      </c>
      <c r="BC759" s="1288">
        <f t="shared" si="248"/>
        <v>0</v>
      </c>
      <c r="BD759" s="1288">
        <f t="shared" si="248"/>
        <v>0</v>
      </c>
      <c r="BE759" s="1291">
        <f t="shared" si="248"/>
        <v>0</v>
      </c>
    </row>
    <row r="760" spans="1:57" ht="13.8" thickBot="1" x14ac:dyDescent="0.3">
      <c r="B760" s="420"/>
      <c r="C760" s="380"/>
      <c r="D760" s="380"/>
      <c r="E760" s="380"/>
      <c r="F760" s="380"/>
      <c r="G760" s="380"/>
      <c r="H760" s="381"/>
      <c r="I760" s="381"/>
      <c r="J760" s="381"/>
      <c r="K760" s="381"/>
      <c r="L760" s="381"/>
      <c r="M760" s="381"/>
      <c r="N760" s="381"/>
      <c r="O760" s="381"/>
      <c r="P760" s="381"/>
      <c r="Q760" s="381"/>
      <c r="R760" s="381"/>
      <c r="S760" s="381"/>
      <c r="T760" s="381"/>
      <c r="U760" s="381"/>
      <c r="V760" s="381"/>
      <c r="W760" s="381"/>
      <c r="X760" s="381"/>
      <c r="Y760" s="381"/>
      <c r="Z760" s="381"/>
      <c r="AA760" s="381"/>
      <c r="AB760" s="381"/>
      <c r="AC760" s="381"/>
      <c r="AD760" s="381"/>
      <c r="AE760" s="381"/>
      <c r="AF760" s="381"/>
      <c r="AG760" s="381"/>
      <c r="AH760" s="381"/>
      <c r="AI760" s="381"/>
      <c r="AJ760" s="381"/>
      <c r="AK760" s="381"/>
      <c r="AL760" s="381"/>
      <c r="AM760" s="381"/>
      <c r="AN760" s="381"/>
      <c r="AO760" s="381"/>
      <c r="AP760" s="381"/>
      <c r="AQ760" s="381"/>
      <c r="AR760" s="381"/>
      <c r="AS760" s="381"/>
      <c r="AT760" s="381"/>
      <c r="AU760" s="381"/>
      <c r="AV760" s="381"/>
      <c r="AW760" s="381"/>
      <c r="AX760" s="381"/>
      <c r="AY760" s="381"/>
      <c r="AZ760" s="381"/>
      <c r="BA760" s="381"/>
      <c r="BB760" s="381"/>
      <c r="BC760" s="381"/>
      <c r="BD760" s="381"/>
      <c r="BE760" s="421"/>
    </row>
    <row r="761" spans="1:57" x14ac:dyDescent="0.25">
      <c r="H761" s="250"/>
      <c r="I761" s="250"/>
      <c r="J761" s="250"/>
      <c r="K761" s="250"/>
      <c r="L761" s="250"/>
      <c r="M761" s="250"/>
      <c r="N761" s="250"/>
      <c r="O761" s="250"/>
      <c r="P761" s="250"/>
      <c r="Q761" s="250"/>
      <c r="R761" s="250"/>
      <c r="S761" s="250"/>
      <c r="T761" s="250"/>
      <c r="U761" s="250"/>
      <c r="V761" s="250"/>
      <c r="W761" s="250"/>
      <c r="X761" s="250"/>
      <c r="Y761" s="250"/>
      <c r="Z761" s="250"/>
      <c r="AA761" s="250"/>
      <c r="AB761" s="250"/>
      <c r="AC761" s="250"/>
      <c r="AD761" s="250"/>
      <c r="AE761" s="250"/>
      <c r="AF761" s="250"/>
      <c r="AG761" s="250"/>
      <c r="AH761" s="250"/>
      <c r="AI761" s="250"/>
      <c r="AJ761" s="250"/>
      <c r="AK761" s="250"/>
      <c r="AL761" s="250"/>
      <c r="AM761" s="250"/>
      <c r="AN761" s="250"/>
      <c r="AO761" s="250"/>
      <c r="AP761" s="250"/>
      <c r="AQ761" s="250"/>
      <c r="AR761" s="250"/>
      <c r="AS761" s="250"/>
      <c r="AT761" s="250"/>
      <c r="AU761" s="250"/>
      <c r="AV761" s="250"/>
      <c r="AW761" s="250"/>
      <c r="AX761" s="250"/>
      <c r="AY761" s="250"/>
      <c r="AZ761" s="250"/>
      <c r="BA761" s="250"/>
      <c r="BB761" s="250"/>
      <c r="BC761" s="250"/>
      <c r="BD761" s="250"/>
      <c r="BE761" s="250"/>
    </row>
    <row r="762" spans="1:57" s="8" customFormat="1" ht="12.75" customHeight="1" x14ac:dyDescent="0.25">
      <c r="A762" s="44" t="s">
        <v>262</v>
      </c>
      <c r="B762" s="44"/>
      <c r="C762" s="44"/>
      <c r="D762" s="44"/>
      <c r="E762" s="44"/>
      <c r="F762" s="44"/>
      <c r="G762" s="44"/>
      <c r="H762" s="44"/>
      <c r="I762" s="44"/>
      <c r="J762" s="45"/>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6"/>
      <c r="AY762" s="46"/>
      <c r="AZ762" s="46"/>
      <c r="BA762" s="46"/>
      <c r="BB762" s="46"/>
      <c r="BC762" s="46"/>
      <c r="BD762" s="46"/>
      <c r="BE762" s="46"/>
    </row>
    <row r="763" spans="1:57" x14ac:dyDescent="0.25">
      <c r="H763" s="250"/>
      <c r="I763" s="250"/>
      <c r="J763" s="250"/>
      <c r="K763" s="250"/>
      <c r="L763" s="250"/>
      <c r="M763" s="250"/>
      <c r="N763" s="250"/>
      <c r="O763" s="250"/>
      <c r="P763" s="250"/>
      <c r="Q763" s="250"/>
      <c r="R763" s="250"/>
      <c r="S763" s="250"/>
      <c r="T763" s="250"/>
      <c r="U763" s="250"/>
      <c r="V763" s="250"/>
      <c r="W763" s="250"/>
      <c r="X763" s="250"/>
      <c r="Y763" s="250"/>
      <c r="Z763" s="250"/>
      <c r="AA763" s="250"/>
      <c r="AB763" s="250"/>
      <c r="AC763" s="250"/>
      <c r="AD763" s="250"/>
      <c r="AE763" s="250"/>
      <c r="AF763" s="250"/>
      <c r="AG763" s="250"/>
      <c r="AH763" s="250"/>
      <c r="AI763" s="250"/>
      <c r="AJ763" s="250"/>
      <c r="AK763" s="250"/>
      <c r="AL763" s="250"/>
      <c r="AM763" s="250"/>
      <c r="AN763" s="250"/>
      <c r="AO763" s="250"/>
      <c r="AP763" s="250"/>
      <c r="AQ763" s="250"/>
      <c r="AR763" s="250"/>
      <c r="AS763" s="250"/>
      <c r="AT763" s="250"/>
      <c r="AU763" s="250"/>
      <c r="AV763" s="250"/>
      <c r="AW763" s="250"/>
      <c r="AX763" s="250"/>
      <c r="AY763" s="250"/>
      <c r="AZ763" s="250"/>
      <c r="BA763" s="250"/>
      <c r="BB763" s="250"/>
      <c r="BC763" s="250"/>
      <c r="BD763" s="250"/>
      <c r="BE763" s="250"/>
    </row>
    <row r="764" spans="1:57" s="36" customFormat="1" x14ac:dyDescent="0.25">
      <c r="B764" s="214" t="s">
        <v>58</v>
      </c>
      <c r="C764" s="215"/>
      <c r="D764" s="215"/>
      <c r="E764" s="216"/>
      <c r="F764" s="215"/>
      <c r="G764" s="216">
        <v>0</v>
      </c>
      <c r="H764" s="216">
        <v>1</v>
      </c>
      <c r="I764" s="216">
        <v>2</v>
      </c>
      <c r="J764" s="216">
        <v>3</v>
      </c>
      <c r="K764" s="216">
        <v>4</v>
      </c>
      <c r="L764" s="216">
        <v>5</v>
      </c>
      <c r="M764" s="216">
        <v>6</v>
      </c>
      <c r="N764" s="216">
        <v>7</v>
      </c>
      <c r="O764" s="216">
        <v>8</v>
      </c>
      <c r="P764" s="216">
        <v>9</v>
      </c>
      <c r="Q764" s="216">
        <v>10</v>
      </c>
      <c r="R764" s="216">
        <v>11</v>
      </c>
      <c r="S764" s="216">
        <v>12</v>
      </c>
      <c r="T764" s="216">
        <v>13</v>
      </c>
      <c r="U764" s="216">
        <v>14</v>
      </c>
      <c r="V764" s="216">
        <v>15</v>
      </c>
      <c r="W764" s="216">
        <v>16</v>
      </c>
      <c r="X764" s="216">
        <v>17</v>
      </c>
      <c r="Y764" s="216">
        <v>18</v>
      </c>
      <c r="Z764" s="216">
        <v>19</v>
      </c>
      <c r="AA764" s="216">
        <v>20</v>
      </c>
      <c r="AB764" s="216">
        <v>21</v>
      </c>
      <c r="AC764" s="216">
        <v>22</v>
      </c>
      <c r="AD764" s="216">
        <v>23</v>
      </c>
      <c r="AE764" s="216">
        <v>24</v>
      </c>
      <c r="AF764" s="216">
        <v>25</v>
      </c>
      <c r="AG764" s="216">
        <v>26</v>
      </c>
      <c r="AH764" s="216">
        <v>27</v>
      </c>
      <c r="AI764" s="216">
        <v>28</v>
      </c>
      <c r="AJ764" s="216">
        <v>29</v>
      </c>
      <c r="AK764" s="216">
        <v>30</v>
      </c>
      <c r="AL764" s="216">
        <v>31</v>
      </c>
      <c r="AM764" s="216">
        <v>32</v>
      </c>
      <c r="AN764" s="216">
        <v>33</v>
      </c>
      <c r="AO764" s="216">
        <v>34</v>
      </c>
      <c r="AP764" s="216">
        <v>35</v>
      </c>
      <c r="AQ764" s="216">
        <v>36</v>
      </c>
      <c r="AR764" s="216">
        <v>37</v>
      </c>
      <c r="AS764" s="216">
        <v>38</v>
      </c>
      <c r="AT764" s="216">
        <v>39</v>
      </c>
      <c r="AU764" s="216">
        <v>40</v>
      </c>
      <c r="AV764" s="216">
        <v>41</v>
      </c>
      <c r="AW764" s="216">
        <v>42</v>
      </c>
      <c r="AX764" s="216">
        <v>43</v>
      </c>
      <c r="AY764" s="216">
        <v>44</v>
      </c>
      <c r="AZ764" s="216">
        <v>45</v>
      </c>
      <c r="BA764" s="216">
        <v>46</v>
      </c>
      <c r="BB764" s="216">
        <v>47</v>
      </c>
      <c r="BC764" s="216">
        <v>48</v>
      </c>
      <c r="BD764" s="216">
        <v>49</v>
      </c>
      <c r="BE764" s="216">
        <v>50</v>
      </c>
    </row>
    <row r="765" spans="1:57" x14ac:dyDescent="0.25">
      <c r="H765" s="250"/>
      <c r="I765" s="250"/>
      <c r="J765" s="250"/>
      <c r="K765" s="250"/>
      <c r="L765" s="250"/>
      <c r="M765" s="250"/>
      <c r="N765" s="250"/>
      <c r="O765" s="250"/>
      <c r="P765" s="250"/>
      <c r="Q765" s="250"/>
      <c r="R765" s="250"/>
      <c r="S765" s="250"/>
      <c r="T765" s="250"/>
      <c r="U765" s="250"/>
      <c r="V765" s="250"/>
      <c r="W765" s="250"/>
      <c r="X765" s="250"/>
      <c r="Y765" s="250"/>
      <c r="Z765" s="250"/>
      <c r="AA765" s="250"/>
      <c r="AB765" s="250"/>
      <c r="AC765" s="250"/>
      <c r="AD765" s="250"/>
      <c r="AE765" s="250"/>
      <c r="AF765" s="250"/>
      <c r="AG765" s="250"/>
      <c r="AH765" s="250"/>
      <c r="AI765" s="250"/>
      <c r="AJ765" s="250"/>
      <c r="AK765" s="250"/>
      <c r="AL765" s="250"/>
      <c r="AM765" s="250"/>
      <c r="AN765" s="250"/>
      <c r="AO765" s="250"/>
      <c r="AP765" s="250"/>
      <c r="AQ765" s="250"/>
      <c r="AR765" s="250"/>
      <c r="AS765" s="250"/>
      <c r="AT765" s="250"/>
      <c r="AU765" s="250"/>
      <c r="AV765" s="250"/>
      <c r="AW765" s="250"/>
      <c r="AX765" s="250"/>
      <c r="AY765" s="250"/>
      <c r="AZ765" s="250"/>
      <c r="BA765" s="250"/>
      <c r="BB765" s="250"/>
      <c r="BC765" s="250"/>
      <c r="BD765" s="250"/>
      <c r="BE765" s="250"/>
    </row>
    <row r="766" spans="1:57" x14ac:dyDescent="0.25">
      <c r="B766" s="422"/>
      <c r="C766" s="423" t="str">
        <f>'II. Inputs, Baseline Energy Mix'!N14</f>
        <v>Natural Gas</v>
      </c>
      <c r="D766" s="424"/>
      <c r="E766" s="424"/>
      <c r="F766" s="424"/>
      <c r="G766" s="424"/>
      <c r="H766" s="424"/>
      <c r="I766" s="425"/>
      <c r="J766" s="425"/>
      <c r="K766" s="425"/>
      <c r="L766" s="425"/>
      <c r="M766" s="425"/>
      <c r="N766" s="425"/>
      <c r="O766" s="425"/>
      <c r="P766" s="425"/>
      <c r="Q766" s="425"/>
      <c r="R766" s="425"/>
      <c r="S766" s="425"/>
      <c r="T766" s="425"/>
      <c r="U766" s="425"/>
      <c r="V766" s="425"/>
      <c r="W766" s="425"/>
      <c r="X766" s="425"/>
      <c r="Y766" s="425"/>
      <c r="Z766" s="425"/>
      <c r="AA766" s="425"/>
      <c r="AB766" s="425"/>
      <c r="AC766" s="425"/>
      <c r="AD766" s="425"/>
      <c r="AE766" s="425"/>
      <c r="AF766" s="425"/>
      <c r="AG766" s="425"/>
      <c r="AH766" s="425"/>
      <c r="AI766" s="425"/>
      <c r="AJ766" s="425"/>
      <c r="AK766" s="425"/>
      <c r="AL766" s="425"/>
      <c r="AM766" s="425"/>
      <c r="AN766" s="425"/>
      <c r="AO766" s="425"/>
      <c r="AP766" s="425"/>
      <c r="AQ766" s="425"/>
      <c r="AR766" s="425"/>
      <c r="AS766" s="425"/>
      <c r="AT766" s="425"/>
      <c r="AU766" s="425"/>
      <c r="AV766" s="425"/>
      <c r="AW766" s="425"/>
      <c r="AX766" s="425"/>
      <c r="AY766" s="425"/>
      <c r="AZ766" s="425"/>
      <c r="BA766" s="425"/>
      <c r="BB766" s="425"/>
      <c r="BC766" s="425"/>
      <c r="BD766" s="425"/>
      <c r="BE766" s="426"/>
    </row>
    <row r="767" spans="1:57" x14ac:dyDescent="0.25">
      <c r="B767" s="427"/>
      <c r="C767" s="221"/>
      <c r="D767" s="221"/>
      <c r="E767" s="221"/>
      <c r="F767" s="221"/>
      <c r="G767" s="221"/>
      <c r="H767" s="221"/>
      <c r="I767" s="237"/>
      <c r="J767" s="237"/>
      <c r="K767" s="237"/>
      <c r="L767" s="237"/>
      <c r="M767" s="237"/>
      <c r="N767" s="237"/>
      <c r="O767" s="237"/>
      <c r="P767" s="237"/>
      <c r="Q767" s="237"/>
      <c r="R767" s="237"/>
      <c r="S767" s="237"/>
      <c r="T767" s="237"/>
      <c r="U767" s="237"/>
      <c r="V767" s="237"/>
      <c r="W767" s="237"/>
      <c r="X767" s="237"/>
      <c r="Y767" s="237"/>
      <c r="Z767" s="237"/>
      <c r="AA767" s="237"/>
      <c r="AB767" s="237"/>
      <c r="AC767" s="237"/>
      <c r="AD767" s="237"/>
      <c r="AE767" s="237"/>
      <c r="AF767" s="237"/>
      <c r="AG767" s="237"/>
      <c r="AH767" s="237"/>
      <c r="AI767" s="237"/>
      <c r="AJ767" s="237"/>
      <c r="AK767" s="237"/>
      <c r="AL767" s="237"/>
      <c r="AM767" s="237"/>
      <c r="AN767" s="237"/>
      <c r="AO767" s="237"/>
      <c r="AP767" s="237"/>
      <c r="AQ767" s="237"/>
      <c r="AR767" s="237"/>
      <c r="AS767" s="237"/>
      <c r="AT767" s="237"/>
      <c r="AU767" s="237"/>
      <c r="AV767" s="237"/>
      <c r="AW767" s="237"/>
      <c r="AX767" s="237"/>
      <c r="AY767" s="237"/>
      <c r="AZ767" s="237"/>
      <c r="BA767" s="237"/>
      <c r="BB767" s="237"/>
      <c r="BC767" s="237"/>
      <c r="BD767" s="237"/>
      <c r="BE767" s="428"/>
    </row>
    <row r="768" spans="1:57" x14ac:dyDescent="0.25">
      <c r="B768" s="427"/>
      <c r="C768" s="429" t="s">
        <v>64</v>
      </c>
      <c r="D768" s="430">
        <f>'II. Inputs, Baseline Energy Mix'!$N$18</f>
        <v>25</v>
      </c>
      <c r="E768" s="431" t="s">
        <v>20</v>
      </c>
      <c r="F768" s="221"/>
      <c r="G768" s="221"/>
      <c r="H768" s="221"/>
      <c r="I768" s="237"/>
      <c r="J768" s="237"/>
      <c r="K768" s="237"/>
      <c r="L768" s="237"/>
      <c r="M768" s="237"/>
      <c r="N768" s="237"/>
      <c r="O768" s="237"/>
      <c r="P768" s="237"/>
      <c r="Q768" s="237"/>
      <c r="R768" s="237"/>
      <c r="S768" s="237"/>
      <c r="T768" s="237"/>
      <c r="U768" s="237"/>
      <c r="V768" s="237"/>
      <c r="W768" s="237"/>
      <c r="X768" s="237"/>
      <c r="Y768" s="237"/>
      <c r="Z768" s="237"/>
      <c r="AA768" s="237"/>
      <c r="AB768" s="237"/>
      <c r="AC768" s="237"/>
      <c r="AD768" s="237"/>
      <c r="AE768" s="237"/>
      <c r="AF768" s="237"/>
      <c r="AG768" s="237"/>
      <c r="AH768" s="237"/>
      <c r="AI768" s="237"/>
      <c r="AJ768" s="237"/>
      <c r="AK768" s="237"/>
      <c r="AL768" s="237"/>
      <c r="AM768" s="237"/>
      <c r="AN768" s="237"/>
      <c r="AO768" s="237"/>
      <c r="AP768" s="237"/>
      <c r="AQ768" s="237"/>
      <c r="AR768" s="237"/>
      <c r="AS768" s="237"/>
      <c r="AT768" s="237"/>
      <c r="AU768" s="237"/>
      <c r="AV768" s="237"/>
      <c r="AW768" s="237"/>
      <c r="AX768" s="237"/>
      <c r="AY768" s="237"/>
      <c r="AZ768" s="237"/>
      <c r="BA768" s="237"/>
      <c r="BB768" s="237"/>
      <c r="BC768" s="237"/>
      <c r="BD768" s="237"/>
      <c r="BE768" s="428"/>
    </row>
    <row r="769" spans="2:57" x14ac:dyDescent="0.25">
      <c r="B769" s="427"/>
      <c r="C769" s="221"/>
      <c r="D769" s="221"/>
      <c r="E769" s="221"/>
      <c r="F769" s="221"/>
      <c r="G769" s="221"/>
      <c r="H769" s="221"/>
      <c r="I769" s="237"/>
      <c r="J769" s="237"/>
      <c r="K769" s="237"/>
      <c r="L769" s="237"/>
      <c r="M769" s="237"/>
      <c r="N769" s="237"/>
      <c r="O769" s="237"/>
      <c r="P769" s="237"/>
      <c r="Q769" s="237"/>
      <c r="R769" s="237"/>
      <c r="S769" s="237"/>
      <c r="T769" s="237"/>
      <c r="U769" s="237"/>
      <c r="V769" s="237"/>
      <c r="W769" s="237"/>
      <c r="X769" s="237"/>
      <c r="Y769" s="237"/>
      <c r="Z769" s="237"/>
      <c r="AA769" s="237"/>
      <c r="AB769" s="237"/>
      <c r="AC769" s="237"/>
      <c r="AD769" s="237"/>
      <c r="AE769" s="237"/>
      <c r="AF769" s="237"/>
      <c r="AG769" s="237"/>
      <c r="AH769" s="237"/>
      <c r="AI769" s="237"/>
      <c r="AJ769" s="237"/>
      <c r="AK769" s="237"/>
      <c r="AL769" s="237"/>
      <c r="AM769" s="237"/>
      <c r="AN769" s="237"/>
      <c r="AO769" s="237"/>
      <c r="AP769" s="237"/>
      <c r="AQ769" s="237"/>
      <c r="AR769" s="237"/>
      <c r="AS769" s="237"/>
      <c r="AT769" s="237"/>
      <c r="AU769" s="237"/>
      <c r="AV769" s="237"/>
      <c r="AW769" s="237"/>
      <c r="AX769" s="237"/>
      <c r="AY769" s="237"/>
      <c r="AZ769" s="237"/>
      <c r="BA769" s="237"/>
      <c r="BB769" s="237"/>
      <c r="BC769" s="237"/>
      <c r="BD769" s="237"/>
      <c r="BE769" s="428"/>
    </row>
    <row r="770" spans="2:57" x14ac:dyDescent="0.25">
      <c r="B770" s="427"/>
      <c r="C770" s="221" t="s">
        <v>59</v>
      </c>
      <c r="D770" s="221"/>
      <c r="E770" s="221"/>
      <c r="F770" s="221"/>
      <c r="G770" s="432"/>
      <c r="H770" s="433">
        <f>IF(H$764&gt;$D768,0,1/$D768)</f>
        <v>0.04</v>
      </c>
      <c r="I770" s="433">
        <f t="shared" ref="I770:BE770" si="249">IF(I$764&gt;$D768,0,1/$D768)</f>
        <v>0.04</v>
      </c>
      <c r="J770" s="433">
        <f t="shared" si="249"/>
        <v>0.04</v>
      </c>
      <c r="K770" s="433">
        <f t="shared" si="249"/>
        <v>0.04</v>
      </c>
      <c r="L770" s="433">
        <f t="shared" si="249"/>
        <v>0.04</v>
      </c>
      <c r="M770" s="433">
        <f t="shared" si="249"/>
        <v>0.04</v>
      </c>
      <c r="N770" s="433">
        <f t="shared" si="249"/>
        <v>0.04</v>
      </c>
      <c r="O770" s="433">
        <f t="shared" si="249"/>
        <v>0.04</v>
      </c>
      <c r="P770" s="433">
        <f t="shared" si="249"/>
        <v>0.04</v>
      </c>
      <c r="Q770" s="433">
        <f t="shared" si="249"/>
        <v>0.04</v>
      </c>
      <c r="R770" s="433">
        <f t="shared" si="249"/>
        <v>0.04</v>
      </c>
      <c r="S770" s="433">
        <f t="shared" si="249"/>
        <v>0.04</v>
      </c>
      <c r="T770" s="433">
        <f t="shared" si="249"/>
        <v>0.04</v>
      </c>
      <c r="U770" s="433">
        <f t="shared" si="249"/>
        <v>0.04</v>
      </c>
      <c r="V770" s="433">
        <f t="shared" si="249"/>
        <v>0.04</v>
      </c>
      <c r="W770" s="433">
        <f t="shared" si="249"/>
        <v>0.04</v>
      </c>
      <c r="X770" s="433">
        <f t="shared" si="249"/>
        <v>0.04</v>
      </c>
      <c r="Y770" s="433">
        <f t="shared" si="249"/>
        <v>0.04</v>
      </c>
      <c r="Z770" s="433">
        <f t="shared" si="249"/>
        <v>0.04</v>
      </c>
      <c r="AA770" s="433">
        <f t="shared" si="249"/>
        <v>0.04</v>
      </c>
      <c r="AB770" s="433">
        <f t="shared" si="249"/>
        <v>0.04</v>
      </c>
      <c r="AC770" s="433">
        <f t="shared" si="249"/>
        <v>0.04</v>
      </c>
      <c r="AD770" s="433">
        <f t="shared" si="249"/>
        <v>0.04</v>
      </c>
      <c r="AE770" s="433">
        <f t="shared" si="249"/>
        <v>0.04</v>
      </c>
      <c r="AF770" s="433">
        <f t="shared" si="249"/>
        <v>0.04</v>
      </c>
      <c r="AG770" s="433">
        <f t="shared" si="249"/>
        <v>0</v>
      </c>
      <c r="AH770" s="433">
        <f t="shared" si="249"/>
        <v>0</v>
      </c>
      <c r="AI770" s="433">
        <f t="shared" si="249"/>
        <v>0</v>
      </c>
      <c r="AJ770" s="433">
        <f t="shared" si="249"/>
        <v>0</v>
      </c>
      <c r="AK770" s="433">
        <f t="shared" si="249"/>
        <v>0</v>
      </c>
      <c r="AL770" s="433">
        <f t="shared" si="249"/>
        <v>0</v>
      </c>
      <c r="AM770" s="433">
        <f t="shared" si="249"/>
        <v>0</v>
      </c>
      <c r="AN770" s="433">
        <f t="shared" si="249"/>
        <v>0</v>
      </c>
      <c r="AO770" s="433">
        <f t="shared" si="249"/>
        <v>0</v>
      </c>
      <c r="AP770" s="433">
        <f t="shared" si="249"/>
        <v>0</v>
      </c>
      <c r="AQ770" s="433">
        <f t="shared" si="249"/>
        <v>0</v>
      </c>
      <c r="AR770" s="433">
        <f t="shared" si="249"/>
        <v>0</v>
      </c>
      <c r="AS770" s="433">
        <f t="shared" si="249"/>
        <v>0</v>
      </c>
      <c r="AT770" s="433">
        <f t="shared" si="249"/>
        <v>0</v>
      </c>
      <c r="AU770" s="433">
        <f t="shared" si="249"/>
        <v>0</v>
      </c>
      <c r="AV770" s="433">
        <f t="shared" si="249"/>
        <v>0</v>
      </c>
      <c r="AW770" s="433">
        <f t="shared" si="249"/>
        <v>0</v>
      </c>
      <c r="AX770" s="433">
        <f t="shared" si="249"/>
        <v>0</v>
      </c>
      <c r="AY770" s="433">
        <f t="shared" si="249"/>
        <v>0</v>
      </c>
      <c r="AZ770" s="433">
        <f t="shared" si="249"/>
        <v>0</v>
      </c>
      <c r="BA770" s="433">
        <f t="shared" si="249"/>
        <v>0</v>
      </c>
      <c r="BB770" s="433">
        <f t="shared" si="249"/>
        <v>0</v>
      </c>
      <c r="BC770" s="433">
        <f t="shared" si="249"/>
        <v>0</v>
      </c>
      <c r="BD770" s="433">
        <f t="shared" si="249"/>
        <v>0</v>
      </c>
      <c r="BE770" s="434">
        <f t="shared" si="249"/>
        <v>0</v>
      </c>
    </row>
    <row r="771" spans="2:57" x14ac:dyDescent="0.25">
      <c r="B771" s="427"/>
      <c r="C771" s="221" t="s">
        <v>60</v>
      </c>
      <c r="D771" s="221"/>
      <c r="E771" s="221"/>
      <c r="F771" s="221"/>
      <c r="G771" s="384"/>
      <c r="H771" s="433">
        <v>0</v>
      </c>
      <c r="I771" s="433">
        <v>0</v>
      </c>
      <c r="J771" s="433">
        <v>0</v>
      </c>
      <c r="K771" s="433">
        <v>0</v>
      </c>
      <c r="L771" s="433">
        <v>0</v>
      </c>
      <c r="M771" s="433">
        <v>0</v>
      </c>
      <c r="N771" s="433">
        <v>0</v>
      </c>
      <c r="O771" s="433">
        <v>0</v>
      </c>
      <c r="P771" s="433">
        <v>0</v>
      </c>
      <c r="Q771" s="433">
        <v>0</v>
      </c>
      <c r="R771" s="433">
        <v>0</v>
      </c>
      <c r="S771" s="433">
        <v>0</v>
      </c>
      <c r="T771" s="433">
        <v>0</v>
      </c>
      <c r="U771" s="433">
        <v>0</v>
      </c>
      <c r="V771" s="433">
        <v>0</v>
      </c>
      <c r="W771" s="433">
        <v>0</v>
      </c>
      <c r="X771" s="433">
        <v>0</v>
      </c>
      <c r="Y771" s="433">
        <v>0</v>
      </c>
      <c r="Z771" s="433">
        <v>0</v>
      </c>
      <c r="AA771" s="433">
        <v>0</v>
      </c>
      <c r="AB771" s="433">
        <v>0</v>
      </c>
      <c r="AC771" s="433">
        <v>0</v>
      </c>
      <c r="AD771" s="433">
        <v>0</v>
      </c>
      <c r="AE771" s="433">
        <v>0</v>
      </c>
      <c r="AF771" s="433">
        <v>0</v>
      </c>
      <c r="AG771" s="433">
        <v>0</v>
      </c>
      <c r="AH771" s="433">
        <v>0</v>
      </c>
      <c r="AI771" s="433">
        <v>0</v>
      </c>
      <c r="AJ771" s="433">
        <v>0</v>
      </c>
      <c r="AK771" s="433">
        <v>0</v>
      </c>
      <c r="AL771" s="433">
        <v>0</v>
      </c>
      <c r="AM771" s="433">
        <v>0</v>
      </c>
      <c r="AN771" s="433">
        <v>0</v>
      </c>
      <c r="AO771" s="433">
        <v>0</v>
      </c>
      <c r="AP771" s="433">
        <v>0</v>
      </c>
      <c r="AQ771" s="433">
        <v>0</v>
      </c>
      <c r="AR771" s="433">
        <v>0</v>
      </c>
      <c r="AS771" s="433">
        <v>0</v>
      </c>
      <c r="AT771" s="433">
        <v>0</v>
      </c>
      <c r="AU771" s="433">
        <v>0</v>
      </c>
      <c r="AV771" s="433">
        <v>0</v>
      </c>
      <c r="AW771" s="433">
        <v>0</v>
      </c>
      <c r="AX771" s="433">
        <v>0</v>
      </c>
      <c r="AY771" s="433">
        <v>0</v>
      </c>
      <c r="AZ771" s="433">
        <v>0</v>
      </c>
      <c r="BA771" s="433">
        <v>0</v>
      </c>
      <c r="BB771" s="433">
        <v>0</v>
      </c>
      <c r="BC771" s="433">
        <v>0</v>
      </c>
      <c r="BD771" s="433">
        <v>0</v>
      </c>
      <c r="BE771" s="434">
        <v>0</v>
      </c>
    </row>
    <row r="772" spans="2:57" x14ac:dyDescent="0.25">
      <c r="B772" s="427"/>
      <c r="C772" s="221"/>
      <c r="D772" s="221"/>
      <c r="E772" s="221"/>
      <c r="F772" s="221"/>
      <c r="G772" s="221"/>
      <c r="H772" s="237"/>
      <c r="I772" s="237"/>
      <c r="J772" s="237"/>
      <c r="K772" s="237"/>
      <c r="L772" s="237"/>
      <c r="M772" s="237"/>
      <c r="N772" s="237"/>
      <c r="O772" s="237"/>
      <c r="P772" s="237"/>
      <c r="Q772" s="237"/>
      <c r="R772" s="237"/>
      <c r="S772" s="237"/>
      <c r="T772" s="237"/>
      <c r="U772" s="237"/>
      <c r="V772" s="237"/>
      <c r="W772" s="237"/>
      <c r="X772" s="237"/>
      <c r="Y772" s="237"/>
      <c r="Z772" s="237"/>
      <c r="AA772" s="237"/>
      <c r="AB772" s="237"/>
      <c r="AC772" s="237"/>
      <c r="AD772" s="237"/>
      <c r="AE772" s="237"/>
      <c r="AF772" s="237"/>
      <c r="AG772" s="237"/>
      <c r="AH772" s="237"/>
      <c r="AI772" s="237"/>
      <c r="AJ772" s="237"/>
      <c r="AK772" s="237"/>
      <c r="AL772" s="237"/>
      <c r="AM772" s="237"/>
      <c r="AN772" s="237"/>
      <c r="AO772" s="237"/>
      <c r="AP772" s="237"/>
      <c r="AQ772" s="237"/>
      <c r="AR772" s="237"/>
      <c r="AS772" s="237"/>
      <c r="AT772" s="237"/>
      <c r="AU772" s="237"/>
      <c r="AV772" s="237"/>
      <c r="AW772" s="237"/>
      <c r="AX772" s="237"/>
      <c r="AY772" s="237"/>
      <c r="AZ772" s="237"/>
      <c r="BA772" s="237"/>
      <c r="BB772" s="237"/>
      <c r="BC772" s="237"/>
      <c r="BD772" s="237"/>
      <c r="BE772" s="428"/>
    </row>
    <row r="773" spans="2:57" x14ac:dyDescent="0.25">
      <c r="B773" s="427"/>
      <c r="C773" s="221"/>
      <c r="D773" s="221"/>
      <c r="E773" s="221"/>
      <c r="F773" s="435" t="s">
        <v>61</v>
      </c>
      <c r="G773" s="435" t="s">
        <v>62</v>
      </c>
      <c r="H773" s="221"/>
      <c r="I773" s="221"/>
      <c r="J773" s="221"/>
      <c r="K773" s="221"/>
      <c r="L773" s="221"/>
      <c r="M773" s="221"/>
      <c r="N773" s="221"/>
      <c r="O773" s="221"/>
      <c r="P773" s="221"/>
      <c r="Q773" s="221"/>
      <c r="R773" s="221"/>
      <c r="S773" s="221"/>
      <c r="T773" s="221"/>
      <c r="U773" s="221"/>
      <c r="V773" s="221"/>
      <c r="W773" s="221"/>
      <c r="X773" s="221"/>
      <c r="Y773" s="221"/>
      <c r="Z773" s="221"/>
      <c r="AA773" s="221"/>
      <c r="AB773" s="221"/>
      <c r="AC773" s="221"/>
      <c r="AD773" s="221"/>
      <c r="AE773" s="221"/>
      <c r="AF773" s="221"/>
      <c r="AG773" s="221"/>
      <c r="AH773" s="221"/>
      <c r="AI773" s="221"/>
      <c r="AJ773" s="221"/>
      <c r="AK773" s="221"/>
      <c r="AL773" s="221"/>
      <c r="AM773" s="221"/>
      <c r="AN773" s="221"/>
      <c r="AO773" s="221"/>
      <c r="AP773" s="221"/>
      <c r="AQ773" s="221"/>
      <c r="AR773" s="221"/>
      <c r="AS773" s="221"/>
      <c r="AT773" s="221"/>
      <c r="AU773" s="221"/>
      <c r="AV773" s="221"/>
      <c r="AW773" s="221"/>
      <c r="AX773" s="221"/>
      <c r="AY773" s="221"/>
      <c r="AZ773" s="221"/>
      <c r="BA773" s="221"/>
      <c r="BB773" s="221"/>
      <c r="BC773" s="221"/>
      <c r="BD773" s="221"/>
      <c r="BE773" s="436"/>
    </row>
    <row r="774" spans="2:57" x14ac:dyDescent="0.25">
      <c r="B774" s="427"/>
      <c r="C774" s="221" t="s">
        <v>57</v>
      </c>
      <c r="D774" s="221"/>
      <c r="E774" s="221"/>
      <c r="F774" s="433">
        <f>'II. Inputs, Baseline Energy Mix'!$N$109</f>
        <v>1</v>
      </c>
      <c r="G774" s="1239">
        <f>IF('II. Inputs, Baseline Energy Mix'!$N$15&gt;0, F774*'II. Inputs, Baseline Energy Mix'!$N$16*'II. Inputs, Baseline Energy Mix'!$N$17,0)</f>
        <v>664233.57664233574</v>
      </c>
      <c r="H774" s="1239">
        <f>$G$774*H770</f>
        <v>26569.343065693429</v>
      </c>
      <c r="I774" s="1239">
        <f t="shared" ref="I774:BE774" si="250">$G$774*I770</f>
        <v>26569.343065693429</v>
      </c>
      <c r="J774" s="1239">
        <f t="shared" si="250"/>
        <v>26569.343065693429</v>
      </c>
      <c r="K774" s="1239">
        <f t="shared" si="250"/>
        <v>26569.343065693429</v>
      </c>
      <c r="L774" s="1239">
        <f t="shared" si="250"/>
        <v>26569.343065693429</v>
      </c>
      <c r="M774" s="1239">
        <f t="shared" si="250"/>
        <v>26569.343065693429</v>
      </c>
      <c r="N774" s="1239">
        <f t="shared" si="250"/>
        <v>26569.343065693429</v>
      </c>
      <c r="O774" s="1239">
        <f t="shared" si="250"/>
        <v>26569.343065693429</v>
      </c>
      <c r="P774" s="1239">
        <f t="shared" si="250"/>
        <v>26569.343065693429</v>
      </c>
      <c r="Q774" s="1239">
        <f t="shared" si="250"/>
        <v>26569.343065693429</v>
      </c>
      <c r="R774" s="1239">
        <f t="shared" si="250"/>
        <v>26569.343065693429</v>
      </c>
      <c r="S774" s="1239">
        <f t="shared" si="250"/>
        <v>26569.343065693429</v>
      </c>
      <c r="T774" s="1239">
        <f t="shared" si="250"/>
        <v>26569.343065693429</v>
      </c>
      <c r="U774" s="1239">
        <f t="shared" si="250"/>
        <v>26569.343065693429</v>
      </c>
      <c r="V774" s="1239">
        <f t="shared" si="250"/>
        <v>26569.343065693429</v>
      </c>
      <c r="W774" s="1239">
        <f t="shared" si="250"/>
        <v>26569.343065693429</v>
      </c>
      <c r="X774" s="1239">
        <f t="shared" si="250"/>
        <v>26569.343065693429</v>
      </c>
      <c r="Y774" s="1239">
        <f t="shared" si="250"/>
        <v>26569.343065693429</v>
      </c>
      <c r="Z774" s="1239">
        <f t="shared" si="250"/>
        <v>26569.343065693429</v>
      </c>
      <c r="AA774" s="1239">
        <f t="shared" si="250"/>
        <v>26569.343065693429</v>
      </c>
      <c r="AB774" s="1239">
        <f t="shared" si="250"/>
        <v>26569.343065693429</v>
      </c>
      <c r="AC774" s="1239">
        <f t="shared" si="250"/>
        <v>26569.343065693429</v>
      </c>
      <c r="AD774" s="1239">
        <f t="shared" si="250"/>
        <v>26569.343065693429</v>
      </c>
      <c r="AE774" s="1239">
        <f t="shared" si="250"/>
        <v>26569.343065693429</v>
      </c>
      <c r="AF774" s="1239">
        <f t="shared" si="250"/>
        <v>26569.343065693429</v>
      </c>
      <c r="AG774" s="1239">
        <f t="shared" si="250"/>
        <v>0</v>
      </c>
      <c r="AH774" s="1239">
        <f t="shared" si="250"/>
        <v>0</v>
      </c>
      <c r="AI774" s="1239">
        <f t="shared" si="250"/>
        <v>0</v>
      </c>
      <c r="AJ774" s="1239">
        <f t="shared" si="250"/>
        <v>0</v>
      </c>
      <c r="AK774" s="1239">
        <f t="shared" si="250"/>
        <v>0</v>
      </c>
      <c r="AL774" s="1239">
        <f t="shared" si="250"/>
        <v>0</v>
      </c>
      <c r="AM774" s="1239">
        <f t="shared" si="250"/>
        <v>0</v>
      </c>
      <c r="AN774" s="1239">
        <f t="shared" si="250"/>
        <v>0</v>
      </c>
      <c r="AO774" s="1239">
        <f t="shared" si="250"/>
        <v>0</v>
      </c>
      <c r="AP774" s="1239">
        <f t="shared" si="250"/>
        <v>0</v>
      </c>
      <c r="AQ774" s="1239">
        <f t="shared" si="250"/>
        <v>0</v>
      </c>
      <c r="AR774" s="1239">
        <f t="shared" si="250"/>
        <v>0</v>
      </c>
      <c r="AS774" s="1239">
        <f t="shared" si="250"/>
        <v>0</v>
      </c>
      <c r="AT774" s="1239">
        <f t="shared" si="250"/>
        <v>0</v>
      </c>
      <c r="AU774" s="1239">
        <f t="shared" si="250"/>
        <v>0</v>
      </c>
      <c r="AV774" s="1239">
        <f t="shared" si="250"/>
        <v>0</v>
      </c>
      <c r="AW774" s="1239">
        <f t="shared" si="250"/>
        <v>0</v>
      </c>
      <c r="AX774" s="1239">
        <f t="shared" si="250"/>
        <v>0</v>
      </c>
      <c r="AY774" s="1239">
        <f t="shared" si="250"/>
        <v>0</v>
      </c>
      <c r="AZ774" s="1239">
        <f t="shared" si="250"/>
        <v>0</v>
      </c>
      <c r="BA774" s="1239">
        <f t="shared" si="250"/>
        <v>0</v>
      </c>
      <c r="BB774" s="1239">
        <f t="shared" si="250"/>
        <v>0</v>
      </c>
      <c r="BC774" s="1239">
        <f t="shared" si="250"/>
        <v>0</v>
      </c>
      <c r="BD774" s="1239">
        <f t="shared" si="250"/>
        <v>0</v>
      </c>
      <c r="BE774" s="1300">
        <f t="shared" si="250"/>
        <v>0</v>
      </c>
    </row>
    <row r="775" spans="2:57" x14ac:dyDescent="0.25">
      <c r="B775" s="427"/>
      <c r="C775" s="229" t="s">
        <v>18</v>
      </c>
      <c r="D775" s="229"/>
      <c r="E775" s="229"/>
      <c r="F775" s="437">
        <f>'II. Inputs, Baseline Energy Mix'!$N$110</f>
        <v>0</v>
      </c>
      <c r="G775" s="1241">
        <f>IF('II. Inputs, Baseline Energy Mix'!$N$15&gt;0, F775*'II. Inputs, Baseline Energy Mix'!$N$16*'II. Inputs, Baseline Energy Mix'!$N$17,0)</f>
        <v>0</v>
      </c>
      <c r="H775" s="1241">
        <f>$G$775*H771</f>
        <v>0</v>
      </c>
      <c r="I775" s="1241">
        <f t="shared" ref="I775:BE775" si="251">$G$775*I771</f>
        <v>0</v>
      </c>
      <c r="J775" s="1241">
        <f t="shared" si="251"/>
        <v>0</v>
      </c>
      <c r="K775" s="1241">
        <f t="shared" si="251"/>
        <v>0</v>
      </c>
      <c r="L775" s="1241">
        <f t="shared" si="251"/>
        <v>0</v>
      </c>
      <c r="M775" s="1241">
        <f t="shared" si="251"/>
        <v>0</v>
      </c>
      <c r="N775" s="1241">
        <f t="shared" si="251"/>
        <v>0</v>
      </c>
      <c r="O775" s="1241">
        <f t="shared" si="251"/>
        <v>0</v>
      </c>
      <c r="P775" s="1241">
        <f t="shared" si="251"/>
        <v>0</v>
      </c>
      <c r="Q775" s="1241">
        <f t="shared" si="251"/>
        <v>0</v>
      </c>
      <c r="R775" s="1241">
        <f t="shared" si="251"/>
        <v>0</v>
      </c>
      <c r="S775" s="1241">
        <f t="shared" si="251"/>
        <v>0</v>
      </c>
      <c r="T775" s="1241">
        <f t="shared" si="251"/>
        <v>0</v>
      </c>
      <c r="U775" s="1241">
        <f t="shared" si="251"/>
        <v>0</v>
      </c>
      <c r="V775" s="1241">
        <f t="shared" si="251"/>
        <v>0</v>
      </c>
      <c r="W775" s="1241">
        <f t="shared" si="251"/>
        <v>0</v>
      </c>
      <c r="X775" s="1241">
        <f t="shared" si="251"/>
        <v>0</v>
      </c>
      <c r="Y775" s="1241">
        <f t="shared" si="251"/>
        <v>0</v>
      </c>
      <c r="Z775" s="1241">
        <f t="shared" si="251"/>
        <v>0</v>
      </c>
      <c r="AA775" s="1241">
        <f t="shared" si="251"/>
        <v>0</v>
      </c>
      <c r="AB775" s="1241">
        <f t="shared" si="251"/>
        <v>0</v>
      </c>
      <c r="AC775" s="1241">
        <f t="shared" si="251"/>
        <v>0</v>
      </c>
      <c r="AD775" s="1241">
        <f t="shared" si="251"/>
        <v>0</v>
      </c>
      <c r="AE775" s="1241">
        <f t="shared" si="251"/>
        <v>0</v>
      </c>
      <c r="AF775" s="1241">
        <f t="shared" si="251"/>
        <v>0</v>
      </c>
      <c r="AG775" s="1241">
        <f t="shared" si="251"/>
        <v>0</v>
      </c>
      <c r="AH775" s="1241">
        <f t="shared" si="251"/>
        <v>0</v>
      </c>
      <c r="AI775" s="1241">
        <f t="shared" si="251"/>
        <v>0</v>
      </c>
      <c r="AJ775" s="1241">
        <f t="shared" si="251"/>
        <v>0</v>
      </c>
      <c r="AK775" s="1241">
        <f t="shared" si="251"/>
        <v>0</v>
      </c>
      <c r="AL775" s="1241">
        <f t="shared" si="251"/>
        <v>0</v>
      </c>
      <c r="AM775" s="1241">
        <f t="shared" si="251"/>
        <v>0</v>
      </c>
      <c r="AN775" s="1241">
        <f t="shared" si="251"/>
        <v>0</v>
      </c>
      <c r="AO775" s="1241">
        <f t="shared" si="251"/>
        <v>0</v>
      </c>
      <c r="AP775" s="1241">
        <f t="shared" si="251"/>
        <v>0</v>
      </c>
      <c r="AQ775" s="1241">
        <f t="shared" si="251"/>
        <v>0</v>
      </c>
      <c r="AR775" s="1241">
        <f t="shared" si="251"/>
        <v>0</v>
      </c>
      <c r="AS775" s="1241">
        <f t="shared" si="251"/>
        <v>0</v>
      </c>
      <c r="AT775" s="1241">
        <f t="shared" si="251"/>
        <v>0</v>
      </c>
      <c r="AU775" s="1241">
        <f t="shared" si="251"/>
        <v>0</v>
      </c>
      <c r="AV775" s="1241">
        <f t="shared" si="251"/>
        <v>0</v>
      </c>
      <c r="AW775" s="1241">
        <f t="shared" si="251"/>
        <v>0</v>
      </c>
      <c r="AX775" s="1241">
        <f t="shared" si="251"/>
        <v>0</v>
      </c>
      <c r="AY775" s="1241">
        <f t="shared" si="251"/>
        <v>0</v>
      </c>
      <c r="AZ775" s="1241">
        <f t="shared" si="251"/>
        <v>0</v>
      </c>
      <c r="BA775" s="1241">
        <f t="shared" si="251"/>
        <v>0</v>
      </c>
      <c r="BB775" s="1241">
        <f t="shared" si="251"/>
        <v>0</v>
      </c>
      <c r="BC775" s="1241">
        <f t="shared" si="251"/>
        <v>0</v>
      </c>
      <c r="BD775" s="1241">
        <f t="shared" si="251"/>
        <v>0</v>
      </c>
      <c r="BE775" s="1301">
        <f t="shared" si="251"/>
        <v>0</v>
      </c>
    </row>
    <row r="776" spans="2:57" x14ac:dyDescent="0.25">
      <c r="B776" s="427"/>
      <c r="C776" s="221" t="s">
        <v>63</v>
      </c>
      <c r="D776" s="221"/>
      <c r="E776" s="221"/>
      <c r="F776" s="221"/>
      <c r="G776" s="1239">
        <f>G774+G775</f>
        <v>664233.57664233574</v>
      </c>
      <c r="H776" s="1239">
        <f>H774+H775</f>
        <v>26569.343065693429</v>
      </c>
      <c r="I776" s="1239">
        <f t="shared" ref="I776:BE776" si="252">I774+I775</f>
        <v>26569.343065693429</v>
      </c>
      <c r="J776" s="1239">
        <f t="shared" si="252"/>
        <v>26569.343065693429</v>
      </c>
      <c r="K776" s="1239">
        <f t="shared" si="252"/>
        <v>26569.343065693429</v>
      </c>
      <c r="L776" s="1239">
        <f t="shared" si="252"/>
        <v>26569.343065693429</v>
      </c>
      <c r="M776" s="1239">
        <f t="shared" si="252"/>
        <v>26569.343065693429</v>
      </c>
      <c r="N776" s="1239">
        <f t="shared" si="252"/>
        <v>26569.343065693429</v>
      </c>
      <c r="O776" s="1239">
        <f t="shared" si="252"/>
        <v>26569.343065693429</v>
      </c>
      <c r="P776" s="1239">
        <f t="shared" si="252"/>
        <v>26569.343065693429</v>
      </c>
      <c r="Q776" s="1239">
        <f t="shared" si="252"/>
        <v>26569.343065693429</v>
      </c>
      <c r="R776" s="1239">
        <f t="shared" si="252"/>
        <v>26569.343065693429</v>
      </c>
      <c r="S776" s="1239">
        <f t="shared" si="252"/>
        <v>26569.343065693429</v>
      </c>
      <c r="T776" s="1239">
        <f t="shared" si="252"/>
        <v>26569.343065693429</v>
      </c>
      <c r="U776" s="1239">
        <f t="shared" si="252"/>
        <v>26569.343065693429</v>
      </c>
      <c r="V776" s="1239">
        <f t="shared" si="252"/>
        <v>26569.343065693429</v>
      </c>
      <c r="W776" s="1239">
        <f t="shared" si="252"/>
        <v>26569.343065693429</v>
      </c>
      <c r="X776" s="1239">
        <f t="shared" si="252"/>
        <v>26569.343065693429</v>
      </c>
      <c r="Y776" s="1239">
        <f t="shared" si="252"/>
        <v>26569.343065693429</v>
      </c>
      <c r="Z776" s="1239">
        <f t="shared" si="252"/>
        <v>26569.343065693429</v>
      </c>
      <c r="AA776" s="1239">
        <f t="shared" si="252"/>
        <v>26569.343065693429</v>
      </c>
      <c r="AB776" s="1239">
        <f t="shared" si="252"/>
        <v>26569.343065693429</v>
      </c>
      <c r="AC776" s="1239">
        <f t="shared" si="252"/>
        <v>26569.343065693429</v>
      </c>
      <c r="AD776" s="1239">
        <f t="shared" si="252"/>
        <v>26569.343065693429</v>
      </c>
      <c r="AE776" s="1239">
        <f t="shared" si="252"/>
        <v>26569.343065693429</v>
      </c>
      <c r="AF776" s="1239">
        <f t="shared" si="252"/>
        <v>26569.343065693429</v>
      </c>
      <c r="AG776" s="1239">
        <f t="shared" si="252"/>
        <v>0</v>
      </c>
      <c r="AH776" s="1239">
        <f t="shared" si="252"/>
        <v>0</v>
      </c>
      <c r="AI776" s="1239">
        <f t="shared" si="252"/>
        <v>0</v>
      </c>
      <c r="AJ776" s="1239">
        <f t="shared" si="252"/>
        <v>0</v>
      </c>
      <c r="AK776" s="1239">
        <f t="shared" si="252"/>
        <v>0</v>
      </c>
      <c r="AL776" s="1239">
        <f t="shared" si="252"/>
        <v>0</v>
      </c>
      <c r="AM776" s="1239">
        <f t="shared" si="252"/>
        <v>0</v>
      </c>
      <c r="AN776" s="1239">
        <f t="shared" si="252"/>
        <v>0</v>
      </c>
      <c r="AO776" s="1239">
        <f t="shared" si="252"/>
        <v>0</v>
      </c>
      <c r="AP776" s="1239">
        <f t="shared" si="252"/>
        <v>0</v>
      </c>
      <c r="AQ776" s="1239">
        <f t="shared" si="252"/>
        <v>0</v>
      </c>
      <c r="AR776" s="1239">
        <f t="shared" si="252"/>
        <v>0</v>
      </c>
      <c r="AS776" s="1239">
        <f t="shared" si="252"/>
        <v>0</v>
      </c>
      <c r="AT776" s="1239">
        <f t="shared" si="252"/>
        <v>0</v>
      </c>
      <c r="AU776" s="1239">
        <f t="shared" si="252"/>
        <v>0</v>
      </c>
      <c r="AV776" s="1239">
        <f t="shared" si="252"/>
        <v>0</v>
      </c>
      <c r="AW776" s="1239">
        <f t="shared" si="252"/>
        <v>0</v>
      </c>
      <c r="AX776" s="1239">
        <f t="shared" si="252"/>
        <v>0</v>
      </c>
      <c r="AY776" s="1239">
        <f t="shared" si="252"/>
        <v>0</v>
      </c>
      <c r="AZ776" s="1239">
        <f t="shared" si="252"/>
        <v>0</v>
      </c>
      <c r="BA776" s="1239">
        <f t="shared" si="252"/>
        <v>0</v>
      </c>
      <c r="BB776" s="1239">
        <f t="shared" si="252"/>
        <v>0</v>
      </c>
      <c r="BC776" s="1239">
        <f t="shared" si="252"/>
        <v>0</v>
      </c>
      <c r="BD776" s="1239">
        <f t="shared" si="252"/>
        <v>0</v>
      </c>
      <c r="BE776" s="1300">
        <f t="shared" si="252"/>
        <v>0</v>
      </c>
    </row>
    <row r="777" spans="2:57" x14ac:dyDescent="0.25">
      <c r="B777" s="427"/>
      <c r="C777" s="221"/>
      <c r="D777" s="221"/>
      <c r="E777" s="221"/>
      <c r="F777" s="221"/>
      <c r="G777" s="221"/>
      <c r="H777" s="237"/>
      <c r="I777" s="237"/>
      <c r="J777" s="237"/>
      <c r="K777" s="237"/>
      <c r="L777" s="237"/>
      <c r="M777" s="237"/>
      <c r="N777" s="237"/>
      <c r="O777" s="237"/>
      <c r="P777" s="237"/>
      <c r="Q777" s="237"/>
      <c r="R777" s="237"/>
      <c r="S777" s="237"/>
      <c r="T777" s="237"/>
      <c r="U777" s="237"/>
      <c r="V777" s="237"/>
      <c r="W777" s="237"/>
      <c r="X777" s="237"/>
      <c r="Y777" s="237"/>
      <c r="Z777" s="237"/>
      <c r="AA777" s="237"/>
      <c r="AB777" s="237"/>
      <c r="AC777" s="237"/>
      <c r="AD777" s="237"/>
      <c r="AE777" s="237"/>
      <c r="AF777" s="237"/>
      <c r="AG777" s="237"/>
      <c r="AH777" s="237"/>
      <c r="AI777" s="237"/>
      <c r="AJ777" s="237"/>
      <c r="AK777" s="237"/>
      <c r="AL777" s="237"/>
      <c r="AM777" s="237"/>
      <c r="AN777" s="237"/>
      <c r="AO777" s="237"/>
      <c r="AP777" s="237"/>
      <c r="AQ777" s="237"/>
      <c r="AR777" s="237"/>
      <c r="AS777" s="237"/>
      <c r="AT777" s="237"/>
      <c r="AU777" s="237"/>
      <c r="AV777" s="237"/>
      <c r="AW777" s="237"/>
      <c r="AX777" s="237"/>
      <c r="AY777" s="237"/>
      <c r="AZ777" s="237"/>
      <c r="BA777" s="237"/>
      <c r="BB777" s="237"/>
      <c r="BC777" s="237"/>
      <c r="BD777" s="237"/>
      <c r="BE777" s="428"/>
    </row>
    <row r="778" spans="2:57" x14ac:dyDescent="0.25">
      <c r="B778" s="439"/>
      <c r="C778" s="229"/>
      <c r="D778" s="229"/>
      <c r="E778" s="229"/>
      <c r="F778" s="229"/>
      <c r="G778" s="229"/>
      <c r="H778" s="239"/>
      <c r="I778" s="239"/>
      <c r="J778" s="239"/>
      <c r="K778" s="239"/>
      <c r="L778" s="239"/>
      <c r="M778" s="239"/>
      <c r="N778" s="239"/>
      <c r="O778" s="239"/>
      <c r="P778" s="239"/>
      <c r="Q778" s="239"/>
      <c r="R778" s="239"/>
      <c r="S778" s="239"/>
      <c r="T778" s="239"/>
      <c r="U778" s="239"/>
      <c r="V778" s="239"/>
      <c r="W778" s="239"/>
      <c r="X778" s="239"/>
      <c r="Y778" s="239"/>
      <c r="Z778" s="239"/>
      <c r="AA778" s="239"/>
      <c r="AB778" s="239"/>
      <c r="AC778" s="239"/>
      <c r="AD778" s="239"/>
      <c r="AE778" s="239"/>
      <c r="AF778" s="239"/>
      <c r="AG778" s="239"/>
      <c r="AH778" s="239"/>
      <c r="AI778" s="239"/>
      <c r="AJ778" s="239"/>
      <c r="AK778" s="239"/>
      <c r="AL778" s="239"/>
      <c r="AM778" s="239"/>
      <c r="AN778" s="239"/>
      <c r="AO778" s="239"/>
      <c r="AP778" s="239"/>
      <c r="AQ778" s="239"/>
      <c r="AR778" s="239"/>
      <c r="AS778" s="239"/>
      <c r="AT778" s="239"/>
      <c r="AU778" s="239"/>
      <c r="AV778" s="239"/>
      <c r="AW778" s="239"/>
      <c r="AX778" s="239"/>
      <c r="AY778" s="239"/>
      <c r="AZ778" s="239"/>
      <c r="BA778" s="239"/>
      <c r="BB778" s="239"/>
      <c r="BC778" s="239"/>
      <c r="BD778" s="239"/>
      <c r="BE778" s="438"/>
    </row>
    <row r="779" spans="2:57" x14ac:dyDescent="0.25">
      <c r="H779" s="250"/>
      <c r="I779" s="250"/>
      <c r="J779" s="250"/>
      <c r="K779" s="250"/>
      <c r="L779" s="250"/>
      <c r="M779" s="250"/>
      <c r="N779" s="250"/>
      <c r="O779" s="250"/>
      <c r="P779" s="250"/>
      <c r="Q779" s="250"/>
      <c r="R779" s="250"/>
      <c r="S779" s="250"/>
      <c r="T779" s="250"/>
      <c r="U779" s="250"/>
      <c r="V779" s="250"/>
      <c r="W779" s="250"/>
      <c r="X779" s="250"/>
      <c r="Y779" s="250"/>
      <c r="Z779" s="250"/>
      <c r="AA779" s="250"/>
      <c r="AB779" s="250"/>
      <c r="AC779" s="250"/>
      <c r="AD779" s="250"/>
      <c r="AE779" s="250"/>
      <c r="AF779" s="250"/>
      <c r="AG779" s="250"/>
      <c r="AH779" s="250"/>
      <c r="AI779" s="250"/>
      <c r="AJ779" s="250"/>
      <c r="AK779" s="250"/>
      <c r="AL779" s="250"/>
      <c r="AM779" s="250"/>
      <c r="AN779" s="250"/>
      <c r="AO779" s="250"/>
      <c r="AP779" s="250"/>
      <c r="AQ779" s="250"/>
      <c r="AR779" s="250"/>
      <c r="AS779" s="250"/>
      <c r="AT779" s="250"/>
      <c r="AU779" s="250"/>
      <c r="AV779" s="250"/>
      <c r="AW779" s="250"/>
      <c r="AX779" s="250"/>
      <c r="AY779" s="250"/>
      <c r="AZ779" s="250"/>
      <c r="BA779" s="250"/>
      <c r="BB779" s="250"/>
      <c r="BC779" s="250"/>
      <c r="BD779" s="250"/>
      <c r="BE779" s="250"/>
    </row>
    <row r="780" spans="2:57" x14ac:dyDescent="0.25">
      <c r="B780" s="440"/>
      <c r="C780" s="441" t="str">
        <f>'II. Inputs, Baseline Energy Mix'!O14</f>
        <v>Coal</v>
      </c>
      <c r="D780" s="442"/>
      <c r="E780" s="442"/>
      <c r="F780" s="442"/>
      <c r="G780" s="442"/>
      <c r="H780" s="442"/>
      <c r="I780" s="443"/>
      <c r="J780" s="443"/>
      <c r="K780" s="443"/>
      <c r="L780" s="443"/>
      <c r="M780" s="443"/>
      <c r="N780" s="443"/>
      <c r="O780" s="443"/>
      <c r="P780" s="443"/>
      <c r="Q780" s="443"/>
      <c r="R780" s="443"/>
      <c r="S780" s="443"/>
      <c r="T780" s="443"/>
      <c r="U780" s="443"/>
      <c r="V780" s="443"/>
      <c r="W780" s="443"/>
      <c r="X780" s="443"/>
      <c r="Y780" s="443"/>
      <c r="Z780" s="443"/>
      <c r="AA780" s="443"/>
      <c r="AB780" s="443"/>
      <c r="AC780" s="443"/>
      <c r="AD780" s="443"/>
      <c r="AE780" s="443"/>
      <c r="AF780" s="443"/>
      <c r="AG780" s="443"/>
      <c r="AH780" s="443"/>
      <c r="AI780" s="443"/>
      <c r="AJ780" s="443"/>
      <c r="AK780" s="443"/>
      <c r="AL780" s="443"/>
      <c r="AM780" s="443"/>
      <c r="AN780" s="443"/>
      <c r="AO780" s="443"/>
      <c r="AP780" s="443"/>
      <c r="AQ780" s="443"/>
      <c r="AR780" s="443"/>
      <c r="AS780" s="443"/>
      <c r="AT780" s="443"/>
      <c r="AU780" s="443"/>
      <c r="AV780" s="443"/>
      <c r="AW780" s="443"/>
      <c r="AX780" s="443"/>
      <c r="AY780" s="443"/>
      <c r="AZ780" s="443"/>
      <c r="BA780" s="443"/>
      <c r="BB780" s="443"/>
      <c r="BC780" s="443"/>
      <c r="BD780" s="443"/>
      <c r="BE780" s="444"/>
    </row>
    <row r="781" spans="2:57" x14ac:dyDescent="0.25">
      <c r="B781" s="445"/>
      <c r="C781" s="446"/>
      <c r="D781" s="446"/>
      <c r="E781" s="446"/>
      <c r="F781" s="446"/>
      <c r="G781" s="446"/>
      <c r="H781" s="446"/>
      <c r="I781" s="447"/>
      <c r="J781" s="447"/>
      <c r="K781" s="447"/>
      <c r="L781" s="447"/>
      <c r="M781" s="447"/>
      <c r="N781" s="447"/>
      <c r="O781" s="447"/>
      <c r="P781" s="447"/>
      <c r="Q781" s="447"/>
      <c r="R781" s="447"/>
      <c r="S781" s="447"/>
      <c r="T781" s="447"/>
      <c r="U781" s="447"/>
      <c r="V781" s="447"/>
      <c r="W781" s="447"/>
      <c r="X781" s="447"/>
      <c r="Y781" s="447"/>
      <c r="Z781" s="447"/>
      <c r="AA781" s="447"/>
      <c r="AB781" s="447"/>
      <c r="AC781" s="447"/>
      <c r="AD781" s="447"/>
      <c r="AE781" s="447"/>
      <c r="AF781" s="447"/>
      <c r="AG781" s="447"/>
      <c r="AH781" s="447"/>
      <c r="AI781" s="447"/>
      <c r="AJ781" s="447"/>
      <c r="AK781" s="447"/>
      <c r="AL781" s="447"/>
      <c r="AM781" s="447"/>
      <c r="AN781" s="447"/>
      <c r="AO781" s="447"/>
      <c r="AP781" s="447"/>
      <c r="AQ781" s="447"/>
      <c r="AR781" s="447"/>
      <c r="AS781" s="447"/>
      <c r="AT781" s="447"/>
      <c r="AU781" s="447"/>
      <c r="AV781" s="447"/>
      <c r="AW781" s="447"/>
      <c r="AX781" s="447"/>
      <c r="AY781" s="447"/>
      <c r="AZ781" s="447"/>
      <c r="BA781" s="447"/>
      <c r="BB781" s="447"/>
      <c r="BC781" s="447"/>
      <c r="BD781" s="447"/>
      <c r="BE781" s="448"/>
    </row>
    <row r="782" spans="2:57" x14ac:dyDescent="0.25">
      <c r="B782" s="445"/>
      <c r="C782" s="449" t="s">
        <v>64</v>
      </c>
      <c r="D782" s="450">
        <f>'II. Inputs, Baseline Energy Mix'!$O$18</f>
        <v>0</v>
      </c>
      <c r="E782" s="451" t="s">
        <v>20</v>
      </c>
      <c r="F782" s="446"/>
      <c r="G782" s="446"/>
      <c r="H782" s="446"/>
      <c r="I782" s="447"/>
      <c r="J782" s="447"/>
      <c r="K782" s="447"/>
      <c r="L782" s="447"/>
      <c r="M782" s="447"/>
      <c r="N782" s="447"/>
      <c r="O782" s="447"/>
      <c r="P782" s="447"/>
      <c r="Q782" s="447"/>
      <c r="R782" s="447"/>
      <c r="S782" s="447"/>
      <c r="T782" s="447"/>
      <c r="U782" s="447"/>
      <c r="V782" s="447"/>
      <c r="W782" s="447"/>
      <c r="X782" s="447"/>
      <c r="Y782" s="447"/>
      <c r="Z782" s="447"/>
      <c r="AA782" s="447"/>
      <c r="AB782" s="447"/>
      <c r="AC782" s="447"/>
      <c r="AD782" s="447"/>
      <c r="AE782" s="447"/>
      <c r="AF782" s="447"/>
      <c r="AG782" s="447"/>
      <c r="AH782" s="447"/>
      <c r="AI782" s="447"/>
      <c r="AJ782" s="447"/>
      <c r="AK782" s="447"/>
      <c r="AL782" s="447"/>
      <c r="AM782" s="447"/>
      <c r="AN782" s="447"/>
      <c r="AO782" s="447"/>
      <c r="AP782" s="447"/>
      <c r="AQ782" s="447"/>
      <c r="AR782" s="447"/>
      <c r="AS782" s="447"/>
      <c r="AT782" s="447"/>
      <c r="AU782" s="447"/>
      <c r="AV782" s="447"/>
      <c r="AW782" s="447"/>
      <c r="AX782" s="447"/>
      <c r="AY782" s="447"/>
      <c r="AZ782" s="447"/>
      <c r="BA782" s="447"/>
      <c r="BB782" s="447"/>
      <c r="BC782" s="447"/>
      <c r="BD782" s="447"/>
      <c r="BE782" s="448"/>
    </row>
    <row r="783" spans="2:57" x14ac:dyDescent="0.25">
      <c r="B783" s="445"/>
      <c r="C783" s="446"/>
      <c r="D783" s="446"/>
      <c r="E783" s="446"/>
      <c r="F783" s="446"/>
      <c r="G783" s="446"/>
      <c r="H783" s="446"/>
      <c r="I783" s="447"/>
      <c r="J783" s="447"/>
      <c r="K783" s="447"/>
      <c r="L783" s="447"/>
      <c r="M783" s="447"/>
      <c r="N783" s="447"/>
      <c r="O783" s="447"/>
      <c r="P783" s="447"/>
      <c r="Q783" s="447"/>
      <c r="R783" s="447"/>
      <c r="S783" s="447"/>
      <c r="T783" s="447"/>
      <c r="U783" s="447"/>
      <c r="V783" s="447"/>
      <c r="W783" s="447"/>
      <c r="X783" s="447"/>
      <c r="Y783" s="447"/>
      <c r="Z783" s="447"/>
      <c r="AA783" s="447"/>
      <c r="AB783" s="447"/>
      <c r="AC783" s="447"/>
      <c r="AD783" s="447"/>
      <c r="AE783" s="447"/>
      <c r="AF783" s="447"/>
      <c r="AG783" s="447"/>
      <c r="AH783" s="447"/>
      <c r="AI783" s="447"/>
      <c r="AJ783" s="447"/>
      <c r="AK783" s="447"/>
      <c r="AL783" s="447"/>
      <c r="AM783" s="447"/>
      <c r="AN783" s="447"/>
      <c r="AO783" s="447"/>
      <c r="AP783" s="447"/>
      <c r="AQ783" s="447"/>
      <c r="AR783" s="447"/>
      <c r="AS783" s="447"/>
      <c r="AT783" s="447"/>
      <c r="AU783" s="447"/>
      <c r="AV783" s="447"/>
      <c r="AW783" s="447"/>
      <c r="AX783" s="447"/>
      <c r="AY783" s="447"/>
      <c r="AZ783" s="447"/>
      <c r="BA783" s="447"/>
      <c r="BB783" s="447"/>
      <c r="BC783" s="447"/>
      <c r="BD783" s="447"/>
      <c r="BE783" s="448"/>
    </row>
    <row r="784" spans="2:57" x14ac:dyDescent="0.25">
      <c r="B784" s="445"/>
      <c r="C784" s="446" t="s">
        <v>59</v>
      </c>
      <c r="D784" s="446"/>
      <c r="E784" s="446"/>
      <c r="F784" s="446"/>
      <c r="G784" s="452"/>
      <c r="H784" s="453">
        <f>IF(H$764&gt;$D$782,0,1/$D$782)</f>
        <v>0</v>
      </c>
      <c r="I784" s="453">
        <f t="shared" ref="I784:BE784" si="253">IF(I$764&gt;$D$782,0,1/$D$782)</f>
        <v>0</v>
      </c>
      <c r="J784" s="453">
        <f t="shared" si="253"/>
        <v>0</v>
      </c>
      <c r="K784" s="453">
        <f t="shared" si="253"/>
        <v>0</v>
      </c>
      <c r="L784" s="453">
        <f t="shared" si="253"/>
        <v>0</v>
      </c>
      <c r="M784" s="453">
        <f t="shared" si="253"/>
        <v>0</v>
      </c>
      <c r="N784" s="453">
        <f t="shared" si="253"/>
        <v>0</v>
      </c>
      <c r="O784" s="453">
        <f t="shared" si="253"/>
        <v>0</v>
      </c>
      <c r="P784" s="453">
        <f t="shared" si="253"/>
        <v>0</v>
      </c>
      <c r="Q784" s="453">
        <f t="shared" si="253"/>
        <v>0</v>
      </c>
      <c r="R784" s="453">
        <f t="shared" si="253"/>
        <v>0</v>
      </c>
      <c r="S784" s="453">
        <f t="shared" si="253"/>
        <v>0</v>
      </c>
      <c r="T784" s="453">
        <f t="shared" si="253"/>
        <v>0</v>
      </c>
      <c r="U784" s="453">
        <f t="shared" si="253"/>
        <v>0</v>
      </c>
      <c r="V784" s="453">
        <f t="shared" si="253"/>
        <v>0</v>
      </c>
      <c r="W784" s="453">
        <f t="shared" si="253"/>
        <v>0</v>
      </c>
      <c r="X784" s="453">
        <f t="shared" si="253"/>
        <v>0</v>
      </c>
      <c r="Y784" s="453">
        <f t="shared" si="253"/>
        <v>0</v>
      </c>
      <c r="Z784" s="453">
        <f t="shared" si="253"/>
        <v>0</v>
      </c>
      <c r="AA784" s="453">
        <f t="shared" si="253"/>
        <v>0</v>
      </c>
      <c r="AB784" s="453">
        <f t="shared" si="253"/>
        <v>0</v>
      </c>
      <c r="AC784" s="453">
        <f t="shared" si="253"/>
        <v>0</v>
      </c>
      <c r="AD784" s="453">
        <f t="shared" si="253"/>
        <v>0</v>
      </c>
      <c r="AE784" s="453">
        <f t="shared" si="253"/>
        <v>0</v>
      </c>
      <c r="AF784" s="453">
        <f t="shared" si="253"/>
        <v>0</v>
      </c>
      <c r="AG784" s="453">
        <f t="shared" si="253"/>
        <v>0</v>
      </c>
      <c r="AH784" s="453">
        <f t="shared" si="253"/>
        <v>0</v>
      </c>
      <c r="AI784" s="453">
        <f t="shared" si="253"/>
        <v>0</v>
      </c>
      <c r="AJ784" s="453">
        <f t="shared" si="253"/>
        <v>0</v>
      </c>
      <c r="AK784" s="453">
        <f t="shared" si="253"/>
        <v>0</v>
      </c>
      <c r="AL784" s="453">
        <f t="shared" si="253"/>
        <v>0</v>
      </c>
      <c r="AM784" s="453">
        <f t="shared" si="253"/>
        <v>0</v>
      </c>
      <c r="AN784" s="453">
        <f t="shared" si="253"/>
        <v>0</v>
      </c>
      <c r="AO784" s="453">
        <f t="shared" si="253"/>
        <v>0</v>
      </c>
      <c r="AP784" s="453">
        <f t="shared" si="253"/>
        <v>0</v>
      </c>
      <c r="AQ784" s="453">
        <f t="shared" si="253"/>
        <v>0</v>
      </c>
      <c r="AR784" s="453">
        <f t="shared" si="253"/>
        <v>0</v>
      </c>
      <c r="AS784" s="453">
        <f t="shared" si="253"/>
        <v>0</v>
      </c>
      <c r="AT784" s="453">
        <f t="shared" si="253"/>
        <v>0</v>
      </c>
      <c r="AU784" s="453">
        <f t="shared" si="253"/>
        <v>0</v>
      </c>
      <c r="AV784" s="453">
        <f t="shared" si="253"/>
        <v>0</v>
      </c>
      <c r="AW784" s="453">
        <f t="shared" si="253"/>
        <v>0</v>
      </c>
      <c r="AX784" s="453">
        <f t="shared" si="253"/>
        <v>0</v>
      </c>
      <c r="AY784" s="453">
        <f t="shared" si="253"/>
        <v>0</v>
      </c>
      <c r="AZ784" s="453">
        <f t="shared" si="253"/>
        <v>0</v>
      </c>
      <c r="BA784" s="453">
        <f t="shared" si="253"/>
        <v>0</v>
      </c>
      <c r="BB784" s="453">
        <f t="shared" si="253"/>
        <v>0</v>
      </c>
      <c r="BC784" s="453">
        <f t="shared" si="253"/>
        <v>0</v>
      </c>
      <c r="BD784" s="453">
        <f t="shared" si="253"/>
        <v>0</v>
      </c>
      <c r="BE784" s="454">
        <f t="shared" si="253"/>
        <v>0</v>
      </c>
    </row>
    <row r="785" spans="1:57" x14ac:dyDescent="0.25">
      <c r="B785" s="445"/>
      <c r="C785" s="446" t="s">
        <v>60</v>
      </c>
      <c r="D785" s="446"/>
      <c r="E785" s="446"/>
      <c r="F785" s="446"/>
      <c r="G785" s="455"/>
      <c r="H785" s="456">
        <v>0</v>
      </c>
      <c r="I785" s="456">
        <v>0</v>
      </c>
      <c r="J785" s="456">
        <v>0</v>
      </c>
      <c r="K785" s="456">
        <v>0</v>
      </c>
      <c r="L785" s="456">
        <v>0</v>
      </c>
      <c r="M785" s="456">
        <v>0</v>
      </c>
      <c r="N785" s="456">
        <v>0</v>
      </c>
      <c r="O785" s="456">
        <v>0</v>
      </c>
      <c r="P785" s="456">
        <v>0</v>
      </c>
      <c r="Q785" s="456">
        <v>0</v>
      </c>
      <c r="R785" s="456">
        <v>0</v>
      </c>
      <c r="S785" s="456">
        <v>0</v>
      </c>
      <c r="T785" s="456">
        <v>0</v>
      </c>
      <c r="U785" s="456">
        <v>0</v>
      </c>
      <c r="V785" s="456">
        <v>0</v>
      </c>
      <c r="W785" s="456">
        <v>0</v>
      </c>
      <c r="X785" s="456">
        <v>0</v>
      </c>
      <c r="Y785" s="456">
        <v>0</v>
      </c>
      <c r="Z785" s="456">
        <v>0</v>
      </c>
      <c r="AA785" s="456">
        <v>0</v>
      </c>
      <c r="AB785" s="456">
        <v>0</v>
      </c>
      <c r="AC785" s="456">
        <v>0</v>
      </c>
      <c r="AD785" s="456">
        <v>0</v>
      </c>
      <c r="AE785" s="456">
        <v>0</v>
      </c>
      <c r="AF785" s="456">
        <v>0</v>
      </c>
      <c r="AG785" s="456">
        <v>0</v>
      </c>
      <c r="AH785" s="456">
        <v>0</v>
      </c>
      <c r="AI785" s="456">
        <v>0</v>
      </c>
      <c r="AJ785" s="456">
        <v>0</v>
      </c>
      <c r="AK785" s="456">
        <v>0</v>
      </c>
      <c r="AL785" s="456">
        <v>0</v>
      </c>
      <c r="AM785" s="456">
        <v>0</v>
      </c>
      <c r="AN785" s="456">
        <v>0</v>
      </c>
      <c r="AO785" s="456">
        <v>0</v>
      </c>
      <c r="AP785" s="456">
        <v>0</v>
      </c>
      <c r="AQ785" s="456">
        <v>0</v>
      </c>
      <c r="AR785" s="456">
        <v>0</v>
      </c>
      <c r="AS785" s="456">
        <v>0</v>
      </c>
      <c r="AT785" s="456">
        <v>0</v>
      </c>
      <c r="AU785" s="456">
        <v>0</v>
      </c>
      <c r="AV785" s="456">
        <v>0</v>
      </c>
      <c r="AW785" s="456">
        <v>0</v>
      </c>
      <c r="AX785" s="456">
        <v>0</v>
      </c>
      <c r="AY785" s="456">
        <v>0</v>
      </c>
      <c r="AZ785" s="456">
        <v>0</v>
      </c>
      <c r="BA785" s="456">
        <v>0</v>
      </c>
      <c r="BB785" s="456">
        <v>0</v>
      </c>
      <c r="BC785" s="456">
        <v>0</v>
      </c>
      <c r="BD785" s="456">
        <v>0</v>
      </c>
      <c r="BE785" s="457">
        <v>0</v>
      </c>
    </row>
    <row r="786" spans="1:57" x14ac:dyDescent="0.25">
      <c r="B786" s="445"/>
      <c r="C786" s="446"/>
      <c r="D786" s="446"/>
      <c r="E786" s="446"/>
      <c r="F786" s="446"/>
      <c r="G786" s="446"/>
      <c r="H786" s="447"/>
      <c r="I786" s="447"/>
      <c r="J786" s="447"/>
      <c r="K786" s="447"/>
      <c r="L786" s="447"/>
      <c r="M786" s="447"/>
      <c r="N786" s="447"/>
      <c r="O786" s="447"/>
      <c r="P786" s="447"/>
      <c r="Q786" s="447"/>
      <c r="R786" s="447"/>
      <c r="S786" s="447"/>
      <c r="T786" s="447"/>
      <c r="U786" s="447"/>
      <c r="V786" s="447"/>
      <c r="W786" s="447"/>
      <c r="X786" s="447"/>
      <c r="Y786" s="447"/>
      <c r="Z786" s="447"/>
      <c r="AA786" s="447"/>
      <c r="AB786" s="447"/>
      <c r="AC786" s="447"/>
      <c r="AD786" s="447"/>
      <c r="AE786" s="447"/>
      <c r="AF786" s="447"/>
      <c r="AG786" s="447"/>
      <c r="AH786" s="447"/>
      <c r="AI786" s="447"/>
      <c r="AJ786" s="447"/>
      <c r="AK786" s="447"/>
      <c r="AL786" s="447"/>
      <c r="AM786" s="447"/>
      <c r="AN786" s="447"/>
      <c r="AO786" s="447"/>
      <c r="AP786" s="447"/>
      <c r="AQ786" s="447"/>
      <c r="AR786" s="447"/>
      <c r="AS786" s="447"/>
      <c r="AT786" s="447"/>
      <c r="AU786" s="447"/>
      <c r="AV786" s="447"/>
      <c r="AW786" s="447"/>
      <c r="AX786" s="447"/>
      <c r="AY786" s="447"/>
      <c r="AZ786" s="447"/>
      <c r="BA786" s="447"/>
      <c r="BB786" s="447"/>
      <c r="BC786" s="447"/>
      <c r="BD786" s="447"/>
      <c r="BE786" s="448"/>
    </row>
    <row r="787" spans="1:57" x14ac:dyDescent="0.25">
      <c r="B787" s="445"/>
      <c r="C787" s="446"/>
      <c r="D787" s="446"/>
      <c r="E787" s="446"/>
      <c r="F787" s="458" t="s">
        <v>61</v>
      </c>
      <c r="G787" s="458" t="s">
        <v>62</v>
      </c>
      <c r="H787" s="446"/>
      <c r="I787" s="446"/>
      <c r="J787" s="446"/>
      <c r="K787" s="446"/>
      <c r="L787" s="446"/>
      <c r="M787" s="446"/>
      <c r="N787" s="446"/>
      <c r="O787" s="446"/>
      <c r="P787" s="446"/>
      <c r="Q787" s="446"/>
      <c r="R787" s="446"/>
      <c r="S787" s="446"/>
      <c r="T787" s="446"/>
      <c r="U787" s="446"/>
      <c r="V787" s="446"/>
      <c r="W787" s="446"/>
      <c r="X787" s="446"/>
      <c r="Y787" s="446"/>
      <c r="Z787" s="446"/>
      <c r="AA787" s="446"/>
      <c r="AB787" s="446"/>
      <c r="AC787" s="446"/>
      <c r="AD787" s="446"/>
      <c r="AE787" s="446"/>
      <c r="AF787" s="446"/>
      <c r="AG787" s="446"/>
      <c r="AH787" s="446"/>
      <c r="AI787" s="446"/>
      <c r="AJ787" s="446"/>
      <c r="AK787" s="446"/>
      <c r="AL787" s="446"/>
      <c r="AM787" s="446"/>
      <c r="AN787" s="446"/>
      <c r="AO787" s="446"/>
      <c r="AP787" s="446"/>
      <c r="AQ787" s="446"/>
      <c r="AR787" s="446"/>
      <c r="AS787" s="446"/>
      <c r="AT787" s="446"/>
      <c r="AU787" s="446"/>
      <c r="AV787" s="446"/>
      <c r="AW787" s="446"/>
      <c r="AX787" s="446"/>
      <c r="AY787" s="446"/>
      <c r="AZ787" s="446"/>
      <c r="BA787" s="446"/>
      <c r="BB787" s="446"/>
      <c r="BC787" s="446"/>
      <c r="BD787" s="446"/>
      <c r="BE787" s="459"/>
    </row>
    <row r="788" spans="1:57" x14ac:dyDescent="0.25">
      <c r="B788" s="445"/>
      <c r="C788" s="446" t="s">
        <v>57</v>
      </c>
      <c r="D788" s="446"/>
      <c r="E788" s="446"/>
      <c r="F788" s="456">
        <f>'II. Inputs, Baseline Energy Mix'!$P$109</f>
        <v>1</v>
      </c>
      <c r="G788" s="1302">
        <f>IF('II. Inputs, Baseline Energy Mix'!$O$15&gt;0, F788*'II. Inputs, Baseline Energy Mix'!$O$16*'II. Inputs, Baseline Energy Mix'!$O$17,0)</f>
        <v>0</v>
      </c>
      <c r="H788" s="1302">
        <f>$G$788*H784</f>
        <v>0</v>
      </c>
      <c r="I788" s="1302">
        <f t="shared" ref="I788:BE788" si="254">$G$788*I784</f>
        <v>0</v>
      </c>
      <c r="J788" s="1302">
        <f t="shared" si="254"/>
        <v>0</v>
      </c>
      <c r="K788" s="1302">
        <f t="shared" si="254"/>
        <v>0</v>
      </c>
      <c r="L788" s="1302">
        <f t="shared" si="254"/>
        <v>0</v>
      </c>
      <c r="M788" s="1302">
        <f t="shared" si="254"/>
        <v>0</v>
      </c>
      <c r="N788" s="1302">
        <f t="shared" si="254"/>
        <v>0</v>
      </c>
      <c r="O788" s="1302">
        <f t="shared" si="254"/>
        <v>0</v>
      </c>
      <c r="P788" s="1302">
        <f t="shared" si="254"/>
        <v>0</v>
      </c>
      <c r="Q788" s="1302">
        <f t="shared" si="254"/>
        <v>0</v>
      </c>
      <c r="R788" s="1302">
        <f t="shared" si="254"/>
        <v>0</v>
      </c>
      <c r="S788" s="1302">
        <f t="shared" si="254"/>
        <v>0</v>
      </c>
      <c r="T788" s="1302">
        <f t="shared" si="254"/>
        <v>0</v>
      </c>
      <c r="U788" s="1302">
        <f t="shared" si="254"/>
        <v>0</v>
      </c>
      <c r="V788" s="1302">
        <f t="shared" si="254"/>
        <v>0</v>
      </c>
      <c r="W788" s="1302">
        <f t="shared" si="254"/>
        <v>0</v>
      </c>
      <c r="X788" s="1302">
        <f t="shared" si="254"/>
        <v>0</v>
      </c>
      <c r="Y788" s="1302">
        <f t="shared" si="254"/>
        <v>0</v>
      </c>
      <c r="Z788" s="1302">
        <f t="shared" si="254"/>
        <v>0</v>
      </c>
      <c r="AA788" s="1302">
        <f t="shared" si="254"/>
        <v>0</v>
      </c>
      <c r="AB788" s="1302">
        <f t="shared" si="254"/>
        <v>0</v>
      </c>
      <c r="AC788" s="1302">
        <f t="shared" si="254"/>
        <v>0</v>
      </c>
      <c r="AD788" s="1302">
        <f t="shared" si="254"/>
        <v>0</v>
      </c>
      <c r="AE788" s="1302">
        <f t="shared" si="254"/>
        <v>0</v>
      </c>
      <c r="AF788" s="1302">
        <f t="shared" si="254"/>
        <v>0</v>
      </c>
      <c r="AG788" s="1302">
        <f t="shared" si="254"/>
        <v>0</v>
      </c>
      <c r="AH788" s="1302">
        <f t="shared" si="254"/>
        <v>0</v>
      </c>
      <c r="AI788" s="1302">
        <f t="shared" si="254"/>
        <v>0</v>
      </c>
      <c r="AJ788" s="1302">
        <f t="shared" si="254"/>
        <v>0</v>
      </c>
      <c r="AK788" s="1302">
        <f t="shared" si="254"/>
        <v>0</v>
      </c>
      <c r="AL788" s="1302">
        <f t="shared" si="254"/>
        <v>0</v>
      </c>
      <c r="AM788" s="1302">
        <f t="shared" si="254"/>
        <v>0</v>
      </c>
      <c r="AN788" s="1302">
        <f t="shared" si="254"/>
        <v>0</v>
      </c>
      <c r="AO788" s="1302">
        <f t="shared" si="254"/>
        <v>0</v>
      </c>
      <c r="AP788" s="1302">
        <f t="shared" si="254"/>
        <v>0</v>
      </c>
      <c r="AQ788" s="1302">
        <f t="shared" si="254"/>
        <v>0</v>
      </c>
      <c r="AR788" s="1302">
        <f t="shared" si="254"/>
        <v>0</v>
      </c>
      <c r="AS788" s="1302">
        <f t="shared" si="254"/>
        <v>0</v>
      </c>
      <c r="AT788" s="1302">
        <f t="shared" si="254"/>
        <v>0</v>
      </c>
      <c r="AU788" s="1302">
        <f t="shared" si="254"/>
        <v>0</v>
      </c>
      <c r="AV788" s="1302">
        <f t="shared" si="254"/>
        <v>0</v>
      </c>
      <c r="AW788" s="1302">
        <f t="shared" si="254"/>
        <v>0</v>
      </c>
      <c r="AX788" s="1302">
        <f t="shared" si="254"/>
        <v>0</v>
      </c>
      <c r="AY788" s="1302">
        <f t="shared" si="254"/>
        <v>0</v>
      </c>
      <c r="AZ788" s="1302">
        <f t="shared" si="254"/>
        <v>0</v>
      </c>
      <c r="BA788" s="1302">
        <f t="shared" si="254"/>
        <v>0</v>
      </c>
      <c r="BB788" s="1302">
        <f t="shared" si="254"/>
        <v>0</v>
      </c>
      <c r="BC788" s="1302">
        <f t="shared" si="254"/>
        <v>0</v>
      </c>
      <c r="BD788" s="1302">
        <f t="shared" si="254"/>
        <v>0</v>
      </c>
      <c r="BE788" s="1303">
        <f t="shared" si="254"/>
        <v>0</v>
      </c>
    </row>
    <row r="789" spans="1:57" x14ac:dyDescent="0.25">
      <c r="B789" s="445"/>
      <c r="C789" s="460" t="s">
        <v>18</v>
      </c>
      <c r="D789" s="460"/>
      <c r="E789" s="460"/>
      <c r="F789" s="461">
        <f>'II. Inputs, Baseline Energy Mix'!$P$110</f>
        <v>0</v>
      </c>
      <c r="G789" s="1304">
        <f>IF('II. Inputs, Baseline Energy Mix'!$O$15&gt;0, F789*'II. Inputs, Baseline Energy Mix'!$O$16*'II. Inputs, Baseline Energy Mix'!$O$17,0)</f>
        <v>0</v>
      </c>
      <c r="H789" s="1304">
        <f>$G$789*H785</f>
        <v>0</v>
      </c>
      <c r="I789" s="1304">
        <f t="shared" ref="I789:BE789" si="255">$G$789*I785</f>
        <v>0</v>
      </c>
      <c r="J789" s="1304">
        <f t="shared" si="255"/>
        <v>0</v>
      </c>
      <c r="K789" s="1304">
        <f t="shared" si="255"/>
        <v>0</v>
      </c>
      <c r="L789" s="1304">
        <f t="shared" si="255"/>
        <v>0</v>
      </c>
      <c r="M789" s="1304">
        <f t="shared" si="255"/>
        <v>0</v>
      </c>
      <c r="N789" s="1304">
        <f t="shared" si="255"/>
        <v>0</v>
      </c>
      <c r="O789" s="1304">
        <f t="shared" si="255"/>
        <v>0</v>
      </c>
      <c r="P789" s="1304">
        <f t="shared" si="255"/>
        <v>0</v>
      </c>
      <c r="Q789" s="1304">
        <f t="shared" si="255"/>
        <v>0</v>
      </c>
      <c r="R789" s="1304">
        <f t="shared" si="255"/>
        <v>0</v>
      </c>
      <c r="S789" s="1304">
        <f t="shared" si="255"/>
        <v>0</v>
      </c>
      <c r="T789" s="1304">
        <f t="shared" si="255"/>
        <v>0</v>
      </c>
      <c r="U789" s="1304">
        <f t="shared" si="255"/>
        <v>0</v>
      </c>
      <c r="V789" s="1304">
        <f t="shared" si="255"/>
        <v>0</v>
      </c>
      <c r="W789" s="1304">
        <f t="shared" si="255"/>
        <v>0</v>
      </c>
      <c r="X789" s="1304">
        <f t="shared" si="255"/>
        <v>0</v>
      </c>
      <c r="Y789" s="1304">
        <f t="shared" si="255"/>
        <v>0</v>
      </c>
      <c r="Z789" s="1304">
        <f t="shared" si="255"/>
        <v>0</v>
      </c>
      <c r="AA789" s="1304">
        <f t="shared" si="255"/>
        <v>0</v>
      </c>
      <c r="AB789" s="1304">
        <f t="shared" si="255"/>
        <v>0</v>
      </c>
      <c r="AC789" s="1304">
        <f t="shared" si="255"/>
        <v>0</v>
      </c>
      <c r="AD789" s="1304">
        <f t="shared" si="255"/>
        <v>0</v>
      </c>
      <c r="AE789" s="1304">
        <f t="shared" si="255"/>
        <v>0</v>
      </c>
      <c r="AF789" s="1304">
        <f t="shared" si="255"/>
        <v>0</v>
      </c>
      <c r="AG789" s="1304">
        <f t="shared" si="255"/>
        <v>0</v>
      </c>
      <c r="AH789" s="1304">
        <f t="shared" si="255"/>
        <v>0</v>
      </c>
      <c r="AI789" s="1304">
        <f t="shared" si="255"/>
        <v>0</v>
      </c>
      <c r="AJ789" s="1304">
        <f t="shared" si="255"/>
        <v>0</v>
      </c>
      <c r="AK789" s="1304">
        <f t="shared" si="255"/>
        <v>0</v>
      </c>
      <c r="AL789" s="1304">
        <f t="shared" si="255"/>
        <v>0</v>
      </c>
      <c r="AM789" s="1304">
        <f t="shared" si="255"/>
        <v>0</v>
      </c>
      <c r="AN789" s="1304">
        <f t="shared" si="255"/>
        <v>0</v>
      </c>
      <c r="AO789" s="1304">
        <f t="shared" si="255"/>
        <v>0</v>
      </c>
      <c r="AP789" s="1304">
        <f t="shared" si="255"/>
        <v>0</v>
      </c>
      <c r="AQ789" s="1304">
        <f t="shared" si="255"/>
        <v>0</v>
      </c>
      <c r="AR789" s="1304">
        <f t="shared" si="255"/>
        <v>0</v>
      </c>
      <c r="AS789" s="1304">
        <f t="shared" si="255"/>
        <v>0</v>
      </c>
      <c r="AT789" s="1304">
        <f t="shared" si="255"/>
        <v>0</v>
      </c>
      <c r="AU789" s="1304">
        <f t="shared" si="255"/>
        <v>0</v>
      </c>
      <c r="AV789" s="1304">
        <f t="shared" si="255"/>
        <v>0</v>
      </c>
      <c r="AW789" s="1304">
        <f t="shared" si="255"/>
        <v>0</v>
      </c>
      <c r="AX789" s="1304">
        <f t="shared" si="255"/>
        <v>0</v>
      </c>
      <c r="AY789" s="1304">
        <f t="shared" si="255"/>
        <v>0</v>
      </c>
      <c r="AZ789" s="1304">
        <f t="shared" si="255"/>
        <v>0</v>
      </c>
      <c r="BA789" s="1304">
        <f t="shared" si="255"/>
        <v>0</v>
      </c>
      <c r="BB789" s="1304">
        <f t="shared" si="255"/>
        <v>0</v>
      </c>
      <c r="BC789" s="1304">
        <f t="shared" si="255"/>
        <v>0</v>
      </c>
      <c r="BD789" s="1304">
        <f t="shared" si="255"/>
        <v>0</v>
      </c>
      <c r="BE789" s="1305">
        <f t="shared" si="255"/>
        <v>0</v>
      </c>
    </row>
    <row r="790" spans="1:57" x14ac:dyDescent="0.25">
      <c r="B790" s="445"/>
      <c r="C790" s="446" t="s">
        <v>63</v>
      </c>
      <c r="D790" s="446"/>
      <c r="E790" s="446"/>
      <c r="F790" s="446"/>
      <c r="G790" s="1302">
        <f>G788+G789</f>
        <v>0</v>
      </c>
      <c r="H790" s="1302">
        <f>H788+H789</f>
        <v>0</v>
      </c>
      <c r="I790" s="1302">
        <f t="shared" ref="I790:BE790" si="256">I788+I789</f>
        <v>0</v>
      </c>
      <c r="J790" s="1302">
        <f t="shared" si="256"/>
        <v>0</v>
      </c>
      <c r="K790" s="1302">
        <f t="shared" si="256"/>
        <v>0</v>
      </c>
      <c r="L790" s="1302">
        <f t="shared" si="256"/>
        <v>0</v>
      </c>
      <c r="M790" s="1302">
        <f t="shared" si="256"/>
        <v>0</v>
      </c>
      <c r="N790" s="1302">
        <f t="shared" si="256"/>
        <v>0</v>
      </c>
      <c r="O790" s="1302">
        <f t="shared" si="256"/>
        <v>0</v>
      </c>
      <c r="P790" s="1302">
        <f t="shared" si="256"/>
        <v>0</v>
      </c>
      <c r="Q790" s="1302">
        <f t="shared" si="256"/>
        <v>0</v>
      </c>
      <c r="R790" s="1302">
        <f t="shared" si="256"/>
        <v>0</v>
      </c>
      <c r="S790" s="1302">
        <f t="shared" si="256"/>
        <v>0</v>
      </c>
      <c r="T790" s="1302">
        <f t="shared" si="256"/>
        <v>0</v>
      </c>
      <c r="U790" s="1302">
        <f t="shared" si="256"/>
        <v>0</v>
      </c>
      <c r="V790" s="1302">
        <f t="shared" si="256"/>
        <v>0</v>
      </c>
      <c r="W790" s="1302">
        <f t="shared" si="256"/>
        <v>0</v>
      </c>
      <c r="X790" s="1302">
        <f t="shared" si="256"/>
        <v>0</v>
      </c>
      <c r="Y790" s="1302">
        <f t="shared" si="256"/>
        <v>0</v>
      </c>
      <c r="Z790" s="1302">
        <f t="shared" si="256"/>
        <v>0</v>
      </c>
      <c r="AA790" s="1302">
        <f t="shared" si="256"/>
        <v>0</v>
      </c>
      <c r="AB790" s="1302">
        <f t="shared" si="256"/>
        <v>0</v>
      </c>
      <c r="AC790" s="1302">
        <f t="shared" si="256"/>
        <v>0</v>
      </c>
      <c r="AD790" s="1302">
        <f t="shared" si="256"/>
        <v>0</v>
      </c>
      <c r="AE790" s="1302">
        <f t="shared" si="256"/>
        <v>0</v>
      </c>
      <c r="AF790" s="1302">
        <f t="shared" si="256"/>
        <v>0</v>
      </c>
      <c r="AG790" s="1302">
        <f t="shared" si="256"/>
        <v>0</v>
      </c>
      <c r="AH790" s="1302">
        <f t="shared" si="256"/>
        <v>0</v>
      </c>
      <c r="AI790" s="1302">
        <f t="shared" si="256"/>
        <v>0</v>
      </c>
      <c r="AJ790" s="1302">
        <f t="shared" si="256"/>
        <v>0</v>
      </c>
      <c r="AK790" s="1302">
        <f t="shared" si="256"/>
        <v>0</v>
      </c>
      <c r="AL790" s="1302">
        <f t="shared" si="256"/>
        <v>0</v>
      </c>
      <c r="AM790" s="1302">
        <f t="shared" si="256"/>
        <v>0</v>
      </c>
      <c r="AN790" s="1302">
        <f t="shared" si="256"/>
        <v>0</v>
      </c>
      <c r="AO790" s="1302">
        <f t="shared" si="256"/>
        <v>0</v>
      </c>
      <c r="AP790" s="1302">
        <f t="shared" si="256"/>
        <v>0</v>
      </c>
      <c r="AQ790" s="1302">
        <f t="shared" si="256"/>
        <v>0</v>
      </c>
      <c r="AR790" s="1302">
        <f t="shared" si="256"/>
        <v>0</v>
      </c>
      <c r="AS790" s="1302">
        <f t="shared" si="256"/>
        <v>0</v>
      </c>
      <c r="AT790" s="1302">
        <f t="shared" si="256"/>
        <v>0</v>
      </c>
      <c r="AU790" s="1302">
        <f t="shared" si="256"/>
        <v>0</v>
      </c>
      <c r="AV790" s="1302">
        <f t="shared" si="256"/>
        <v>0</v>
      </c>
      <c r="AW790" s="1302">
        <f t="shared" si="256"/>
        <v>0</v>
      </c>
      <c r="AX790" s="1302">
        <f t="shared" si="256"/>
        <v>0</v>
      </c>
      <c r="AY790" s="1302">
        <f t="shared" si="256"/>
        <v>0</v>
      </c>
      <c r="AZ790" s="1302">
        <f t="shared" si="256"/>
        <v>0</v>
      </c>
      <c r="BA790" s="1302">
        <f t="shared" si="256"/>
        <v>0</v>
      </c>
      <c r="BB790" s="1302">
        <f t="shared" si="256"/>
        <v>0</v>
      </c>
      <c r="BC790" s="1302">
        <f t="shared" si="256"/>
        <v>0</v>
      </c>
      <c r="BD790" s="1302">
        <f t="shared" si="256"/>
        <v>0</v>
      </c>
      <c r="BE790" s="1303">
        <f t="shared" si="256"/>
        <v>0</v>
      </c>
    </row>
    <row r="791" spans="1:57" x14ac:dyDescent="0.25">
      <c r="A791" s="462"/>
      <c r="B791" s="445"/>
      <c r="C791" s="446"/>
      <c r="D791" s="446"/>
      <c r="E791" s="446"/>
      <c r="F791" s="446"/>
      <c r="G791" s="446"/>
      <c r="H791" s="446"/>
      <c r="I791" s="446"/>
      <c r="J791" s="446"/>
      <c r="K791" s="446"/>
      <c r="L791" s="446"/>
      <c r="M791" s="446"/>
      <c r="N791" s="446"/>
      <c r="O791" s="446"/>
      <c r="P791" s="446"/>
      <c r="Q791" s="446"/>
      <c r="R791" s="446"/>
      <c r="S791" s="446"/>
      <c r="T791" s="446"/>
      <c r="U791" s="446"/>
      <c r="V791" s="446"/>
      <c r="W791" s="446"/>
      <c r="X791" s="446"/>
      <c r="Y791" s="446"/>
      <c r="Z791" s="446"/>
      <c r="AA791" s="446"/>
      <c r="AB791" s="446"/>
      <c r="AC791" s="446"/>
      <c r="AD791" s="446"/>
      <c r="AE791" s="446"/>
      <c r="AF791" s="446"/>
      <c r="AG791" s="446"/>
      <c r="AH791" s="446"/>
      <c r="AI791" s="446"/>
      <c r="AJ791" s="446"/>
      <c r="AK791" s="446"/>
      <c r="AL791" s="446"/>
      <c r="AM791" s="446"/>
      <c r="AN791" s="446"/>
      <c r="AO791" s="446"/>
      <c r="AP791" s="446"/>
      <c r="AQ791" s="446"/>
      <c r="AR791" s="446"/>
      <c r="AS791" s="446"/>
      <c r="AT791" s="446"/>
      <c r="AU791" s="446"/>
      <c r="AV791" s="446"/>
      <c r="AW791" s="446"/>
      <c r="AX791" s="446"/>
      <c r="AY791" s="446"/>
      <c r="AZ791" s="446"/>
      <c r="BA791" s="446"/>
      <c r="BB791" s="446"/>
      <c r="BC791" s="446"/>
      <c r="BD791" s="446"/>
      <c r="BE791" s="459"/>
    </row>
    <row r="792" spans="1:57" x14ac:dyDescent="0.25">
      <c r="B792" s="463"/>
      <c r="C792" s="460"/>
      <c r="D792" s="460"/>
      <c r="E792" s="460"/>
      <c r="F792" s="460"/>
      <c r="G792" s="460"/>
      <c r="H792" s="460"/>
      <c r="I792" s="460"/>
      <c r="J792" s="460"/>
      <c r="K792" s="460"/>
      <c r="L792" s="460"/>
      <c r="M792" s="460"/>
      <c r="N792" s="460"/>
      <c r="O792" s="460"/>
      <c r="P792" s="460"/>
      <c r="Q792" s="460"/>
      <c r="R792" s="460"/>
      <c r="S792" s="460"/>
      <c r="T792" s="460"/>
      <c r="U792" s="460"/>
      <c r="V792" s="460"/>
      <c r="W792" s="460"/>
      <c r="X792" s="460"/>
      <c r="Y792" s="460"/>
      <c r="Z792" s="460"/>
      <c r="AA792" s="460"/>
      <c r="AB792" s="460"/>
      <c r="AC792" s="460"/>
      <c r="AD792" s="460"/>
      <c r="AE792" s="460"/>
      <c r="AF792" s="460"/>
      <c r="AG792" s="460"/>
      <c r="AH792" s="460"/>
      <c r="AI792" s="460"/>
      <c r="AJ792" s="460"/>
      <c r="AK792" s="460"/>
      <c r="AL792" s="460"/>
      <c r="AM792" s="460"/>
      <c r="AN792" s="460"/>
      <c r="AO792" s="460"/>
      <c r="AP792" s="460"/>
      <c r="AQ792" s="460"/>
      <c r="AR792" s="460"/>
      <c r="AS792" s="460"/>
      <c r="AT792" s="460"/>
      <c r="AU792" s="460"/>
      <c r="AV792" s="460"/>
      <c r="AW792" s="460"/>
      <c r="AX792" s="460"/>
      <c r="AY792" s="460"/>
      <c r="AZ792" s="460"/>
      <c r="BA792" s="460"/>
      <c r="BB792" s="460"/>
      <c r="BC792" s="460"/>
      <c r="BD792" s="460"/>
      <c r="BE792" s="464"/>
    </row>
    <row r="793" spans="1:57" x14ac:dyDescent="0.25"/>
    <row r="794" spans="1:57" x14ac:dyDescent="0.25">
      <c r="B794" s="465"/>
      <c r="C794" s="466" t="str">
        <f>'II. Inputs, Baseline Energy Mix'!P14</f>
        <v>Hydro</v>
      </c>
      <c r="D794" s="467"/>
      <c r="E794" s="467"/>
      <c r="F794" s="467"/>
      <c r="G794" s="467"/>
      <c r="H794" s="467"/>
      <c r="I794" s="467"/>
      <c r="J794" s="467"/>
      <c r="K794" s="467"/>
      <c r="L794" s="467"/>
      <c r="M794" s="467"/>
      <c r="N794" s="467"/>
      <c r="O794" s="467"/>
      <c r="P794" s="467"/>
      <c r="Q794" s="467"/>
      <c r="R794" s="467"/>
      <c r="S794" s="467"/>
      <c r="T794" s="467"/>
      <c r="U794" s="467"/>
      <c r="V794" s="467"/>
      <c r="W794" s="467"/>
      <c r="X794" s="467"/>
      <c r="Y794" s="467"/>
      <c r="Z794" s="467"/>
      <c r="AA794" s="467"/>
      <c r="AB794" s="467"/>
      <c r="AC794" s="467"/>
      <c r="AD794" s="467"/>
      <c r="AE794" s="467"/>
      <c r="AF794" s="467"/>
      <c r="AG794" s="467"/>
      <c r="AH794" s="467"/>
      <c r="AI794" s="467"/>
      <c r="AJ794" s="467"/>
      <c r="AK794" s="467"/>
      <c r="AL794" s="467"/>
      <c r="AM794" s="467"/>
      <c r="AN794" s="467"/>
      <c r="AO794" s="467"/>
      <c r="AP794" s="467"/>
      <c r="AQ794" s="467"/>
      <c r="AR794" s="467"/>
      <c r="AS794" s="467"/>
      <c r="AT794" s="467"/>
      <c r="AU794" s="467"/>
      <c r="AV794" s="467"/>
      <c r="AW794" s="467"/>
      <c r="AX794" s="467"/>
      <c r="AY794" s="467"/>
      <c r="AZ794" s="467"/>
      <c r="BA794" s="467"/>
      <c r="BB794" s="467"/>
      <c r="BC794" s="467"/>
      <c r="BD794" s="467"/>
      <c r="BE794" s="468"/>
    </row>
    <row r="795" spans="1:57" x14ac:dyDescent="0.25">
      <c r="B795" s="469"/>
      <c r="C795" s="470"/>
      <c r="D795" s="470"/>
      <c r="E795" s="470"/>
      <c r="F795" s="470"/>
      <c r="G795" s="470"/>
      <c r="H795" s="470"/>
      <c r="I795" s="470"/>
      <c r="J795" s="470"/>
      <c r="K795" s="470"/>
      <c r="L795" s="470"/>
      <c r="M795" s="470"/>
      <c r="N795" s="470"/>
      <c r="O795" s="470"/>
      <c r="P795" s="470"/>
      <c r="Q795" s="470"/>
      <c r="R795" s="470"/>
      <c r="S795" s="470"/>
      <c r="T795" s="470"/>
      <c r="U795" s="470"/>
      <c r="V795" s="470"/>
      <c r="W795" s="470"/>
      <c r="X795" s="470"/>
      <c r="Y795" s="470"/>
      <c r="Z795" s="470"/>
      <c r="AA795" s="470"/>
      <c r="AB795" s="470"/>
      <c r="AC795" s="470"/>
      <c r="AD795" s="470"/>
      <c r="AE795" s="470"/>
      <c r="AF795" s="470"/>
      <c r="AG795" s="470"/>
      <c r="AH795" s="470"/>
      <c r="AI795" s="470"/>
      <c r="AJ795" s="470"/>
      <c r="AK795" s="470"/>
      <c r="AL795" s="470"/>
      <c r="AM795" s="470"/>
      <c r="AN795" s="470"/>
      <c r="AO795" s="470"/>
      <c r="AP795" s="470"/>
      <c r="AQ795" s="470"/>
      <c r="AR795" s="470"/>
      <c r="AS795" s="470"/>
      <c r="AT795" s="470"/>
      <c r="AU795" s="470"/>
      <c r="AV795" s="470"/>
      <c r="AW795" s="470"/>
      <c r="AX795" s="470"/>
      <c r="AY795" s="470"/>
      <c r="AZ795" s="470"/>
      <c r="BA795" s="470"/>
      <c r="BB795" s="470"/>
      <c r="BC795" s="470"/>
      <c r="BD795" s="470"/>
      <c r="BE795" s="471"/>
    </row>
    <row r="796" spans="1:57" x14ac:dyDescent="0.25">
      <c r="B796" s="469"/>
      <c r="C796" s="472" t="s">
        <v>64</v>
      </c>
      <c r="D796" s="473">
        <f>'II. Inputs, Baseline Energy Mix'!$P$18</f>
        <v>0</v>
      </c>
      <c r="E796" s="474" t="s">
        <v>20</v>
      </c>
      <c r="F796" s="470"/>
      <c r="G796" s="470"/>
      <c r="H796" s="470"/>
      <c r="I796" s="470"/>
      <c r="J796" s="470"/>
      <c r="K796" s="470"/>
      <c r="L796" s="470"/>
      <c r="M796" s="470"/>
      <c r="N796" s="470"/>
      <c r="O796" s="470"/>
      <c r="P796" s="470"/>
      <c r="Q796" s="470"/>
      <c r="R796" s="470"/>
      <c r="S796" s="470"/>
      <c r="T796" s="470"/>
      <c r="U796" s="470"/>
      <c r="V796" s="470"/>
      <c r="W796" s="470"/>
      <c r="X796" s="470"/>
      <c r="Y796" s="470"/>
      <c r="Z796" s="470"/>
      <c r="AA796" s="470"/>
      <c r="AB796" s="470"/>
      <c r="AC796" s="470"/>
      <c r="AD796" s="470"/>
      <c r="AE796" s="470"/>
      <c r="AF796" s="470"/>
      <c r="AG796" s="470"/>
      <c r="AH796" s="470"/>
      <c r="AI796" s="470"/>
      <c r="AJ796" s="470"/>
      <c r="AK796" s="470"/>
      <c r="AL796" s="470"/>
      <c r="AM796" s="470"/>
      <c r="AN796" s="470"/>
      <c r="AO796" s="470"/>
      <c r="AP796" s="470"/>
      <c r="AQ796" s="470"/>
      <c r="AR796" s="470"/>
      <c r="AS796" s="470"/>
      <c r="AT796" s="470"/>
      <c r="AU796" s="470"/>
      <c r="AV796" s="470"/>
      <c r="AW796" s="470"/>
      <c r="AX796" s="470"/>
      <c r="AY796" s="470"/>
      <c r="AZ796" s="470"/>
      <c r="BA796" s="470"/>
      <c r="BB796" s="470"/>
      <c r="BC796" s="470"/>
      <c r="BD796" s="470"/>
      <c r="BE796" s="471"/>
    </row>
    <row r="797" spans="1:57" x14ac:dyDescent="0.25">
      <c r="B797" s="469"/>
      <c r="C797" s="470"/>
      <c r="D797" s="470"/>
      <c r="E797" s="470"/>
      <c r="F797" s="470"/>
      <c r="G797" s="470"/>
      <c r="H797" s="470"/>
      <c r="I797" s="470"/>
      <c r="J797" s="470"/>
      <c r="K797" s="470"/>
      <c r="L797" s="470"/>
      <c r="M797" s="470"/>
      <c r="N797" s="470"/>
      <c r="O797" s="470"/>
      <c r="P797" s="470"/>
      <c r="Q797" s="470"/>
      <c r="R797" s="470"/>
      <c r="S797" s="470"/>
      <c r="T797" s="470"/>
      <c r="U797" s="470"/>
      <c r="V797" s="470"/>
      <c r="W797" s="470"/>
      <c r="X797" s="470"/>
      <c r="Y797" s="470"/>
      <c r="Z797" s="470"/>
      <c r="AA797" s="470"/>
      <c r="AB797" s="470"/>
      <c r="AC797" s="470"/>
      <c r="AD797" s="470"/>
      <c r="AE797" s="470"/>
      <c r="AF797" s="470"/>
      <c r="AG797" s="470"/>
      <c r="AH797" s="470"/>
      <c r="AI797" s="470"/>
      <c r="AJ797" s="470"/>
      <c r="AK797" s="470"/>
      <c r="AL797" s="470"/>
      <c r="AM797" s="470"/>
      <c r="AN797" s="470"/>
      <c r="AO797" s="470"/>
      <c r="AP797" s="470"/>
      <c r="AQ797" s="470"/>
      <c r="AR797" s="470"/>
      <c r="AS797" s="470"/>
      <c r="AT797" s="470"/>
      <c r="AU797" s="470"/>
      <c r="AV797" s="470"/>
      <c r="AW797" s="470"/>
      <c r="AX797" s="470"/>
      <c r="AY797" s="470"/>
      <c r="AZ797" s="470"/>
      <c r="BA797" s="470"/>
      <c r="BB797" s="470"/>
      <c r="BC797" s="470"/>
      <c r="BD797" s="470"/>
      <c r="BE797" s="471"/>
    </row>
    <row r="798" spans="1:57" x14ac:dyDescent="0.25">
      <c r="B798" s="469"/>
      <c r="C798" s="470" t="s">
        <v>59</v>
      </c>
      <c r="D798" s="470"/>
      <c r="E798" s="470"/>
      <c r="F798" s="470"/>
      <c r="G798" s="475"/>
      <c r="H798" s="476">
        <f>IF($H764&gt;$D$796,0,1/$D$796)</f>
        <v>0</v>
      </c>
      <c r="I798" s="476">
        <f t="shared" ref="I798:BE798" si="257">IF($H764&gt;$D$796,0,1/$D$796)</f>
        <v>0</v>
      </c>
      <c r="J798" s="476">
        <f t="shared" si="257"/>
        <v>0</v>
      </c>
      <c r="K798" s="476">
        <f t="shared" si="257"/>
        <v>0</v>
      </c>
      <c r="L798" s="476">
        <f t="shared" si="257"/>
        <v>0</v>
      </c>
      <c r="M798" s="476">
        <f t="shared" si="257"/>
        <v>0</v>
      </c>
      <c r="N798" s="476">
        <f t="shared" si="257"/>
        <v>0</v>
      </c>
      <c r="O798" s="476">
        <f t="shared" si="257"/>
        <v>0</v>
      </c>
      <c r="P798" s="476">
        <f t="shared" si="257"/>
        <v>0</v>
      </c>
      <c r="Q798" s="476">
        <f t="shared" si="257"/>
        <v>0</v>
      </c>
      <c r="R798" s="476">
        <f t="shared" si="257"/>
        <v>0</v>
      </c>
      <c r="S798" s="476">
        <f t="shared" si="257"/>
        <v>0</v>
      </c>
      <c r="T798" s="476">
        <f t="shared" si="257"/>
        <v>0</v>
      </c>
      <c r="U798" s="476">
        <f t="shared" si="257"/>
        <v>0</v>
      </c>
      <c r="V798" s="476">
        <f t="shared" si="257"/>
        <v>0</v>
      </c>
      <c r="W798" s="476">
        <f t="shared" si="257"/>
        <v>0</v>
      </c>
      <c r="X798" s="476">
        <f t="shared" si="257"/>
        <v>0</v>
      </c>
      <c r="Y798" s="476">
        <f t="shared" si="257"/>
        <v>0</v>
      </c>
      <c r="Z798" s="476">
        <f t="shared" si="257"/>
        <v>0</v>
      </c>
      <c r="AA798" s="476">
        <f t="shared" si="257"/>
        <v>0</v>
      </c>
      <c r="AB798" s="476">
        <f t="shared" si="257"/>
        <v>0</v>
      </c>
      <c r="AC798" s="476">
        <f t="shared" si="257"/>
        <v>0</v>
      </c>
      <c r="AD798" s="476">
        <f t="shared" si="257"/>
        <v>0</v>
      </c>
      <c r="AE798" s="476">
        <f t="shared" si="257"/>
        <v>0</v>
      </c>
      <c r="AF798" s="476">
        <f t="shared" si="257"/>
        <v>0</v>
      </c>
      <c r="AG798" s="476">
        <f t="shared" si="257"/>
        <v>0</v>
      </c>
      <c r="AH798" s="476">
        <f t="shared" si="257"/>
        <v>0</v>
      </c>
      <c r="AI798" s="476">
        <f t="shared" si="257"/>
        <v>0</v>
      </c>
      <c r="AJ798" s="476">
        <f t="shared" si="257"/>
        <v>0</v>
      </c>
      <c r="AK798" s="476">
        <f t="shared" si="257"/>
        <v>0</v>
      </c>
      <c r="AL798" s="476">
        <f t="shared" si="257"/>
        <v>0</v>
      </c>
      <c r="AM798" s="476">
        <f t="shared" si="257"/>
        <v>0</v>
      </c>
      <c r="AN798" s="476">
        <f t="shared" si="257"/>
        <v>0</v>
      </c>
      <c r="AO798" s="476">
        <f t="shared" si="257"/>
        <v>0</v>
      </c>
      <c r="AP798" s="476">
        <f t="shared" si="257"/>
        <v>0</v>
      </c>
      <c r="AQ798" s="476">
        <f t="shared" si="257"/>
        <v>0</v>
      </c>
      <c r="AR798" s="476">
        <f t="shared" si="257"/>
        <v>0</v>
      </c>
      <c r="AS798" s="476">
        <f t="shared" si="257"/>
        <v>0</v>
      </c>
      <c r="AT798" s="476">
        <f t="shared" si="257"/>
        <v>0</v>
      </c>
      <c r="AU798" s="476">
        <f t="shared" si="257"/>
        <v>0</v>
      </c>
      <c r="AV798" s="476">
        <f t="shared" si="257"/>
        <v>0</v>
      </c>
      <c r="AW798" s="476">
        <f t="shared" si="257"/>
        <v>0</v>
      </c>
      <c r="AX798" s="476">
        <f t="shared" si="257"/>
        <v>0</v>
      </c>
      <c r="AY798" s="476">
        <f t="shared" si="257"/>
        <v>0</v>
      </c>
      <c r="AZ798" s="476">
        <f t="shared" si="257"/>
        <v>0</v>
      </c>
      <c r="BA798" s="476">
        <f t="shared" si="257"/>
        <v>0</v>
      </c>
      <c r="BB798" s="476">
        <f t="shared" si="257"/>
        <v>0</v>
      </c>
      <c r="BC798" s="476">
        <f t="shared" si="257"/>
        <v>0</v>
      </c>
      <c r="BD798" s="476">
        <f t="shared" si="257"/>
        <v>0</v>
      </c>
      <c r="BE798" s="477">
        <f t="shared" si="257"/>
        <v>0</v>
      </c>
    </row>
    <row r="799" spans="1:57" x14ac:dyDescent="0.25">
      <c r="B799" s="469"/>
      <c r="C799" s="470" t="s">
        <v>60</v>
      </c>
      <c r="D799" s="470"/>
      <c r="E799" s="470"/>
      <c r="F799" s="470"/>
      <c r="G799" s="478"/>
      <c r="H799" s="476">
        <v>0</v>
      </c>
      <c r="I799" s="476">
        <v>0</v>
      </c>
      <c r="J799" s="476">
        <v>0</v>
      </c>
      <c r="K799" s="476">
        <v>0</v>
      </c>
      <c r="L799" s="476">
        <v>0</v>
      </c>
      <c r="M799" s="476">
        <v>0</v>
      </c>
      <c r="N799" s="476">
        <v>0</v>
      </c>
      <c r="O799" s="476">
        <v>0</v>
      </c>
      <c r="P799" s="476">
        <v>0</v>
      </c>
      <c r="Q799" s="476">
        <v>0</v>
      </c>
      <c r="R799" s="476">
        <v>0</v>
      </c>
      <c r="S799" s="476">
        <v>0</v>
      </c>
      <c r="T799" s="476">
        <v>0</v>
      </c>
      <c r="U799" s="476">
        <v>0</v>
      </c>
      <c r="V799" s="476">
        <v>0</v>
      </c>
      <c r="W799" s="476">
        <v>0</v>
      </c>
      <c r="X799" s="476">
        <v>0</v>
      </c>
      <c r="Y799" s="476">
        <v>0</v>
      </c>
      <c r="Z799" s="476">
        <v>0</v>
      </c>
      <c r="AA799" s="476">
        <v>0</v>
      </c>
      <c r="AB799" s="476">
        <v>0</v>
      </c>
      <c r="AC799" s="476">
        <v>0</v>
      </c>
      <c r="AD799" s="476">
        <v>0</v>
      </c>
      <c r="AE799" s="476">
        <v>0</v>
      </c>
      <c r="AF799" s="476">
        <v>0</v>
      </c>
      <c r="AG799" s="476">
        <v>0</v>
      </c>
      <c r="AH799" s="476">
        <v>0</v>
      </c>
      <c r="AI799" s="476">
        <v>0</v>
      </c>
      <c r="AJ799" s="476">
        <v>0</v>
      </c>
      <c r="AK799" s="476">
        <v>0</v>
      </c>
      <c r="AL799" s="476">
        <v>0</v>
      </c>
      <c r="AM799" s="476">
        <v>0</v>
      </c>
      <c r="AN799" s="476">
        <v>0</v>
      </c>
      <c r="AO799" s="476">
        <v>0</v>
      </c>
      <c r="AP799" s="476">
        <v>0</v>
      </c>
      <c r="AQ799" s="476">
        <v>0</v>
      </c>
      <c r="AR799" s="476">
        <v>0</v>
      </c>
      <c r="AS799" s="476">
        <v>0</v>
      </c>
      <c r="AT799" s="476">
        <v>0</v>
      </c>
      <c r="AU799" s="476">
        <v>0</v>
      </c>
      <c r="AV799" s="476">
        <v>0</v>
      </c>
      <c r="AW799" s="476">
        <v>0</v>
      </c>
      <c r="AX799" s="476">
        <v>0</v>
      </c>
      <c r="AY799" s="476">
        <v>0</v>
      </c>
      <c r="AZ799" s="476">
        <v>0</v>
      </c>
      <c r="BA799" s="476">
        <v>0</v>
      </c>
      <c r="BB799" s="476">
        <v>0</v>
      </c>
      <c r="BC799" s="476">
        <v>0</v>
      </c>
      <c r="BD799" s="476">
        <v>0</v>
      </c>
      <c r="BE799" s="477">
        <v>0</v>
      </c>
    </row>
    <row r="800" spans="1:57" x14ac:dyDescent="0.25">
      <c r="B800" s="469"/>
      <c r="C800" s="470"/>
      <c r="D800" s="470"/>
      <c r="E800" s="470"/>
      <c r="F800" s="470"/>
      <c r="G800" s="470"/>
      <c r="H800" s="470"/>
      <c r="I800" s="470"/>
      <c r="J800" s="470"/>
      <c r="K800" s="470"/>
      <c r="L800" s="470"/>
      <c r="M800" s="470"/>
      <c r="N800" s="470"/>
      <c r="O800" s="470"/>
      <c r="P800" s="470"/>
      <c r="Q800" s="470"/>
      <c r="R800" s="470"/>
      <c r="S800" s="470"/>
      <c r="T800" s="470"/>
      <c r="U800" s="470"/>
      <c r="V800" s="470"/>
      <c r="W800" s="470"/>
      <c r="X800" s="470"/>
      <c r="Y800" s="470"/>
      <c r="Z800" s="470"/>
      <c r="AA800" s="470"/>
      <c r="AB800" s="470"/>
      <c r="AC800" s="470"/>
      <c r="AD800" s="470"/>
      <c r="AE800" s="470"/>
      <c r="AF800" s="470"/>
      <c r="AG800" s="470"/>
      <c r="AH800" s="470"/>
      <c r="AI800" s="470"/>
      <c r="AJ800" s="470"/>
      <c r="AK800" s="470"/>
      <c r="AL800" s="470"/>
      <c r="AM800" s="470"/>
      <c r="AN800" s="470"/>
      <c r="AO800" s="470"/>
      <c r="AP800" s="470"/>
      <c r="AQ800" s="470"/>
      <c r="AR800" s="470"/>
      <c r="AS800" s="470"/>
      <c r="AT800" s="470"/>
      <c r="AU800" s="470"/>
      <c r="AV800" s="470"/>
      <c r="AW800" s="470"/>
      <c r="AX800" s="470"/>
      <c r="AY800" s="470"/>
      <c r="AZ800" s="470"/>
      <c r="BA800" s="470"/>
      <c r="BB800" s="470"/>
      <c r="BC800" s="470"/>
      <c r="BD800" s="470"/>
      <c r="BE800" s="471"/>
    </row>
    <row r="801" spans="2:57" x14ac:dyDescent="0.25">
      <c r="B801" s="469"/>
      <c r="C801" s="470"/>
      <c r="D801" s="470"/>
      <c r="E801" s="470"/>
      <c r="F801" s="479" t="s">
        <v>61</v>
      </c>
      <c r="G801" s="479" t="s">
        <v>62</v>
      </c>
      <c r="H801" s="470"/>
      <c r="I801" s="470"/>
      <c r="J801" s="470"/>
      <c r="K801" s="470"/>
      <c r="L801" s="470"/>
      <c r="M801" s="470"/>
      <c r="N801" s="470"/>
      <c r="O801" s="470"/>
      <c r="P801" s="470"/>
      <c r="Q801" s="470"/>
      <c r="R801" s="470"/>
      <c r="S801" s="470"/>
      <c r="T801" s="470"/>
      <c r="U801" s="470"/>
      <c r="V801" s="470"/>
      <c r="W801" s="470"/>
      <c r="X801" s="470"/>
      <c r="Y801" s="470"/>
      <c r="Z801" s="470"/>
      <c r="AA801" s="470"/>
      <c r="AB801" s="470"/>
      <c r="AC801" s="470"/>
      <c r="AD801" s="470"/>
      <c r="AE801" s="470"/>
      <c r="AF801" s="470"/>
      <c r="AG801" s="470"/>
      <c r="AH801" s="470"/>
      <c r="AI801" s="470"/>
      <c r="AJ801" s="470"/>
      <c r="AK801" s="470"/>
      <c r="AL801" s="470"/>
      <c r="AM801" s="470"/>
      <c r="AN801" s="470"/>
      <c r="AO801" s="470"/>
      <c r="AP801" s="470"/>
      <c r="AQ801" s="470"/>
      <c r="AR801" s="470"/>
      <c r="AS801" s="470"/>
      <c r="AT801" s="470"/>
      <c r="AU801" s="470"/>
      <c r="AV801" s="470"/>
      <c r="AW801" s="470"/>
      <c r="AX801" s="470"/>
      <c r="AY801" s="470"/>
      <c r="AZ801" s="470"/>
      <c r="BA801" s="470"/>
      <c r="BB801" s="470"/>
      <c r="BC801" s="470"/>
      <c r="BD801" s="470"/>
      <c r="BE801" s="471"/>
    </row>
    <row r="802" spans="2:57" x14ac:dyDescent="0.25">
      <c r="B802" s="469"/>
      <c r="C802" s="470" t="s">
        <v>57</v>
      </c>
      <c r="D802" s="470"/>
      <c r="E802" s="470"/>
      <c r="F802" s="476">
        <f>'II. Inputs, Baseline Energy Mix'!$P$109</f>
        <v>1</v>
      </c>
      <c r="G802" s="1306">
        <f>IF('II. Inputs, Baseline Energy Mix'!$P$15&gt;0, F802*'II. Inputs, Baseline Energy Mix'!$P$16*'II. Inputs, Baseline Energy Mix'!$P$17,0)</f>
        <v>0</v>
      </c>
      <c r="H802" s="1306">
        <f>$G$802*H798</f>
        <v>0</v>
      </c>
      <c r="I802" s="1306">
        <f t="shared" ref="I802:BE802" si="258">$G$802*I798</f>
        <v>0</v>
      </c>
      <c r="J802" s="1306">
        <f t="shared" si="258"/>
        <v>0</v>
      </c>
      <c r="K802" s="1306">
        <f t="shared" si="258"/>
        <v>0</v>
      </c>
      <c r="L802" s="1306">
        <f t="shared" si="258"/>
        <v>0</v>
      </c>
      <c r="M802" s="1306">
        <f t="shared" si="258"/>
        <v>0</v>
      </c>
      <c r="N802" s="1306">
        <f t="shared" si="258"/>
        <v>0</v>
      </c>
      <c r="O802" s="1306">
        <f t="shared" si="258"/>
        <v>0</v>
      </c>
      <c r="P802" s="1306">
        <f t="shared" si="258"/>
        <v>0</v>
      </c>
      <c r="Q802" s="1306">
        <f t="shared" si="258"/>
        <v>0</v>
      </c>
      <c r="R802" s="1306">
        <f t="shared" si="258"/>
        <v>0</v>
      </c>
      <c r="S802" s="1306">
        <f t="shared" si="258"/>
        <v>0</v>
      </c>
      <c r="T802" s="1306">
        <f t="shared" si="258"/>
        <v>0</v>
      </c>
      <c r="U802" s="1306">
        <f t="shared" si="258"/>
        <v>0</v>
      </c>
      <c r="V802" s="1306">
        <f t="shared" si="258"/>
        <v>0</v>
      </c>
      <c r="W802" s="1306">
        <f t="shared" si="258"/>
        <v>0</v>
      </c>
      <c r="X802" s="1306">
        <f t="shared" si="258"/>
        <v>0</v>
      </c>
      <c r="Y802" s="1306">
        <f t="shared" si="258"/>
        <v>0</v>
      </c>
      <c r="Z802" s="1306">
        <f t="shared" si="258"/>
        <v>0</v>
      </c>
      <c r="AA802" s="1306">
        <f t="shared" si="258"/>
        <v>0</v>
      </c>
      <c r="AB802" s="1306">
        <f t="shared" si="258"/>
        <v>0</v>
      </c>
      <c r="AC802" s="1306">
        <f t="shared" si="258"/>
        <v>0</v>
      </c>
      <c r="AD802" s="1306">
        <f t="shared" si="258"/>
        <v>0</v>
      </c>
      <c r="AE802" s="1306">
        <f t="shared" si="258"/>
        <v>0</v>
      </c>
      <c r="AF802" s="1306">
        <f t="shared" si="258"/>
        <v>0</v>
      </c>
      <c r="AG802" s="1306">
        <f t="shared" si="258"/>
        <v>0</v>
      </c>
      <c r="AH802" s="1306">
        <f t="shared" si="258"/>
        <v>0</v>
      </c>
      <c r="AI802" s="1306">
        <f t="shared" si="258"/>
        <v>0</v>
      </c>
      <c r="AJ802" s="1306">
        <f t="shared" si="258"/>
        <v>0</v>
      </c>
      <c r="AK802" s="1306">
        <f t="shared" si="258"/>
        <v>0</v>
      </c>
      <c r="AL802" s="1306">
        <f t="shared" si="258"/>
        <v>0</v>
      </c>
      <c r="AM802" s="1306">
        <f t="shared" si="258"/>
        <v>0</v>
      </c>
      <c r="AN802" s="1306">
        <f t="shared" si="258"/>
        <v>0</v>
      </c>
      <c r="AO802" s="1306">
        <f t="shared" si="258"/>
        <v>0</v>
      </c>
      <c r="AP802" s="1306">
        <f t="shared" si="258"/>
        <v>0</v>
      </c>
      <c r="AQ802" s="1306">
        <f t="shared" si="258"/>
        <v>0</v>
      </c>
      <c r="AR802" s="1306">
        <f t="shared" si="258"/>
        <v>0</v>
      </c>
      <c r="AS802" s="1306">
        <f t="shared" si="258"/>
        <v>0</v>
      </c>
      <c r="AT802" s="1306">
        <f t="shared" si="258"/>
        <v>0</v>
      </c>
      <c r="AU802" s="1306">
        <f t="shared" si="258"/>
        <v>0</v>
      </c>
      <c r="AV802" s="1306">
        <f t="shared" si="258"/>
        <v>0</v>
      </c>
      <c r="AW802" s="1306">
        <f t="shared" si="258"/>
        <v>0</v>
      </c>
      <c r="AX802" s="1306">
        <f t="shared" si="258"/>
        <v>0</v>
      </c>
      <c r="AY802" s="1306">
        <f t="shared" si="258"/>
        <v>0</v>
      </c>
      <c r="AZ802" s="1306">
        <f t="shared" si="258"/>
        <v>0</v>
      </c>
      <c r="BA802" s="1306">
        <f t="shared" si="258"/>
        <v>0</v>
      </c>
      <c r="BB802" s="1306">
        <f t="shared" si="258"/>
        <v>0</v>
      </c>
      <c r="BC802" s="1306">
        <f t="shared" si="258"/>
        <v>0</v>
      </c>
      <c r="BD802" s="1306">
        <f t="shared" si="258"/>
        <v>0</v>
      </c>
      <c r="BE802" s="1307">
        <f t="shared" si="258"/>
        <v>0</v>
      </c>
    </row>
    <row r="803" spans="2:57" x14ac:dyDescent="0.25">
      <c r="B803" s="469"/>
      <c r="C803" s="480" t="s">
        <v>18</v>
      </c>
      <c r="D803" s="480"/>
      <c r="E803" s="480"/>
      <c r="F803" s="481">
        <f>'II. Inputs, Baseline Energy Mix'!$P$110</f>
        <v>0</v>
      </c>
      <c r="G803" s="1308">
        <f>IF('II. Inputs, Baseline Energy Mix'!$P$15&gt;0, F803*'II. Inputs, Baseline Energy Mix'!$P$16*'II. Inputs, Baseline Energy Mix'!$P$17,0)</f>
        <v>0</v>
      </c>
      <c r="H803" s="1308">
        <f>$G$803*H799</f>
        <v>0</v>
      </c>
      <c r="I803" s="1308">
        <f t="shared" ref="I803:BE803" si="259">$G$803*I799</f>
        <v>0</v>
      </c>
      <c r="J803" s="1308">
        <f t="shared" si="259"/>
        <v>0</v>
      </c>
      <c r="K803" s="1308">
        <f t="shared" si="259"/>
        <v>0</v>
      </c>
      <c r="L803" s="1308">
        <f t="shared" si="259"/>
        <v>0</v>
      </c>
      <c r="M803" s="1308">
        <f t="shared" si="259"/>
        <v>0</v>
      </c>
      <c r="N803" s="1308">
        <f t="shared" si="259"/>
        <v>0</v>
      </c>
      <c r="O803" s="1308">
        <f t="shared" si="259"/>
        <v>0</v>
      </c>
      <c r="P803" s="1308">
        <f t="shared" si="259"/>
        <v>0</v>
      </c>
      <c r="Q803" s="1308">
        <f t="shared" si="259"/>
        <v>0</v>
      </c>
      <c r="R803" s="1308">
        <f t="shared" si="259"/>
        <v>0</v>
      </c>
      <c r="S803" s="1308">
        <f t="shared" si="259"/>
        <v>0</v>
      </c>
      <c r="T803" s="1308">
        <f t="shared" si="259"/>
        <v>0</v>
      </c>
      <c r="U803" s="1308">
        <f t="shared" si="259"/>
        <v>0</v>
      </c>
      <c r="V803" s="1308">
        <f t="shared" si="259"/>
        <v>0</v>
      </c>
      <c r="W803" s="1308">
        <f t="shared" si="259"/>
        <v>0</v>
      </c>
      <c r="X803" s="1308">
        <f t="shared" si="259"/>
        <v>0</v>
      </c>
      <c r="Y803" s="1308">
        <f t="shared" si="259"/>
        <v>0</v>
      </c>
      <c r="Z803" s="1308">
        <f t="shared" si="259"/>
        <v>0</v>
      </c>
      <c r="AA803" s="1308">
        <f t="shared" si="259"/>
        <v>0</v>
      </c>
      <c r="AB803" s="1308">
        <f t="shared" si="259"/>
        <v>0</v>
      </c>
      <c r="AC803" s="1308">
        <f t="shared" si="259"/>
        <v>0</v>
      </c>
      <c r="AD803" s="1308">
        <f t="shared" si="259"/>
        <v>0</v>
      </c>
      <c r="AE803" s="1308">
        <f t="shared" si="259"/>
        <v>0</v>
      </c>
      <c r="AF803" s="1308">
        <f t="shared" si="259"/>
        <v>0</v>
      </c>
      <c r="AG803" s="1308">
        <f t="shared" si="259"/>
        <v>0</v>
      </c>
      <c r="AH803" s="1308">
        <f t="shared" si="259"/>
        <v>0</v>
      </c>
      <c r="AI803" s="1308">
        <f t="shared" si="259"/>
        <v>0</v>
      </c>
      <c r="AJ803" s="1308">
        <f t="shared" si="259"/>
        <v>0</v>
      </c>
      <c r="AK803" s="1308">
        <f t="shared" si="259"/>
        <v>0</v>
      </c>
      <c r="AL803" s="1308">
        <f t="shared" si="259"/>
        <v>0</v>
      </c>
      <c r="AM803" s="1308">
        <f t="shared" si="259"/>
        <v>0</v>
      </c>
      <c r="AN803" s="1308">
        <f t="shared" si="259"/>
        <v>0</v>
      </c>
      <c r="AO803" s="1308">
        <f t="shared" si="259"/>
        <v>0</v>
      </c>
      <c r="AP803" s="1308">
        <f t="shared" si="259"/>
        <v>0</v>
      </c>
      <c r="AQ803" s="1308">
        <f t="shared" si="259"/>
        <v>0</v>
      </c>
      <c r="AR803" s="1308">
        <f t="shared" si="259"/>
        <v>0</v>
      </c>
      <c r="AS803" s="1308">
        <f t="shared" si="259"/>
        <v>0</v>
      </c>
      <c r="AT803" s="1308">
        <f t="shared" si="259"/>
        <v>0</v>
      </c>
      <c r="AU803" s="1308">
        <f t="shared" si="259"/>
        <v>0</v>
      </c>
      <c r="AV803" s="1308">
        <f t="shared" si="259"/>
        <v>0</v>
      </c>
      <c r="AW803" s="1308">
        <f t="shared" si="259"/>
        <v>0</v>
      </c>
      <c r="AX803" s="1308">
        <f t="shared" si="259"/>
        <v>0</v>
      </c>
      <c r="AY803" s="1308">
        <f t="shared" si="259"/>
        <v>0</v>
      </c>
      <c r="AZ803" s="1308">
        <f t="shared" si="259"/>
        <v>0</v>
      </c>
      <c r="BA803" s="1308">
        <f t="shared" si="259"/>
        <v>0</v>
      </c>
      <c r="BB803" s="1308">
        <f t="shared" si="259"/>
        <v>0</v>
      </c>
      <c r="BC803" s="1308">
        <f t="shared" si="259"/>
        <v>0</v>
      </c>
      <c r="BD803" s="1308">
        <f t="shared" si="259"/>
        <v>0</v>
      </c>
      <c r="BE803" s="1309">
        <f t="shared" si="259"/>
        <v>0</v>
      </c>
    </row>
    <row r="804" spans="2:57" x14ac:dyDescent="0.25">
      <c r="B804" s="469"/>
      <c r="C804" s="470" t="s">
        <v>63</v>
      </c>
      <c r="D804" s="470"/>
      <c r="E804" s="470"/>
      <c r="F804" s="470"/>
      <c r="G804" s="1306">
        <f>G802+G803</f>
        <v>0</v>
      </c>
      <c r="H804" s="1306">
        <f>H802+H803</f>
        <v>0</v>
      </c>
      <c r="I804" s="1306">
        <f t="shared" ref="I804:BE804" si="260">I802+I803</f>
        <v>0</v>
      </c>
      <c r="J804" s="1306">
        <f t="shared" si="260"/>
        <v>0</v>
      </c>
      <c r="K804" s="1306">
        <f t="shared" si="260"/>
        <v>0</v>
      </c>
      <c r="L804" s="1306">
        <f t="shared" si="260"/>
        <v>0</v>
      </c>
      <c r="M804" s="1306">
        <f t="shared" si="260"/>
        <v>0</v>
      </c>
      <c r="N804" s="1306">
        <f t="shared" si="260"/>
        <v>0</v>
      </c>
      <c r="O804" s="1306">
        <f t="shared" si="260"/>
        <v>0</v>
      </c>
      <c r="P804" s="1306">
        <f t="shared" si="260"/>
        <v>0</v>
      </c>
      <c r="Q804" s="1306">
        <f t="shared" si="260"/>
        <v>0</v>
      </c>
      <c r="R804" s="1306">
        <f t="shared" si="260"/>
        <v>0</v>
      </c>
      <c r="S804" s="1306">
        <f t="shared" si="260"/>
        <v>0</v>
      </c>
      <c r="T804" s="1306">
        <f t="shared" si="260"/>
        <v>0</v>
      </c>
      <c r="U804" s="1306">
        <f t="shared" si="260"/>
        <v>0</v>
      </c>
      <c r="V804" s="1306">
        <f t="shared" si="260"/>
        <v>0</v>
      </c>
      <c r="W804" s="1306">
        <f t="shared" si="260"/>
        <v>0</v>
      </c>
      <c r="X804" s="1306">
        <f t="shared" si="260"/>
        <v>0</v>
      </c>
      <c r="Y804" s="1306">
        <f t="shared" si="260"/>
        <v>0</v>
      </c>
      <c r="Z804" s="1306">
        <f t="shared" si="260"/>
        <v>0</v>
      </c>
      <c r="AA804" s="1306">
        <f t="shared" si="260"/>
        <v>0</v>
      </c>
      <c r="AB804" s="1306">
        <f t="shared" si="260"/>
        <v>0</v>
      </c>
      <c r="AC804" s="1306">
        <f t="shared" si="260"/>
        <v>0</v>
      </c>
      <c r="AD804" s="1306">
        <f t="shared" si="260"/>
        <v>0</v>
      </c>
      <c r="AE804" s="1306">
        <f t="shared" si="260"/>
        <v>0</v>
      </c>
      <c r="AF804" s="1306">
        <f t="shared" si="260"/>
        <v>0</v>
      </c>
      <c r="AG804" s="1306">
        <f t="shared" si="260"/>
        <v>0</v>
      </c>
      <c r="AH804" s="1306">
        <f t="shared" si="260"/>
        <v>0</v>
      </c>
      <c r="AI804" s="1306">
        <f t="shared" si="260"/>
        <v>0</v>
      </c>
      <c r="AJ804" s="1306">
        <f t="shared" si="260"/>
        <v>0</v>
      </c>
      <c r="AK804" s="1306">
        <f t="shared" si="260"/>
        <v>0</v>
      </c>
      <c r="AL804" s="1306">
        <f t="shared" si="260"/>
        <v>0</v>
      </c>
      <c r="AM804" s="1306">
        <f t="shared" si="260"/>
        <v>0</v>
      </c>
      <c r="AN804" s="1306">
        <f t="shared" si="260"/>
        <v>0</v>
      </c>
      <c r="AO804" s="1306">
        <f t="shared" si="260"/>
        <v>0</v>
      </c>
      <c r="AP804" s="1306">
        <f t="shared" si="260"/>
        <v>0</v>
      </c>
      <c r="AQ804" s="1306">
        <f t="shared" si="260"/>
        <v>0</v>
      </c>
      <c r="AR804" s="1306">
        <f t="shared" si="260"/>
        <v>0</v>
      </c>
      <c r="AS804" s="1306">
        <f t="shared" si="260"/>
        <v>0</v>
      </c>
      <c r="AT804" s="1306">
        <f t="shared" si="260"/>
        <v>0</v>
      </c>
      <c r="AU804" s="1306">
        <f t="shared" si="260"/>
        <v>0</v>
      </c>
      <c r="AV804" s="1306">
        <f t="shared" si="260"/>
        <v>0</v>
      </c>
      <c r="AW804" s="1306">
        <f t="shared" si="260"/>
        <v>0</v>
      </c>
      <c r="AX804" s="1306">
        <f t="shared" si="260"/>
        <v>0</v>
      </c>
      <c r="AY804" s="1306">
        <f t="shared" si="260"/>
        <v>0</v>
      </c>
      <c r="AZ804" s="1306">
        <f t="shared" si="260"/>
        <v>0</v>
      </c>
      <c r="BA804" s="1306">
        <f t="shared" si="260"/>
        <v>0</v>
      </c>
      <c r="BB804" s="1306">
        <f t="shared" si="260"/>
        <v>0</v>
      </c>
      <c r="BC804" s="1306">
        <f t="shared" si="260"/>
        <v>0</v>
      </c>
      <c r="BD804" s="1306">
        <f t="shared" si="260"/>
        <v>0</v>
      </c>
      <c r="BE804" s="1307">
        <f t="shared" si="260"/>
        <v>0</v>
      </c>
    </row>
    <row r="805" spans="2:57" x14ac:dyDescent="0.25">
      <c r="B805" s="469"/>
      <c r="C805" s="470"/>
      <c r="D805" s="470"/>
      <c r="E805" s="470"/>
      <c r="F805" s="470"/>
      <c r="G805" s="470"/>
      <c r="H805" s="470"/>
      <c r="I805" s="470"/>
      <c r="J805" s="470"/>
      <c r="K805" s="470"/>
      <c r="L805" s="470"/>
      <c r="M805" s="470"/>
      <c r="N805" s="470"/>
      <c r="O805" s="470"/>
      <c r="P805" s="470"/>
      <c r="Q805" s="470"/>
      <c r="R805" s="470"/>
      <c r="S805" s="470"/>
      <c r="T805" s="470"/>
      <c r="U805" s="470"/>
      <c r="V805" s="470"/>
      <c r="W805" s="470"/>
      <c r="X805" s="470"/>
      <c r="Y805" s="470"/>
      <c r="Z805" s="470"/>
      <c r="AA805" s="470"/>
      <c r="AB805" s="470"/>
      <c r="AC805" s="470"/>
      <c r="AD805" s="470"/>
      <c r="AE805" s="470"/>
      <c r="AF805" s="470"/>
      <c r="AG805" s="470"/>
      <c r="AH805" s="470"/>
      <c r="AI805" s="470"/>
      <c r="AJ805" s="470"/>
      <c r="AK805" s="470"/>
      <c r="AL805" s="470"/>
      <c r="AM805" s="470"/>
      <c r="AN805" s="470"/>
      <c r="AO805" s="470"/>
      <c r="AP805" s="470"/>
      <c r="AQ805" s="470"/>
      <c r="AR805" s="470"/>
      <c r="AS805" s="470"/>
      <c r="AT805" s="470"/>
      <c r="AU805" s="470"/>
      <c r="AV805" s="470"/>
      <c r="AW805" s="470"/>
      <c r="AX805" s="470"/>
      <c r="AY805" s="470"/>
      <c r="AZ805" s="470"/>
      <c r="BA805" s="470"/>
      <c r="BB805" s="470"/>
      <c r="BC805" s="470"/>
      <c r="BD805" s="470"/>
      <c r="BE805" s="471"/>
    </row>
    <row r="806" spans="2:57" x14ac:dyDescent="0.25">
      <c r="B806" s="482"/>
      <c r="C806" s="480"/>
      <c r="D806" s="480"/>
      <c r="E806" s="480"/>
      <c r="F806" s="480"/>
      <c r="G806" s="480"/>
      <c r="H806" s="480"/>
      <c r="I806" s="480"/>
      <c r="J806" s="480"/>
      <c r="K806" s="480"/>
      <c r="L806" s="480"/>
      <c r="M806" s="480"/>
      <c r="N806" s="480"/>
      <c r="O806" s="480"/>
      <c r="P806" s="480"/>
      <c r="Q806" s="480"/>
      <c r="R806" s="480"/>
      <c r="S806" s="480"/>
      <c r="T806" s="480"/>
      <c r="U806" s="480"/>
      <c r="V806" s="480"/>
      <c r="W806" s="480"/>
      <c r="X806" s="480"/>
      <c r="Y806" s="480"/>
      <c r="Z806" s="480"/>
      <c r="AA806" s="480"/>
      <c r="AB806" s="480"/>
      <c r="AC806" s="480"/>
      <c r="AD806" s="480"/>
      <c r="AE806" s="480"/>
      <c r="AF806" s="480"/>
      <c r="AG806" s="480"/>
      <c r="AH806" s="480"/>
      <c r="AI806" s="480"/>
      <c r="AJ806" s="480"/>
      <c r="AK806" s="480"/>
      <c r="AL806" s="480"/>
      <c r="AM806" s="480"/>
      <c r="AN806" s="480"/>
      <c r="AO806" s="480"/>
      <c r="AP806" s="480"/>
      <c r="AQ806" s="480"/>
      <c r="AR806" s="480"/>
      <c r="AS806" s="480"/>
      <c r="AT806" s="480"/>
      <c r="AU806" s="480"/>
      <c r="AV806" s="480"/>
      <c r="AW806" s="480"/>
      <c r="AX806" s="480"/>
      <c r="AY806" s="480"/>
      <c r="AZ806" s="480"/>
      <c r="BA806" s="480"/>
      <c r="BB806" s="480"/>
      <c r="BC806" s="480"/>
      <c r="BD806" s="480"/>
      <c r="BE806" s="483"/>
    </row>
    <row r="807" spans="2:57" x14ac:dyDescent="0.25"/>
    <row r="808" spans="2:57" x14ac:dyDescent="0.25">
      <c r="B808" s="484"/>
      <c r="C808" s="485" t="str">
        <f>'II. Inputs, Baseline Energy Mix'!$Q$14</f>
        <v>Light Fuel Oil</v>
      </c>
      <c r="D808" s="486"/>
      <c r="E808" s="486"/>
      <c r="F808" s="486"/>
      <c r="G808" s="486"/>
      <c r="H808" s="486"/>
      <c r="I808" s="486"/>
      <c r="J808" s="486"/>
      <c r="K808" s="486"/>
      <c r="L808" s="486"/>
      <c r="M808" s="486"/>
      <c r="N808" s="486"/>
      <c r="O808" s="486"/>
      <c r="P808" s="486"/>
      <c r="Q808" s="486"/>
      <c r="R808" s="486"/>
      <c r="S808" s="486"/>
      <c r="T808" s="486"/>
      <c r="U808" s="486"/>
      <c r="V808" s="486"/>
      <c r="W808" s="486"/>
      <c r="X808" s="486"/>
      <c r="Y808" s="486"/>
      <c r="Z808" s="486"/>
      <c r="AA808" s="486"/>
      <c r="AB808" s="486"/>
      <c r="AC808" s="486"/>
      <c r="AD808" s="486"/>
      <c r="AE808" s="486"/>
      <c r="AF808" s="486"/>
      <c r="AG808" s="486"/>
      <c r="AH808" s="486"/>
      <c r="AI808" s="486"/>
      <c r="AJ808" s="486"/>
      <c r="AK808" s="486"/>
      <c r="AL808" s="486"/>
      <c r="AM808" s="486"/>
      <c r="AN808" s="486"/>
      <c r="AO808" s="486"/>
      <c r="AP808" s="486"/>
      <c r="AQ808" s="486"/>
      <c r="AR808" s="486"/>
      <c r="AS808" s="486"/>
      <c r="AT808" s="486"/>
      <c r="AU808" s="486"/>
      <c r="AV808" s="486"/>
      <c r="AW808" s="486"/>
      <c r="AX808" s="486"/>
      <c r="AY808" s="486"/>
      <c r="AZ808" s="486"/>
      <c r="BA808" s="486"/>
      <c r="BB808" s="486"/>
      <c r="BC808" s="486"/>
      <c r="BD808" s="486"/>
      <c r="BE808" s="487"/>
    </row>
    <row r="809" spans="2:57" x14ac:dyDescent="0.25">
      <c r="B809" s="488"/>
      <c r="C809" s="489"/>
      <c r="D809" s="489"/>
      <c r="E809" s="489"/>
      <c r="F809" s="489"/>
      <c r="G809" s="489"/>
      <c r="H809" s="489"/>
      <c r="I809" s="489"/>
      <c r="J809" s="489"/>
      <c r="K809" s="489"/>
      <c r="L809" s="489"/>
      <c r="M809" s="489"/>
      <c r="N809" s="489"/>
      <c r="O809" s="489"/>
      <c r="P809" s="489"/>
      <c r="Q809" s="489"/>
      <c r="R809" s="489"/>
      <c r="S809" s="489"/>
      <c r="T809" s="489"/>
      <c r="U809" s="489"/>
      <c r="V809" s="489"/>
      <c r="W809" s="489"/>
      <c r="X809" s="489"/>
      <c r="Y809" s="489"/>
      <c r="Z809" s="489"/>
      <c r="AA809" s="489"/>
      <c r="AB809" s="489"/>
      <c r="AC809" s="489"/>
      <c r="AD809" s="489"/>
      <c r="AE809" s="489"/>
      <c r="AF809" s="489"/>
      <c r="AG809" s="489"/>
      <c r="AH809" s="489"/>
      <c r="AI809" s="489"/>
      <c r="AJ809" s="489"/>
      <c r="AK809" s="489"/>
      <c r="AL809" s="489"/>
      <c r="AM809" s="489"/>
      <c r="AN809" s="489"/>
      <c r="AO809" s="489"/>
      <c r="AP809" s="489"/>
      <c r="AQ809" s="489"/>
      <c r="AR809" s="489"/>
      <c r="AS809" s="489"/>
      <c r="AT809" s="489"/>
      <c r="AU809" s="489"/>
      <c r="AV809" s="489"/>
      <c r="AW809" s="489"/>
      <c r="AX809" s="489"/>
      <c r="AY809" s="489"/>
      <c r="AZ809" s="489"/>
      <c r="BA809" s="489"/>
      <c r="BB809" s="489"/>
      <c r="BC809" s="489"/>
      <c r="BD809" s="489"/>
      <c r="BE809" s="490"/>
    </row>
    <row r="810" spans="2:57" x14ac:dyDescent="0.25">
      <c r="B810" s="488"/>
      <c r="C810" s="491" t="s">
        <v>64</v>
      </c>
      <c r="D810" s="492">
        <f>'II. Inputs, Baseline Energy Mix'!$Q$18</f>
        <v>0</v>
      </c>
      <c r="E810" s="493" t="s">
        <v>20</v>
      </c>
      <c r="F810" s="489"/>
      <c r="G810" s="489"/>
      <c r="H810" s="489"/>
      <c r="I810" s="489"/>
      <c r="J810" s="489"/>
      <c r="K810" s="489"/>
      <c r="L810" s="489"/>
      <c r="M810" s="489"/>
      <c r="N810" s="489"/>
      <c r="O810" s="489"/>
      <c r="P810" s="489"/>
      <c r="Q810" s="489"/>
      <c r="R810" s="489"/>
      <c r="S810" s="489"/>
      <c r="T810" s="489"/>
      <c r="U810" s="489"/>
      <c r="V810" s="489"/>
      <c r="W810" s="489"/>
      <c r="X810" s="489"/>
      <c r="Y810" s="489"/>
      <c r="Z810" s="489"/>
      <c r="AA810" s="489"/>
      <c r="AB810" s="489"/>
      <c r="AC810" s="489"/>
      <c r="AD810" s="489"/>
      <c r="AE810" s="489"/>
      <c r="AF810" s="489"/>
      <c r="AG810" s="489"/>
      <c r="AH810" s="489"/>
      <c r="AI810" s="489"/>
      <c r="AJ810" s="489"/>
      <c r="AK810" s="489"/>
      <c r="AL810" s="489"/>
      <c r="AM810" s="489"/>
      <c r="AN810" s="489"/>
      <c r="AO810" s="489"/>
      <c r="AP810" s="489"/>
      <c r="AQ810" s="489"/>
      <c r="AR810" s="489"/>
      <c r="AS810" s="489"/>
      <c r="AT810" s="489"/>
      <c r="AU810" s="489"/>
      <c r="AV810" s="489"/>
      <c r="AW810" s="489"/>
      <c r="AX810" s="489"/>
      <c r="AY810" s="489"/>
      <c r="AZ810" s="489"/>
      <c r="BA810" s="489"/>
      <c r="BB810" s="489"/>
      <c r="BC810" s="489"/>
      <c r="BD810" s="489"/>
      <c r="BE810" s="490"/>
    </row>
    <row r="811" spans="2:57" x14ac:dyDescent="0.25">
      <c r="B811" s="488"/>
      <c r="C811" s="489"/>
      <c r="D811" s="489"/>
      <c r="E811" s="489"/>
      <c r="F811" s="489"/>
      <c r="G811" s="489"/>
      <c r="H811" s="489"/>
      <c r="I811" s="489"/>
      <c r="J811" s="489"/>
      <c r="K811" s="489"/>
      <c r="L811" s="489"/>
      <c r="M811" s="489"/>
      <c r="N811" s="489"/>
      <c r="O811" s="489"/>
      <c r="P811" s="489"/>
      <c r="Q811" s="489"/>
      <c r="R811" s="489"/>
      <c r="S811" s="489"/>
      <c r="T811" s="489"/>
      <c r="U811" s="489"/>
      <c r="V811" s="489"/>
      <c r="W811" s="489"/>
      <c r="X811" s="489"/>
      <c r="Y811" s="489"/>
      <c r="Z811" s="489"/>
      <c r="AA811" s="489"/>
      <c r="AB811" s="489"/>
      <c r="AC811" s="489"/>
      <c r="AD811" s="489"/>
      <c r="AE811" s="489"/>
      <c r="AF811" s="489"/>
      <c r="AG811" s="489"/>
      <c r="AH811" s="489"/>
      <c r="AI811" s="489"/>
      <c r="AJ811" s="489"/>
      <c r="AK811" s="489"/>
      <c r="AL811" s="489"/>
      <c r="AM811" s="489"/>
      <c r="AN811" s="489"/>
      <c r="AO811" s="489"/>
      <c r="AP811" s="489"/>
      <c r="AQ811" s="489"/>
      <c r="AR811" s="489"/>
      <c r="AS811" s="489"/>
      <c r="AT811" s="489"/>
      <c r="AU811" s="489"/>
      <c r="AV811" s="489"/>
      <c r="AW811" s="489"/>
      <c r="AX811" s="489"/>
      <c r="AY811" s="489"/>
      <c r="AZ811" s="489"/>
      <c r="BA811" s="489"/>
      <c r="BB811" s="489"/>
      <c r="BC811" s="489"/>
      <c r="BD811" s="489"/>
      <c r="BE811" s="490"/>
    </row>
    <row r="812" spans="2:57" x14ac:dyDescent="0.25">
      <c r="B812" s="488"/>
      <c r="C812" s="489" t="s">
        <v>59</v>
      </c>
      <c r="D812" s="489"/>
      <c r="E812" s="489"/>
      <c r="F812" s="489"/>
      <c r="G812" s="494"/>
      <c r="H812" s="495">
        <f>IF(H$764&gt;$D$810,0,1/$D$810)</f>
        <v>0</v>
      </c>
      <c r="I812" s="495">
        <f t="shared" ref="I812:BE812" si="261">IF(I$764&gt;$D$810,0,1/$D$810)</f>
        <v>0</v>
      </c>
      <c r="J812" s="495">
        <f t="shared" si="261"/>
        <v>0</v>
      </c>
      <c r="K812" s="495">
        <f t="shared" si="261"/>
        <v>0</v>
      </c>
      <c r="L812" s="495">
        <f t="shared" si="261"/>
        <v>0</v>
      </c>
      <c r="M812" s="495">
        <f t="shared" si="261"/>
        <v>0</v>
      </c>
      <c r="N812" s="495">
        <f t="shared" si="261"/>
        <v>0</v>
      </c>
      <c r="O812" s="495">
        <f t="shared" si="261"/>
        <v>0</v>
      </c>
      <c r="P812" s="495">
        <f t="shared" si="261"/>
        <v>0</v>
      </c>
      <c r="Q812" s="495">
        <f t="shared" si="261"/>
        <v>0</v>
      </c>
      <c r="R812" s="495">
        <f t="shared" si="261"/>
        <v>0</v>
      </c>
      <c r="S812" s="495">
        <f t="shared" si="261"/>
        <v>0</v>
      </c>
      <c r="T812" s="495">
        <f t="shared" si="261"/>
        <v>0</v>
      </c>
      <c r="U812" s="495">
        <f t="shared" si="261"/>
        <v>0</v>
      </c>
      <c r="V812" s="495">
        <f t="shared" si="261"/>
        <v>0</v>
      </c>
      <c r="W812" s="495">
        <f t="shared" si="261"/>
        <v>0</v>
      </c>
      <c r="X812" s="495">
        <f t="shared" si="261"/>
        <v>0</v>
      </c>
      <c r="Y812" s="495">
        <f t="shared" si="261"/>
        <v>0</v>
      </c>
      <c r="Z812" s="495">
        <f t="shared" si="261"/>
        <v>0</v>
      </c>
      <c r="AA812" s="495">
        <f t="shared" si="261"/>
        <v>0</v>
      </c>
      <c r="AB812" s="495">
        <f t="shared" si="261"/>
        <v>0</v>
      </c>
      <c r="AC812" s="495">
        <f t="shared" si="261"/>
        <v>0</v>
      </c>
      <c r="AD812" s="495">
        <f t="shared" si="261"/>
        <v>0</v>
      </c>
      <c r="AE812" s="495">
        <f t="shared" si="261"/>
        <v>0</v>
      </c>
      <c r="AF812" s="495">
        <f t="shared" si="261"/>
        <v>0</v>
      </c>
      <c r="AG812" s="495">
        <f t="shared" si="261"/>
        <v>0</v>
      </c>
      <c r="AH812" s="495">
        <f t="shared" si="261"/>
        <v>0</v>
      </c>
      <c r="AI812" s="495">
        <f t="shared" si="261"/>
        <v>0</v>
      </c>
      <c r="AJ812" s="495">
        <f t="shared" si="261"/>
        <v>0</v>
      </c>
      <c r="AK812" s="495">
        <f t="shared" si="261"/>
        <v>0</v>
      </c>
      <c r="AL812" s="495">
        <f t="shared" si="261"/>
        <v>0</v>
      </c>
      <c r="AM812" s="495">
        <f t="shared" si="261"/>
        <v>0</v>
      </c>
      <c r="AN812" s="495">
        <f t="shared" si="261"/>
        <v>0</v>
      </c>
      <c r="AO812" s="495">
        <f t="shared" si="261"/>
        <v>0</v>
      </c>
      <c r="AP812" s="495">
        <f t="shared" si="261"/>
        <v>0</v>
      </c>
      <c r="AQ812" s="495">
        <f t="shared" si="261"/>
        <v>0</v>
      </c>
      <c r="AR812" s="495">
        <f t="shared" si="261"/>
        <v>0</v>
      </c>
      <c r="AS812" s="495">
        <f t="shared" si="261"/>
        <v>0</v>
      </c>
      <c r="AT812" s="495">
        <f t="shared" si="261"/>
        <v>0</v>
      </c>
      <c r="AU812" s="495">
        <f t="shared" si="261"/>
        <v>0</v>
      </c>
      <c r="AV812" s="495">
        <f t="shared" si="261"/>
        <v>0</v>
      </c>
      <c r="AW812" s="495">
        <f t="shared" si="261"/>
        <v>0</v>
      </c>
      <c r="AX812" s="495">
        <f t="shared" si="261"/>
        <v>0</v>
      </c>
      <c r="AY812" s="495">
        <f t="shared" si="261"/>
        <v>0</v>
      </c>
      <c r="AZ812" s="495">
        <f t="shared" si="261"/>
        <v>0</v>
      </c>
      <c r="BA812" s="495">
        <f t="shared" si="261"/>
        <v>0</v>
      </c>
      <c r="BB812" s="495">
        <f t="shared" si="261"/>
        <v>0</v>
      </c>
      <c r="BC812" s="495">
        <f t="shared" si="261"/>
        <v>0</v>
      </c>
      <c r="BD812" s="495">
        <f t="shared" si="261"/>
        <v>0</v>
      </c>
      <c r="BE812" s="496">
        <f t="shared" si="261"/>
        <v>0</v>
      </c>
    </row>
    <row r="813" spans="2:57" x14ac:dyDescent="0.25">
      <c r="B813" s="488"/>
      <c r="C813" s="489" t="s">
        <v>60</v>
      </c>
      <c r="D813" s="489"/>
      <c r="E813" s="489"/>
      <c r="F813" s="489"/>
      <c r="G813" s="497"/>
      <c r="H813" s="495">
        <v>0</v>
      </c>
      <c r="I813" s="495">
        <v>0</v>
      </c>
      <c r="J813" s="495">
        <v>0</v>
      </c>
      <c r="K813" s="495">
        <v>0</v>
      </c>
      <c r="L813" s="495">
        <v>0</v>
      </c>
      <c r="M813" s="495">
        <v>0</v>
      </c>
      <c r="N813" s="495">
        <v>0</v>
      </c>
      <c r="O813" s="495">
        <v>0</v>
      </c>
      <c r="P813" s="495">
        <v>0</v>
      </c>
      <c r="Q813" s="495">
        <v>0</v>
      </c>
      <c r="R813" s="495">
        <v>0</v>
      </c>
      <c r="S813" s="495">
        <v>0</v>
      </c>
      <c r="T813" s="495">
        <v>0</v>
      </c>
      <c r="U813" s="495">
        <v>0</v>
      </c>
      <c r="V813" s="495">
        <v>0</v>
      </c>
      <c r="W813" s="495">
        <v>0</v>
      </c>
      <c r="X813" s="495">
        <v>0</v>
      </c>
      <c r="Y813" s="495">
        <v>0</v>
      </c>
      <c r="Z813" s="495">
        <v>0</v>
      </c>
      <c r="AA813" s="495">
        <v>0</v>
      </c>
      <c r="AB813" s="495">
        <v>0</v>
      </c>
      <c r="AC813" s="495">
        <v>0</v>
      </c>
      <c r="AD813" s="495">
        <v>0</v>
      </c>
      <c r="AE813" s="495">
        <v>0</v>
      </c>
      <c r="AF813" s="495">
        <v>0</v>
      </c>
      <c r="AG813" s="495">
        <v>0</v>
      </c>
      <c r="AH813" s="495">
        <v>0</v>
      </c>
      <c r="AI813" s="495">
        <v>0</v>
      </c>
      <c r="AJ813" s="495">
        <v>0</v>
      </c>
      <c r="AK813" s="495">
        <v>0</v>
      </c>
      <c r="AL813" s="495">
        <v>0</v>
      </c>
      <c r="AM813" s="495">
        <v>0</v>
      </c>
      <c r="AN813" s="495">
        <v>0</v>
      </c>
      <c r="AO813" s="495">
        <v>0</v>
      </c>
      <c r="AP813" s="495">
        <v>0</v>
      </c>
      <c r="AQ813" s="495">
        <v>0</v>
      </c>
      <c r="AR813" s="495">
        <v>0</v>
      </c>
      <c r="AS813" s="495">
        <v>0</v>
      </c>
      <c r="AT813" s="495">
        <v>0</v>
      </c>
      <c r="AU813" s="495">
        <v>0</v>
      </c>
      <c r="AV813" s="495">
        <v>0</v>
      </c>
      <c r="AW813" s="495">
        <v>0</v>
      </c>
      <c r="AX813" s="495">
        <v>0</v>
      </c>
      <c r="AY813" s="495">
        <v>0</v>
      </c>
      <c r="AZ813" s="495">
        <v>0</v>
      </c>
      <c r="BA813" s="495">
        <v>0</v>
      </c>
      <c r="BB813" s="495">
        <v>0</v>
      </c>
      <c r="BC813" s="495">
        <v>0</v>
      </c>
      <c r="BD813" s="495">
        <v>0</v>
      </c>
      <c r="BE813" s="496">
        <v>0</v>
      </c>
    </row>
    <row r="814" spans="2:57" x14ac:dyDescent="0.25">
      <c r="B814" s="488"/>
      <c r="C814" s="489"/>
      <c r="D814" s="489"/>
      <c r="E814" s="489"/>
      <c r="F814" s="489"/>
      <c r="G814" s="489"/>
      <c r="H814" s="489"/>
      <c r="I814" s="489"/>
      <c r="J814" s="489"/>
      <c r="K814" s="489"/>
      <c r="L814" s="489"/>
      <c r="M814" s="489"/>
      <c r="N814" s="489"/>
      <c r="O814" s="489"/>
      <c r="P814" s="489"/>
      <c r="Q814" s="489"/>
      <c r="R814" s="489"/>
      <c r="S814" s="489"/>
      <c r="T814" s="489"/>
      <c r="U814" s="489"/>
      <c r="V814" s="489"/>
      <c r="W814" s="489"/>
      <c r="X814" s="489"/>
      <c r="Y814" s="489"/>
      <c r="Z814" s="489"/>
      <c r="AA814" s="489"/>
      <c r="AB814" s="489"/>
      <c r="AC814" s="489"/>
      <c r="AD814" s="489"/>
      <c r="AE814" s="489"/>
      <c r="AF814" s="489"/>
      <c r="AG814" s="489"/>
      <c r="AH814" s="489"/>
      <c r="AI814" s="489"/>
      <c r="AJ814" s="489"/>
      <c r="AK814" s="489"/>
      <c r="AL814" s="489"/>
      <c r="AM814" s="489"/>
      <c r="AN814" s="489"/>
      <c r="AO814" s="489"/>
      <c r="AP814" s="489"/>
      <c r="AQ814" s="489"/>
      <c r="AR814" s="489"/>
      <c r="AS814" s="489"/>
      <c r="AT814" s="489"/>
      <c r="AU814" s="489"/>
      <c r="AV814" s="489"/>
      <c r="AW814" s="489"/>
      <c r="AX814" s="489"/>
      <c r="AY814" s="489"/>
      <c r="AZ814" s="489"/>
      <c r="BA814" s="489"/>
      <c r="BB814" s="489"/>
      <c r="BC814" s="489"/>
      <c r="BD814" s="489"/>
      <c r="BE814" s="490"/>
    </row>
    <row r="815" spans="2:57" x14ac:dyDescent="0.25">
      <c r="B815" s="488"/>
      <c r="C815" s="489"/>
      <c r="D815" s="489"/>
      <c r="E815" s="489"/>
      <c r="F815" s="498" t="s">
        <v>61</v>
      </c>
      <c r="G815" s="498" t="s">
        <v>62</v>
      </c>
      <c r="H815" s="489"/>
      <c r="I815" s="489"/>
      <c r="J815" s="489"/>
      <c r="K815" s="489"/>
      <c r="L815" s="489"/>
      <c r="M815" s="489"/>
      <c r="N815" s="489"/>
      <c r="O815" s="489"/>
      <c r="P815" s="489"/>
      <c r="Q815" s="489"/>
      <c r="R815" s="489"/>
      <c r="S815" s="489"/>
      <c r="T815" s="489"/>
      <c r="U815" s="489"/>
      <c r="V815" s="489"/>
      <c r="W815" s="489"/>
      <c r="X815" s="489"/>
      <c r="Y815" s="489"/>
      <c r="Z815" s="489"/>
      <c r="AA815" s="489"/>
      <c r="AB815" s="489"/>
      <c r="AC815" s="489"/>
      <c r="AD815" s="489"/>
      <c r="AE815" s="489"/>
      <c r="AF815" s="489"/>
      <c r="AG815" s="489"/>
      <c r="AH815" s="489"/>
      <c r="AI815" s="489"/>
      <c r="AJ815" s="489"/>
      <c r="AK815" s="489"/>
      <c r="AL815" s="489"/>
      <c r="AM815" s="489"/>
      <c r="AN815" s="489"/>
      <c r="AO815" s="489"/>
      <c r="AP815" s="489"/>
      <c r="AQ815" s="489"/>
      <c r="AR815" s="489"/>
      <c r="AS815" s="489"/>
      <c r="AT815" s="489"/>
      <c r="AU815" s="489"/>
      <c r="AV815" s="489"/>
      <c r="AW815" s="489"/>
      <c r="AX815" s="489"/>
      <c r="AY815" s="489"/>
      <c r="AZ815" s="489"/>
      <c r="BA815" s="489"/>
      <c r="BB815" s="489"/>
      <c r="BC815" s="489"/>
      <c r="BD815" s="489"/>
      <c r="BE815" s="490"/>
    </row>
    <row r="816" spans="2:57" x14ac:dyDescent="0.25">
      <c r="B816" s="488"/>
      <c r="C816" s="489" t="s">
        <v>57</v>
      </c>
      <c r="D816" s="489"/>
      <c r="E816" s="489"/>
      <c r="F816" s="495">
        <f>'II. Inputs, Baseline Energy Mix'!$Q$109</f>
        <v>1</v>
      </c>
      <c r="G816" s="1310">
        <f>IF('II. Inputs, Baseline Energy Mix'!$Q$15&gt;0, F816*'II. Inputs, Baseline Energy Mix'!$Q$16*'II. Inputs, Baseline Energy Mix'!$Q$17,0)</f>
        <v>0</v>
      </c>
      <c r="H816" s="1310">
        <f>$G$816*H812</f>
        <v>0</v>
      </c>
      <c r="I816" s="1310">
        <f t="shared" ref="I816:BE816" si="262">$G$816*I812</f>
        <v>0</v>
      </c>
      <c r="J816" s="1310">
        <f t="shared" si="262"/>
        <v>0</v>
      </c>
      <c r="K816" s="1310">
        <f t="shared" si="262"/>
        <v>0</v>
      </c>
      <c r="L816" s="1310">
        <f t="shared" si="262"/>
        <v>0</v>
      </c>
      <c r="M816" s="1310">
        <f t="shared" si="262"/>
        <v>0</v>
      </c>
      <c r="N816" s="1310">
        <f t="shared" si="262"/>
        <v>0</v>
      </c>
      <c r="O816" s="1310">
        <f t="shared" si="262"/>
        <v>0</v>
      </c>
      <c r="P816" s="1310">
        <f t="shared" si="262"/>
        <v>0</v>
      </c>
      <c r="Q816" s="1310">
        <f t="shared" si="262"/>
        <v>0</v>
      </c>
      <c r="R816" s="1310">
        <f t="shared" si="262"/>
        <v>0</v>
      </c>
      <c r="S816" s="1310">
        <f t="shared" si="262"/>
        <v>0</v>
      </c>
      <c r="T816" s="1310">
        <f t="shared" si="262"/>
        <v>0</v>
      </c>
      <c r="U816" s="1310">
        <f t="shared" si="262"/>
        <v>0</v>
      </c>
      <c r="V816" s="1310">
        <f t="shared" si="262"/>
        <v>0</v>
      </c>
      <c r="W816" s="1310">
        <f t="shared" si="262"/>
        <v>0</v>
      </c>
      <c r="X816" s="1310">
        <f t="shared" si="262"/>
        <v>0</v>
      </c>
      <c r="Y816" s="1310">
        <f t="shared" si="262"/>
        <v>0</v>
      </c>
      <c r="Z816" s="1310">
        <f t="shared" si="262"/>
        <v>0</v>
      </c>
      <c r="AA816" s="1310">
        <f t="shared" si="262"/>
        <v>0</v>
      </c>
      <c r="AB816" s="1310">
        <f t="shared" si="262"/>
        <v>0</v>
      </c>
      <c r="AC816" s="1310">
        <f t="shared" si="262"/>
        <v>0</v>
      </c>
      <c r="AD816" s="1310">
        <f t="shared" si="262"/>
        <v>0</v>
      </c>
      <c r="AE816" s="1310">
        <f t="shared" si="262"/>
        <v>0</v>
      </c>
      <c r="AF816" s="1310">
        <f t="shared" si="262"/>
        <v>0</v>
      </c>
      <c r="AG816" s="1310">
        <f t="shared" si="262"/>
        <v>0</v>
      </c>
      <c r="AH816" s="1310">
        <f t="shared" si="262"/>
        <v>0</v>
      </c>
      <c r="AI816" s="1310">
        <f t="shared" si="262"/>
        <v>0</v>
      </c>
      <c r="AJ816" s="1310">
        <f t="shared" si="262"/>
        <v>0</v>
      </c>
      <c r="AK816" s="1310">
        <f t="shared" si="262"/>
        <v>0</v>
      </c>
      <c r="AL816" s="1310">
        <f t="shared" si="262"/>
        <v>0</v>
      </c>
      <c r="AM816" s="1310">
        <f t="shared" si="262"/>
        <v>0</v>
      </c>
      <c r="AN816" s="1310">
        <f t="shared" si="262"/>
        <v>0</v>
      </c>
      <c r="AO816" s="1310">
        <f t="shared" si="262"/>
        <v>0</v>
      </c>
      <c r="AP816" s="1310">
        <f t="shared" si="262"/>
        <v>0</v>
      </c>
      <c r="AQ816" s="1310">
        <f t="shared" si="262"/>
        <v>0</v>
      </c>
      <c r="AR816" s="1310">
        <f t="shared" si="262"/>
        <v>0</v>
      </c>
      <c r="AS816" s="1310">
        <f t="shared" si="262"/>
        <v>0</v>
      </c>
      <c r="AT816" s="1310">
        <f t="shared" si="262"/>
        <v>0</v>
      </c>
      <c r="AU816" s="1310">
        <f t="shared" si="262"/>
        <v>0</v>
      </c>
      <c r="AV816" s="1310">
        <f t="shared" si="262"/>
        <v>0</v>
      </c>
      <c r="AW816" s="1310">
        <f t="shared" si="262"/>
        <v>0</v>
      </c>
      <c r="AX816" s="1310">
        <f t="shared" si="262"/>
        <v>0</v>
      </c>
      <c r="AY816" s="1310">
        <f t="shared" si="262"/>
        <v>0</v>
      </c>
      <c r="AZ816" s="1310">
        <f t="shared" si="262"/>
        <v>0</v>
      </c>
      <c r="BA816" s="1310">
        <f t="shared" si="262"/>
        <v>0</v>
      </c>
      <c r="BB816" s="1310">
        <f t="shared" si="262"/>
        <v>0</v>
      </c>
      <c r="BC816" s="1310">
        <f t="shared" si="262"/>
        <v>0</v>
      </c>
      <c r="BD816" s="1310">
        <f t="shared" si="262"/>
        <v>0</v>
      </c>
      <c r="BE816" s="1311">
        <f t="shared" si="262"/>
        <v>0</v>
      </c>
    </row>
    <row r="817" spans="2:57" x14ac:dyDescent="0.25">
      <c r="B817" s="488"/>
      <c r="C817" s="499" t="s">
        <v>18</v>
      </c>
      <c r="D817" s="499"/>
      <c r="E817" s="499"/>
      <c r="F817" s="500">
        <f>'II. Inputs, Baseline Energy Mix'!$Q$110</f>
        <v>0</v>
      </c>
      <c r="G817" s="1312">
        <f>IF('II. Inputs, Baseline Energy Mix'!$Q$15&gt;0, F817*'II. Inputs, Baseline Energy Mix'!$Q$16*'II. Inputs, Baseline Energy Mix'!$Q$17,0)</f>
        <v>0</v>
      </c>
      <c r="H817" s="1312">
        <f>$G$817*H813</f>
        <v>0</v>
      </c>
      <c r="I817" s="1312">
        <f t="shared" ref="I817:BE817" si="263">$G$817*I813</f>
        <v>0</v>
      </c>
      <c r="J817" s="1312">
        <f t="shared" si="263"/>
        <v>0</v>
      </c>
      <c r="K817" s="1312">
        <f t="shared" si="263"/>
        <v>0</v>
      </c>
      <c r="L817" s="1312">
        <f t="shared" si="263"/>
        <v>0</v>
      </c>
      <c r="M817" s="1312">
        <f t="shared" si="263"/>
        <v>0</v>
      </c>
      <c r="N817" s="1312">
        <f t="shared" si="263"/>
        <v>0</v>
      </c>
      <c r="O817" s="1312">
        <f t="shared" si="263"/>
        <v>0</v>
      </c>
      <c r="P817" s="1312">
        <f t="shared" si="263"/>
        <v>0</v>
      </c>
      <c r="Q817" s="1312">
        <f t="shared" si="263"/>
        <v>0</v>
      </c>
      <c r="R817" s="1312">
        <f t="shared" si="263"/>
        <v>0</v>
      </c>
      <c r="S817" s="1312">
        <f t="shared" si="263"/>
        <v>0</v>
      </c>
      <c r="T817" s="1312">
        <f t="shared" si="263"/>
        <v>0</v>
      </c>
      <c r="U817" s="1312">
        <f t="shared" si="263"/>
        <v>0</v>
      </c>
      <c r="V817" s="1312">
        <f t="shared" si="263"/>
        <v>0</v>
      </c>
      <c r="W817" s="1312">
        <f t="shared" si="263"/>
        <v>0</v>
      </c>
      <c r="X817" s="1312">
        <f t="shared" si="263"/>
        <v>0</v>
      </c>
      <c r="Y817" s="1312">
        <f t="shared" si="263"/>
        <v>0</v>
      </c>
      <c r="Z817" s="1312">
        <f t="shared" si="263"/>
        <v>0</v>
      </c>
      <c r="AA817" s="1312">
        <f t="shared" si="263"/>
        <v>0</v>
      </c>
      <c r="AB817" s="1312">
        <f t="shared" si="263"/>
        <v>0</v>
      </c>
      <c r="AC817" s="1312">
        <f t="shared" si="263"/>
        <v>0</v>
      </c>
      <c r="AD817" s="1312">
        <f t="shared" si="263"/>
        <v>0</v>
      </c>
      <c r="AE817" s="1312">
        <f t="shared" si="263"/>
        <v>0</v>
      </c>
      <c r="AF817" s="1312">
        <f t="shared" si="263"/>
        <v>0</v>
      </c>
      <c r="AG817" s="1312">
        <f t="shared" si="263"/>
        <v>0</v>
      </c>
      <c r="AH817" s="1312">
        <f t="shared" si="263"/>
        <v>0</v>
      </c>
      <c r="AI817" s="1312">
        <f t="shared" si="263"/>
        <v>0</v>
      </c>
      <c r="AJ817" s="1312">
        <f t="shared" si="263"/>
        <v>0</v>
      </c>
      <c r="AK817" s="1312">
        <f t="shared" si="263"/>
        <v>0</v>
      </c>
      <c r="AL817" s="1312">
        <f t="shared" si="263"/>
        <v>0</v>
      </c>
      <c r="AM817" s="1312">
        <f t="shared" si="263"/>
        <v>0</v>
      </c>
      <c r="AN817" s="1312">
        <f t="shared" si="263"/>
        <v>0</v>
      </c>
      <c r="AO817" s="1312">
        <f t="shared" si="263"/>
        <v>0</v>
      </c>
      <c r="AP817" s="1312">
        <f t="shared" si="263"/>
        <v>0</v>
      </c>
      <c r="AQ817" s="1312">
        <f t="shared" si="263"/>
        <v>0</v>
      </c>
      <c r="AR817" s="1312">
        <f t="shared" si="263"/>
        <v>0</v>
      </c>
      <c r="AS817" s="1312">
        <f t="shared" si="263"/>
        <v>0</v>
      </c>
      <c r="AT817" s="1312">
        <f t="shared" si="263"/>
        <v>0</v>
      </c>
      <c r="AU817" s="1312">
        <f t="shared" si="263"/>
        <v>0</v>
      </c>
      <c r="AV817" s="1312">
        <f t="shared" si="263"/>
        <v>0</v>
      </c>
      <c r="AW817" s="1312">
        <f t="shared" si="263"/>
        <v>0</v>
      </c>
      <c r="AX817" s="1312">
        <f t="shared" si="263"/>
        <v>0</v>
      </c>
      <c r="AY817" s="1312">
        <f t="shared" si="263"/>
        <v>0</v>
      </c>
      <c r="AZ817" s="1312">
        <f t="shared" si="263"/>
        <v>0</v>
      </c>
      <c r="BA817" s="1312">
        <f t="shared" si="263"/>
        <v>0</v>
      </c>
      <c r="BB817" s="1312">
        <f t="shared" si="263"/>
        <v>0</v>
      </c>
      <c r="BC817" s="1312">
        <f t="shared" si="263"/>
        <v>0</v>
      </c>
      <c r="BD817" s="1312">
        <f t="shared" si="263"/>
        <v>0</v>
      </c>
      <c r="BE817" s="1313">
        <f t="shared" si="263"/>
        <v>0</v>
      </c>
    </row>
    <row r="818" spans="2:57" x14ac:dyDescent="0.25">
      <c r="B818" s="488"/>
      <c r="C818" s="489" t="s">
        <v>63</v>
      </c>
      <c r="D818" s="489"/>
      <c r="E818" s="489"/>
      <c r="F818" s="489"/>
      <c r="G818" s="1310">
        <f>G816+G817</f>
        <v>0</v>
      </c>
      <c r="H818" s="1310">
        <f>H816+H817</f>
        <v>0</v>
      </c>
      <c r="I818" s="1310">
        <f t="shared" ref="I818:BE818" si="264">I816+I817</f>
        <v>0</v>
      </c>
      <c r="J818" s="1310">
        <f t="shared" si="264"/>
        <v>0</v>
      </c>
      <c r="K818" s="1310">
        <f t="shared" si="264"/>
        <v>0</v>
      </c>
      <c r="L818" s="1310">
        <f t="shared" si="264"/>
        <v>0</v>
      </c>
      <c r="M818" s="1310">
        <f t="shared" si="264"/>
        <v>0</v>
      </c>
      <c r="N818" s="1310">
        <f t="shared" si="264"/>
        <v>0</v>
      </c>
      <c r="O818" s="1310">
        <f t="shared" si="264"/>
        <v>0</v>
      </c>
      <c r="P818" s="1310">
        <f t="shared" si="264"/>
        <v>0</v>
      </c>
      <c r="Q818" s="1310">
        <f t="shared" si="264"/>
        <v>0</v>
      </c>
      <c r="R818" s="1310">
        <f t="shared" si="264"/>
        <v>0</v>
      </c>
      <c r="S818" s="1310">
        <f t="shared" si="264"/>
        <v>0</v>
      </c>
      <c r="T818" s="1310">
        <f t="shared" si="264"/>
        <v>0</v>
      </c>
      <c r="U818" s="1310">
        <f t="shared" si="264"/>
        <v>0</v>
      </c>
      <c r="V818" s="1310">
        <f t="shared" si="264"/>
        <v>0</v>
      </c>
      <c r="W818" s="1310">
        <f t="shared" si="264"/>
        <v>0</v>
      </c>
      <c r="X818" s="1310">
        <f t="shared" si="264"/>
        <v>0</v>
      </c>
      <c r="Y818" s="1310">
        <f t="shared" si="264"/>
        <v>0</v>
      </c>
      <c r="Z818" s="1310">
        <f t="shared" si="264"/>
        <v>0</v>
      </c>
      <c r="AA818" s="1310">
        <f t="shared" si="264"/>
        <v>0</v>
      </c>
      <c r="AB818" s="1310">
        <f t="shared" si="264"/>
        <v>0</v>
      </c>
      <c r="AC818" s="1310">
        <f t="shared" si="264"/>
        <v>0</v>
      </c>
      <c r="AD818" s="1310">
        <f t="shared" si="264"/>
        <v>0</v>
      </c>
      <c r="AE818" s="1310">
        <f t="shared" si="264"/>
        <v>0</v>
      </c>
      <c r="AF818" s="1310">
        <f t="shared" si="264"/>
        <v>0</v>
      </c>
      <c r="AG818" s="1310">
        <f t="shared" si="264"/>
        <v>0</v>
      </c>
      <c r="AH818" s="1310">
        <f t="shared" si="264"/>
        <v>0</v>
      </c>
      <c r="AI818" s="1310">
        <f t="shared" si="264"/>
        <v>0</v>
      </c>
      <c r="AJ818" s="1310">
        <f t="shared" si="264"/>
        <v>0</v>
      </c>
      <c r="AK818" s="1310">
        <f t="shared" si="264"/>
        <v>0</v>
      </c>
      <c r="AL818" s="1310">
        <f t="shared" si="264"/>
        <v>0</v>
      </c>
      <c r="AM818" s="1310">
        <f t="shared" si="264"/>
        <v>0</v>
      </c>
      <c r="AN818" s="1310">
        <f t="shared" si="264"/>
        <v>0</v>
      </c>
      <c r="AO818" s="1310">
        <f t="shared" si="264"/>
        <v>0</v>
      </c>
      <c r="AP818" s="1310">
        <f t="shared" si="264"/>
        <v>0</v>
      </c>
      <c r="AQ818" s="1310">
        <f t="shared" si="264"/>
        <v>0</v>
      </c>
      <c r="AR818" s="1310">
        <f t="shared" si="264"/>
        <v>0</v>
      </c>
      <c r="AS818" s="1310">
        <f t="shared" si="264"/>
        <v>0</v>
      </c>
      <c r="AT818" s="1310">
        <f t="shared" si="264"/>
        <v>0</v>
      </c>
      <c r="AU818" s="1310">
        <f t="shared" si="264"/>
        <v>0</v>
      </c>
      <c r="AV818" s="1310">
        <f t="shared" si="264"/>
        <v>0</v>
      </c>
      <c r="AW818" s="1310">
        <f t="shared" si="264"/>
        <v>0</v>
      </c>
      <c r="AX818" s="1310">
        <f t="shared" si="264"/>
        <v>0</v>
      </c>
      <c r="AY818" s="1310">
        <f t="shared" si="264"/>
        <v>0</v>
      </c>
      <c r="AZ818" s="1310">
        <f t="shared" si="264"/>
        <v>0</v>
      </c>
      <c r="BA818" s="1310">
        <f t="shared" si="264"/>
        <v>0</v>
      </c>
      <c r="BB818" s="1310">
        <f t="shared" si="264"/>
        <v>0</v>
      </c>
      <c r="BC818" s="1310">
        <f t="shared" si="264"/>
        <v>0</v>
      </c>
      <c r="BD818" s="1310">
        <f t="shared" si="264"/>
        <v>0</v>
      </c>
      <c r="BE818" s="1311">
        <f t="shared" si="264"/>
        <v>0</v>
      </c>
    </row>
    <row r="819" spans="2:57" x14ac:dyDescent="0.25">
      <c r="B819" s="488"/>
      <c r="C819" s="489"/>
      <c r="D819" s="489"/>
      <c r="E819" s="489"/>
      <c r="F819" s="489"/>
      <c r="G819" s="489"/>
      <c r="H819" s="489"/>
      <c r="I819" s="489"/>
      <c r="J819" s="489"/>
      <c r="K819" s="489"/>
      <c r="L819" s="489"/>
      <c r="M819" s="489"/>
      <c r="N819" s="489"/>
      <c r="O819" s="489"/>
      <c r="P819" s="489"/>
      <c r="Q819" s="489"/>
      <c r="R819" s="489"/>
      <c r="S819" s="489"/>
      <c r="T819" s="489"/>
      <c r="U819" s="489"/>
      <c r="V819" s="489"/>
      <c r="W819" s="489"/>
      <c r="X819" s="489"/>
      <c r="Y819" s="489"/>
      <c r="Z819" s="489"/>
      <c r="AA819" s="489"/>
      <c r="AB819" s="489"/>
      <c r="AC819" s="489"/>
      <c r="AD819" s="489"/>
      <c r="AE819" s="489"/>
      <c r="AF819" s="489"/>
      <c r="AG819" s="489"/>
      <c r="AH819" s="489"/>
      <c r="AI819" s="489"/>
      <c r="AJ819" s="489"/>
      <c r="AK819" s="489"/>
      <c r="AL819" s="489"/>
      <c r="AM819" s="489"/>
      <c r="AN819" s="489"/>
      <c r="AO819" s="489"/>
      <c r="AP819" s="489"/>
      <c r="AQ819" s="489"/>
      <c r="AR819" s="489"/>
      <c r="AS819" s="489"/>
      <c r="AT819" s="489"/>
      <c r="AU819" s="489"/>
      <c r="AV819" s="489"/>
      <c r="AW819" s="489"/>
      <c r="AX819" s="489"/>
      <c r="AY819" s="489"/>
      <c r="AZ819" s="489"/>
      <c r="BA819" s="489"/>
      <c r="BB819" s="489"/>
      <c r="BC819" s="489"/>
      <c r="BD819" s="489"/>
      <c r="BE819" s="490"/>
    </row>
    <row r="820" spans="2:57" x14ac:dyDescent="0.25">
      <c r="B820" s="501"/>
      <c r="C820" s="499"/>
      <c r="D820" s="499"/>
      <c r="E820" s="499"/>
      <c r="F820" s="499"/>
      <c r="G820" s="499"/>
      <c r="H820" s="499"/>
      <c r="I820" s="499"/>
      <c r="J820" s="499"/>
      <c r="K820" s="499"/>
      <c r="L820" s="499"/>
      <c r="M820" s="499"/>
      <c r="N820" s="499"/>
      <c r="O820" s="499"/>
      <c r="P820" s="499"/>
      <c r="Q820" s="499"/>
      <c r="R820" s="499"/>
      <c r="S820" s="499"/>
      <c r="T820" s="499"/>
      <c r="U820" s="499"/>
      <c r="V820" s="499"/>
      <c r="W820" s="499"/>
      <c r="X820" s="499"/>
      <c r="Y820" s="499"/>
      <c r="Z820" s="499"/>
      <c r="AA820" s="499"/>
      <c r="AB820" s="499"/>
      <c r="AC820" s="499"/>
      <c r="AD820" s="499"/>
      <c r="AE820" s="499"/>
      <c r="AF820" s="499"/>
      <c r="AG820" s="499"/>
      <c r="AH820" s="499"/>
      <c r="AI820" s="499"/>
      <c r="AJ820" s="499"/>
      <c r="AK820" s="499"/>
      <c r="AL820" s="499"/>
      <c r="AM820" s="499"/>
      <c r="AN820" s="499"/>
      <c r="AO820" s="499"/>
      <c r="AP820" s="499"/>
      <c r="AQ820" s="499"/>
      <c r="AR820" s="499"/>
      <c r="AS820" s="499"/>
      <c r="AT820" s="499"/>
      <c r="AU820" s="499"/>
      <c r="AV820" s="499"/>
      <c r="AW820" s="499"/>
      <c r="AX820" s="499"/>
      <c r="AY820" s="499"/>
      <c r="AZ820" s="499"/>
      <c r="BA820" s="499"/>
      <c r="BB820" s="499"/>
      <c r="BC820" s="499"/>
      <c r="BD820" s="499"/>
      <c r="BE820" s="502"/>
    </row>
    <row r="821" spans="2:57" x14ac:dyDescent="0.25"/>
    <row r="822" spans="2:57" x14ac:dyDescent="0.25">
      <c r="B822" s="503"/>
      <c r="C822" s="504" t="str">
        <f>'II. Inputs, Baseline Energy Mix'!$R$14</f>
        <v>Heavy Fuel Oil</v>
      </c>
      <c r="D822" s="505"/>
      <c r="E822" s="505"/>
      <c r="F822" s="505"/>
      <c r="G822" s="505"/>
      <c r="H822" s="505"/>
      <c r="I822" s="505"/>
      <c r="J822" s="505"/>
      <c r="K822" s="505"/>
      <c r="L822" s="505"/>
      <c r="M822" s="505"/>
      <c r="N822" s="505"/>
      <c r="O822" s="505"/>
      <c r="P822" s="505"/>
      <c r="Q822" s="505"/>
      <c r="R822" s="505"/>
      <c r="S822" s="505"/>
      <c r="T822" s="505"/>
      <c r="U822" s="505"/>
      <c r="V822" s="505"/>
      <c r="W822" s="505"/>
      <c r="X822" s="505"/>
      <c r="Y822" s="505"/>
      <c r="Z822" s="505"/>
      <c r="AA822" s="505"/>
      <c r="AB822" s="505"/>
      <c r="AC822" s="505"/>
      <c r="AD822" s="505"/>
      <c r="AE822" s="505"/>
      <c r="AF822" s="505"/>
      <c r="AG822" s="505"/>
      <c r="AH822" s="505"/>
      <c r="AI822" s="505"/>
      <c r="AJ822" s="505"/>
      <c r="AK822" s="505"/>
      <c r="AL822" s="505"/>
      <c r="AM822" s="505"/>
      <c r="AN822" s="505"/>
      <c r="AO822" s="505"/>
      <c r="AP822" s="505"/>
      <c r="AQ822" s="505"/>
      <c r="AR822" s="505"/>
      <c r="AS822" s="505"/>
      <c r="AT822" s="505"/>
      <c r="AU822" s="505"/>
      <c r="AV822" s="505"/>
      <c r="AW822" s="505"/>
      <c r="AX822" s="505"/>
      <c r="AY822" s="505"/>
      <c r="AZ822" s="505"/>
      <c r="BA822" s="505"/>
      <c r="BB822" s="505"/>
      <c r="BC822" s="505"/>
      <c r="BD822" s="505"/>
      <c r="BE822" s="506"/>
    </row>
    <row r="823" spans="2:57" x14ac:dyDescent="0.25">
      <c r="B823" s="507"/>
      <c r="C823" s="508"/>
      <c r="D823" s="508"/>
      <c r="E823" s="508"/>
      <c r="F823" s="508"/>
      <c r="G823" s="508"/>
      <c r="H823" s="508"/>
      <c r="I823" s="508"/>
      <c r="J823" s="508"/>
      <c r="K823" s="508"/>
      <c r="L823" s="508"/>
      <c r="M823" s="508"/>
      <c r="N823" s="508"/>
      <c r="O823" s="508"/>
      <c r="P823" s="508"/>
      <c r="Q823" s="508"/>
      <c r="R823" s="508"/>
      <c r="S823" s="508"/>
      <c r="T823" s="508"/>
      <c r="U823" s="508"/>
      <c r="V823" s="508"/>
      <c r="W823" s="508"/>
      <c r="X823" s="508"/>
      <c r="Y823" s="508"/>
      <c r="Z823" s="508"/>
      <c r="AA823" s="508"/>
      <c r="AB823" s="508"/>
      <c r="AC823" s="508"/>
      <c r="AD823" s="508"/>
      <c r="AE823" s="508"/>
      <c r="AF823" s="508"/>
      <c r="AG823" s="508"/>
      <c r="AH823" s="508"/>
      <c r="AI823" s="508"/>
      <c r="AJ823" s="508"/>
      <c r="AK823" s="508"/>
      <c r="AL823" s="508"/>
      <c r="AM823" s="508"/>
      <c r="AN823" s="508"/>
      <c r="AO823" s="508"/>
      <c r="AP823" s="508"/>
      <c r="AQ823" s="508"/>
      <c r="AR823" s="508"/>
      <c r="AS823" s="508"/>
      <c r="AT823" s="508"/>
      <c r="AU823" s="508"/>
      <c r="AV823" s="508"/>
      <c r="AW823" s="508"/>
      <c r="AX823" s="508"/>
      <c r="AY823" s="508"/>
      <c r="AZ823" s="508"/>
      <c r="BA823" s="508"/>
      <c r="BB823" s="508"/>
      <c r="BC823" s="508"/>
      <c r="BD823" s="508"/>
      <c r="BE823" s="509"/>
    </row>
    <row r="824" spans="2:57" x14ac:dyDescent="0.25">
      <c r="B824" s="507"/>
      <c r="C824" s="510" t="s">
        <v>64</v>
      </c>
      <c r="D824" s="511">
        <f>'II. Inputs, Baseline Energy Mix'!$R$18</f>
        <v>0</v>
      </c>
      <c r="E824" s="512" t="s">
        <v>20</v>
      </c>
      <c r="F824" s="508"/>
      <c r="G824" s="508"/>
      <c r="H824" s="508"/>
      <c r="I824" s="508"/>
      <c r="J824" s="508"/>
      <c r="K824" s="508"/>
      <c r="L824" s="508"/>
      <c r="M824" s="508"/>
      <c r="N824" s="508"/>
      <c r="O824" s="508"/>
      <c r="P824" s="508"/>
      <c r="Q824" s="508"/>
      <c r="R824" s="508"/>
      <c r="S824" s="508"/>
      <c r="T824" s="508"/>
      <c r="U824" s="508"/>
      <c r="V824" s="508"/>
      <c r="W824" s="508"/>
      <c r="X824" s="508"/>
      <c r="Y824" s="508"/>
      <c r="Z824" s="508"/>
      <c r="AA824" s="508"/>
      <c r="AB824" s="508"/>
      <c r="AC824" s="508"/>
      <c r="AD824" s="508"/>
      <c r="AE824" s="508"/>
      <c r="AF824" s="508"/>
      <c r="AG824" s="508"/>
      <c r="AH824" s="508"/>
      <c r="AI824" s="508"/>
      <c r="AJ824" s="508"/>
      <c r="AK824" s="508"/>
      <c r="AL824" s="508"/>
      <c r="AM824" s="508"/>
      <c r="AN824" s="508"/>
      <c r="AO824" s="508"/>
      <c r="AP824" s="508"/>
      <c r="AQ824" s="508"/>
      <c r="AR824" s="508"/>
      <c r="AS824" s="508"/>
      <c r="AT824" s="508"/>
      <c r="AU824" s="508"/>
      <c r="AV824" s="508"/>
      <c r="AW824" s="508"/>
      <c r="AX824" s="508"/>
      <c r="AY824" s="508"/>
      <c r="AZ824" s="508"/>
      <c r="BA824" s="508"/>
      <c r="BB824" s="508"/>
      <c r="BC824" s="508"/>
      <c r="BD824" s="508"/>
      <c r="BE824" s="509"/>
    </row>
    <row r="825" spans="2:57" x14ac:dyDescent="0.25">
      <c r="B825" s="507"/>
      <c r="C825" s="508"/>
      <c r="D825" s="508"/>
      <c r="E825" s="508"/>
      <c r="F825" s="508"/>
      <c r="G825" s="508"/>
      <c r="H825" s="508"/>
      <c r="I825" s="508"/>
      <c r="J825" s="508"/>
      <c r="K825" s="508"/>
      <c r="L825" s="508"/>
      <c r="M825" s="508"/>
      <c r="N825" s="508"/>
      <c r="O825" s="508"/>
      <c r="P825" s="508"/>
      <c r="Q825" s="508"/>
      <c r="R825" s="508"/>
      <c r="S825" s="508"/>
      <c r="T825" s="508"/>
      <c r="U825" s="508"/>
      <c r="V825" s="508"/>
      <c r="W825" s="508"/>
      <c r="X825" s="508"/>
      <c r="Y825" s="508"/>
      <c r="Z825" s="508"/>
      <c r="AA825" s="508"/>
      <c r="AB825" s="508"/>
      <c r="AC825" s="508"/>
      <c r="AD825" s="508"/>
      <c r="AE825" s="508"/>
      <c r="AF825" s="508"/>
      <c r="AG825" s="508"/>
      <c r="AH825" s="508"/>
      <c r="AI825" s="508"/>
      <c r="AJ825" s="508"/>
      <c r="AK825" s="508"/>
      <c r="AL825" s="508"/>
      <c r="AM825" s="508"/>
      <c r="AN825" s="508"/>
      <c r="AO825" s="508"/>
      <c r="AP825" s="508"/>
      <c r="AQ825" s="508"/>
      <c r="AR825" s="508"/>
      <c r="AS825" s="508"/>
      <c r="AT825" s="508"/>
      <c r="AU825" s="508"/>
      <c r="AV825" s="508"/>
      <c r="AW825" s="508"/>
      <c r="AX825" s="508"/>
      <c r="AY825" s="508"/>
      <c r="AZ825" s="508"/>
      <c r="BA825" s="508"/>
      <c r="BB825" s="508"/>
      <c r="BC825" s="508"/>
      <c r="BD825" s="508"/>
      <c r="BE825" s="509"/>
    </row>
    <row r="826" spans="2:57" x14ac:dyDescent="0.25">
      <c r="B826" s="507"/>
      <c r="C826" s="508" t="s">
        <v>59</v>
      </c>
      <c r="D826" s="508"/>
      <c r="E826" s="508"/>
      <c r="F826" s="508"/>
      <c r="G826" s="513"/>
      <c r="H826" s="514">
        <f>IF(H$764&gt;$D$824,0,1/$D$824)</f>
        <v>0</v>
      </c>
      <c r="I826" s="514">
        <f t="shared" ref="I826:BE826" si="265">IF(I$764&gt;$D$824,0,1/$D$824)</f>
        <v>0</v>
      </c>
      <c r="J826" s="514">
        <f t="shared" si="265"/>
        <v>0</v>
      </c>
      <c r="K826" s="514">
        <f t="shared" si="265"/>
        <v>0</v>
      </c>
      <c r="L826" s="514">
        <f t="shared" si="265"/>
        <v>0</v>
      </c>
      <c r="M826" s="514">
        <f t="shared" si="265"/>
        <v>0</v>
      </c>
      <c r="N826" s="514">
        <f t="shared" si="265"/>
        <v>0</v>
      </c>
      <c r="O826" s="514">
        <f t="shared" si="265"/>
        <v>0</v>
      </c>
      <c r="P826" s="514">
        <f t="shared" si="265"/>
        <v>0</v>
      </c>
      <c r="Q826" s="514">
        <f t="shared" si="265"/>
        <v>0</v>
      </c>
      <c r="R826" s="514">
        <f t="shared" si="265"/>
        <v>0</v>
      </c>
      <c r="S826" s="514">
        <f t="shared" si="265"/>
        <v>0</v>
      </c>
      <c r="T826" s="514">
        <f t="shared" si="265"/>
        <v>0</v>
      </c>
      <c r="U826" s="514">
        <f t="shared" si="265"/>
        <v>0</v>
      </c>
      <c r="V826" s="514">
        <f t="shared" si="265"/>
        <v>0</v>
      </c>
      <c r="W826" s="514">
        <f t="shared" si="265"/>
        <v>0</v>
      </c>
      <c r="X826" s="514">
        <f t="shared" si="265"/>
        <v>0</v>
      </c>
      <c r="Y826" s="514">
        <f t="shared" si="265"/>
        <v>0</v>
      </c>
      <c r="Z826" s="514">
        <f t="shared" si="265"/>
        <v>0</v>
      </c>
      <c r="AA826" s="514">
        <f t="shared" si="265"/>
        <v>0</v>
      </c>
      <c r="AB826" s="514">
        <f t="shared" si="265"/>
        <v>0</v>
      </c>
      <c r="AC826" s="514">
        <f t="shared" si="265"/>
        <v>0</v>
      </c>
      <c r="AD826" s="514">
        <f t="shared" si="265"/>
        <v>0</v>
      </c>
      <c r="AE826" s="514">
        <f t="shared" si="265"/>
        <v>0</v>
      </c>
      <c r="AF826" s="514">
        <f t="shared" si="265"/>
        <v>0</v>
      </c>
      <c r="AG826" s="514">
        <f t="shared" si="265"/>
        <v>0</v>
      </c>
      <c r="AH826" s="514">
        <f t="shared" si="265"/>
        <v>0</v>
      </c>
      <c r="AI826" s="514">
        <f t="shared" si="265"/>
        <v>0</v>
      </c>
      <c r="AJ826" s="514">
        <f t="shared" si="265"/>
        <v>0</v>
      </c>
      <c r="AK826" s="514">
        <f t="shared" si="265"/>
        <v>0</v>
      </c>
      <c r="AL826" s="514">
        <f t="shared" si="265"/>
        <v>0</v>
      </c>
      <c r="AM826" s="514">
        <f t="shared" si="265"/>
        <v>0</v>
      </c>
      <c r="AN826" s="514">
        <f t="shared" si="265"/>
        <v>0</v>
      </c>
      <c r="AO826" s="514">
        <f t="shared" si="265"/>
        <v>0</v>
      </c>
      <c r="AP826" s="514">
        <f t="shared" si="265"/>
        <v>0</v>
      </c>
      <c r="AQ826" s="514">
        <f t="shared" si="265"/>
        <v>0</v>
      </c>
      <c r="AR826" s="514">
        <f t="shared" si="265"/>
        <v>0</v>
      </c>
      <c r="AS826" s="514">
        <f t="shared" si="265"/>
        <v>0</v>
      </c>
      <c r="AT826" s="514">
        <f t="shared" si="265"/>
        <v>0</v>
      </c>
      <c r="AU826" s="514">
        <f t="shared" si="265"/>
        <v>0</v>
      </c>
      <c r="AV826" s="514">
        <f t="shared" si="265"/>
        <v>0</v>
      </c>
      <c r="AW826" s="514">
        <f t="shared" si="265"/>
        <v>0</v>
      </c>
      <c r="AX826" s="514">
        <f t="shared" si="265"/>
        <v>0</v>
      </c>
      <c r="AY826" s="514">
        <f t="shared" si="265"/>
        <v>0</v>
      </c>
      <c r="AZ826" s="514">
        <f t="shared" si="265"/>
        <v>0</v>
      </c>
      <c r="BA826" s="514">
        <f t="shared" si="265"/>
        <v>0</v>
      </c>
      <c r="BB826" s="514">
        <f t="shared" si="265"/>
        <v>0</v>
      </c>
      <c r="BC826" s="514">
        <f t="shared" si="265"/>
        <v>0</v>
      </c>
      <c r="BD826" s="514">
        <f t="shared" si="265"/>
        <v>0</v>
      </c>
      <c r="BE826" s="515">
        <f t="shared" si="265"/>
        <v>0</v>
      </c>
    </row>
    <row r="827" spans="2:57" x14ac:dyDescent="0.25">
      <c r="B827" s="507"/>
      <c r="C827" s="508" t="s">
        <v>60</v>
      </c>
      <c r="D827" s="508"/>
      <c r="E827" s="508"/>
      <c r="F827" s="508"/>
      <c r="G827" s="516"/>
      <c r="H827" s="514">
        <v>0</v>
      </c>
      <c r="I827" s="514">
        <v>0</v>
      </c>
      <c r="J827" s="514">
        <v>0</v>
      </c>
      <c r="K827" s="514">
        <v>0</v>
      </c>
      <c r="L827" s="514">
        <v>0</v>
      </c>
      <c r="M827" s="514">
        <v>0</v>
      </c>
      <c r="N827" s="514">
        <v>0</v>
      </c>
      <c r="O827" s="514">
        <v>0</v>
      </c>
      <c r="P827" s="514">
        <v>0</v>
      </c>
      <c r="Q827" s="514">
        <v>0</v>
      </c>
      <c r="R827" s="514">
        <v>0</v>
      </c>
      <c r="S827" s="514">
        <v>0</v>
      </c>
      <c r="T827" s="514">
        <v>0</v>
      </c>
      <c r="U827" s="514">
        <v>0</v>
      </c>
      <c r="V827" s="514">
        <v>0</v>
      </c>
      <c r="W827" s="514">
        <v>0</v>
      </c>
      <c r="X827" s="514">
        <v>0</v>
      </c>
      <c r="Y827" s="514">
        <v>0</v>
      </c>
      <c r="Z827" s="514">
        <v>0</v>
      </c>
      <c r="AA827" s="514">
        <v>0</v>
      </c>
      <c r="AB827" s="514">
        <v>0</v>
      </c>
      <c r="AC827" s="514">
        <v>0</v>
      </c>
      <c r="AD827" s="514">
        <v>0</v>
      </c>
      <c r="AE827" s="514">
        <v>0</v>
      </c>
      <c r="AF827" s="514">
        <v>0</v>
      </c>
      <c r="AG827" s="514">
        <v>0</v>
      </c>
      <c r="AH827" s="514">
        <v>0</v>
      </c>
      <c r="AI827" s="514">
        <v>0</v>
      </c>
      <c r="AJ827" s="514">
        <v>0</v>
      </c>
      <c r="AK827" s="514">
        <v>0</v>
      </c>
      <c r="AL827" s="514">
        <v>0</v>
      </c>
      <c r="AM827" s="514">
        <v>0</v>
      </c>
      <c r="AN827" s="514">
        <v>0</v>
      </c>
      <c r="AO827" s="514">
        <v>0</v>
      </c>
      <c r="AP827" s="514">
        <v>0</v>
      </c>
      <c r="AQ827" s="514">
        <v>0</v>
      </c>
      <c r="AR827" s="514">
        <v>0</v>
      </c>
      <c r="AS827" s="514">
        <v>0</v>
      </c>
      <c r="AT827" s="514">
        <v>0</v>
      </c>
      <c r="AU827" s="514">
        <v>0</v>
      </c>
      <c r="AV827" s="514">
        <v>0</v>
      </c>
      <c r="AW827" s="514">
        <v>0</v>
      </c>
      <c r="AX827" s="514">
        <v>0</v>
      </c>
      <c r="AY827" s="514">
        <v>0</v>
      </c>
      <c r="AZ827" s="514">
        <v>0</v>
      </c>
      <c r="BA827" s="514">
        <v>0</v>
      </c>
      <c r="BB827" s="514">
        <v>0</v>
      </c>
      <c r="BC827" s="514">
        <v>0</v>
      </c>
      <c r="BD827" s="514">
        <v>0</v>
      </c>
      <c r="BE827" s="515">
        <v>0</v>
      </c>
    </row>
    <row r="828" spans="2:57" x14ac:dyDescent="0.25">
      <c r="B828" s="507"/>
      <c r="C828" s="508"/>
      <c r="D828" s="508"/>
      <c r="E828" s="508"/>
      <c r="F828" s="508"/>
      <c r="G828" s="508"/>
      <c r="H828" s="508"/>
      <c r="I828" s="508"/>
      <c r="J828" s="508"/>
      <c r="K828" s="508"/>
      <c r="L828" s="508"/>
      <c r="M828" s="508"/>
      <c r="N828" s="508"/>
      <c r="O828" s="508"/>
      <c r="P828" s="508"/>
      <c r="Q828" s="508"/>
      <c r="R828" s="508"/>
      <c r="S828" s="508"/>
      <c r="T828" s="508"/>
      <c r="U828" s="508"/>
      <c r="V828" s="508"/>
      <c r="W828" s="508"/>
      <c r="X828" s="508"/>
      <c r="Y828" s="508"/>
      <c r="Z828" s="508"/>
      <c r="AA828" s="508"/>
      <c r="AB828" s="508"/>
      <c r="AC828" s="508"/>
      <c r="AD828" s="508"/>
      <c r="AE828" s="508"/>
      <c r="AF828" s="508"/>
      <c r="AG828" s="508"/>
      <c r="AH828" s="508"/>
      <c r="AI828" s="508"/>
      <c r="AJ828" s="508"/>
      <c r="AK828" s="508"/>
      <c r="AL828" s="508"/>
      <c r="AM828" s="508"/>
      <c r="AN828" s="508"/>
      <c r="AO828" s="508"/>
      <c r="AP828" s="508"/>
      <c r="AQ828" s="508"/>
      <c r="AR828" s="508"/>
      <c r="AS828" s="508"/>
      <c r="AT828" s="508"/>
      <c r="AU828" s="508"/>
      <c r="AV828" s="508"/>
      <c r="AW828" s="508"/>
      <c r="AX828" s="508"/>
      <c r="AY828" s="508"/>
      <c r="AZ828" s="508"/>
      <c r="BA828" s="508"/>
      <c r="BB828" s="508"/>
      <c r="BC828" s="508"/>
      <c r="BD828" s="508"/>
      <c r="BE828" s="509"/>
    </row>
    <row r="829" spans="2:57" x14ac:dyDescent="0.25">
      <c r="B829" s="507"/>
      <c r="C829" s="508"/>
      <c r="D829" s="508"/>
      <c r="E829" s="508"/>
      <c r="F829" s="517" t="s">
        <v>61</v>
      </c>
      <c r="G829" s="517" t="s">
        <v>62</v>
      </c>
      <c r="H829" s="508"/>
      <c r="I829" s="508"/>
      <c r="J829" s="508"/>
      <c r="K829" s="508"/>
      <c r="L829" s="508"/>
      <c r="M829" s="508"/>
      <c r="N829" s="508"/>
      <c r="O829" s="508"/>
      <c r="P829" s="508"/>
      <c r="Q829" s="508"/>
      <c r="R829" s="508"/>
      <c r="S829" s="508"/>
      <c r="T829" s="508"/>
      <c r="U829" s="508"/>
      <c r="V829" s="508"/>
      <c r="W829" s="508"/>
      <c r="X829" s="508"/>
      <c r="Y829" s="508"/>
      <c r="Z829" s="508"/>
      <c r="AA829" s="508"/>
      <c r="AB829" s="508"/>
      <c r="AC829" s="508"/>
      <c r="AD829" s="508"/>
      <c r="AE829" s="508"/>
      <c r="AF829" s="508"/>
      <c r="AG829" s="508"/>
      <c r="AH829" s="508"/>
      <c r="AI829" s="508"/>
      <c r="AJ829" s="508"/>
      <c r="AK829" s="508"/>
      <c r="AL829" s="508"/>
      <c r="AM829" s="508"/>
      <c r="AN829" s="508"/>
      <c r="AO829" s="508"/>
      <c r="AP829" s="508"/>
      <c r="AQ829" s="508"/>
      <c r="AR829" s="508"/>
      <c r="AS829" s="508"/>
      <c r="AT829" s="508"/>
      <c r="AU829" s="508"/>
      <c r="AV829" s="508"/>
      <c r="AW829" s="508"/>
      <c r="AX829" s="508"/>
      <c r="AY829" s="508"/>
      <c r="AZ829" s="508"/>
      <c r="BA829" s="508"/>
      <c r="BB829" s="508"/>
      <c r="BC829" s="508"/>
      <c r="BD829" s="508"/>
      <c r="BE829" s="509"/>
    </row>
    <row r="830" spans="2:57" x14ac:dyDescent="0.25">
      <c r="B830" s="507"/>
      <c r="C830" s="508" t="s">
        <v>57</v>
      </c>
      <c r="D830" s="508"/>
      <c r="E830" s="508"/>
      <c r="F830" s="514">
        <f>'II. Inputs, Baseline Energy Mix'!$R$109</f>
        <v>1</v>
      </c>
      <c r="G830" s="1314">
        <f>IF('II. Inputs, Baseline Energy Mix'!$R$15&gt;0, F830*'II. Inputs, Baseline Energy Mix'!$R$16*'II. Inputs, Baseline Energy Mix'!$R$17,0)</f>
        <v>0</v>
      </c>
      <c r="H830" s="1314">
        <f>$G$830*H826</f>
        <v>0</v>
      </c>
      <c r="I830" s="1314">
        <f t="shared" ref="I830:BE830" si="266">$G$830*I826</f>
        <v>0</v>
      </c>
      <c r="J830" s="1314">
        <f t="shared" si="266"/>
        <v>0</v>
      </c>
      <c r="K830" s="1314">
        <f t="shared" si="266"/>
        <v>0</v>
      </c>
      <c r="L830" s="1314">
        <f t="shared" si="266"/>
        <v>0</v>
      </c>
      <c r="M830" s="1314">
        <f t="shared" si="266"/>
        <v>0</v>
      </c>
      <c r="N830" s="1314">
        <f t="shared" si="266"/>
        <v>0</v>
      </c>
      <c r="O830" s="1314">
        <f t="shared" si="266"/>
        <v>0</v>
      </c>
      <c r="P830" s="1314">
        <f t="shared" si="266"/>
        <v>0</v>
      </c>
      <c r="Q830" s="1314">
        <f t="shared" si="266"/>
        <v>0</v>
      </c>
      <c r="R830" s="1314">
        <f t="shared" si="266"/>
        <v>0</v>
      </c>
      <c r="S830" s="1314">
        <f t="shared" si="266"/>
        <v>0</v>
      </c>
      <c r="T830" s="1314">
        <f t="shared" si="266"/>
        <v>0</v>
      </c>
      <c r="U830" s="1314">
        <f t="shared" si="266"/>
        <v>0</v>
      </c>
      <c r="V830" s="1314">
        <f t="shared" si="266"/>
        <v>0</v>
      </c>
      <c r="W830" s="1314">
        <f t="shared" si="266"/>
        <v>0</v>
      </c>
      <c r="X830" s="1314">
        <f t="shared" si="266"/>
        <v>0</v>
      </c>
      <c r="Y830" s="1314">
        <f t="shared" si="266"/>
        <v>0</v>
      </c>
      <c r="Z830" s="1314">
        <f t="shared" si="266"/>
        <v>0</v>
      </c>
      <c r="AA830" s="1314">
        <f t="shared" si="266"/>
        <v>0</v>
      </c>
      <c r="AB830" s="1314">
        <f t="shared" si="266"/>
        <v>0</v>
      </c>
      <c r="AC830" s="1314">
        <f t="shared" si="266"/>
        <v>0</v>
      </c>
      <c r="AD830" s="1314">
        <f t="shared" si="266"/>
        <v>0</v>
      </c>
      <c r="AE830" s="1314">
        <f t="shared" si="266"/>
        <v>0</v>
      </c>
      <c r="AF830" s="1314">
        <f t="shared" si="266"/>
        <v>0</v>
      </c>
      <c r="AG830" s="1314">
        <f t="shared" si="266"/>
        <v>0</v>
      </c>
      <c r="AH830" s="1314">
        <f t="shared" si="266"/>
        <v>0</v>
      </c>
      <c r="AI830" s="1314">
        <f t="shared" si="266"/>
        <v>0</v>
      </c>
      <c r="AJ830" s="1314">
        <f t="shared" si="266"/>
        <v>0</v>
      </c>
      <c r="AK830" s="1314">
        <f t="shared" si="266"/>
        <v>0</v>
      </c>
      <c r="AL830" s="1314">
        <f t="shared" si="266"/>
        <v>0</v>
      </c>
      <c r="AM830" s="1314">
        <f t="shared" si="266"/>
        <v>0</v>
      </c>
      <c r="AN830" s="1314">
        <f t="shared" si="266"/>
        <v>0</v>
      </c>
      <c r="AO830" s="1314">
        <f t="shared" si="266"/>
        <v>0</v>
      </c>
      <c r="AP830" s="1314">
        <f t="shared" si="266"/>
        <v>0</v>
      </c>
      <c r="AQ830" s="1314">
        <f t="shared" si="266"/>
        <v>0</v>
      </c>
      <c r="AR830" s="1314">
        <f t="shared" si="266"/>
        <v>0</v>
      </c>
      <c r="AS830" s="1314">
        <f t="shared" si="266"/>
        <v>0</v>
      </c>
      <c r="AT830" s="1314">
        <f t="shared" si="266"/>
        <v>0</v>
      </c>
      <c r="AU830" s="1314">
        <f t="shared" si="266"/>
        <v>0</v>
      </c>
      <c r="AV830" s="1314">
        <f t="shared" si="266"/>
        <v>0</v>
      </c>
      <c r="AW830" s="1314">
        <f t="shared" si="266"/>
        <v>0</v>
      </c>
      <c r="AX830" s="1314">
        <f t="shared" si="266"/>
        <v>0</v>
      </c>
      <c r="AY830" s="1314">
        <f t="shared" si="266"/>
        <v>0</v>
      </c>
      <c r="AZ830" s="1314">
        <f t="shared" si="266"/>
        <v>0</v>
      </c>
      <c r="BA830" s="1314">
        <f t="shared" si="266"/>
        <v>0</v>
      </c>
      <c r="BB830" s="1314">
        <f t="shared" si="266"/>
        <v>0</v>
      </c>
      <c r="BC830" s="1314">
        <f t="shared" si="266"/>
        <v>0</v>
      </c>
      <c r="BD830" s="1314">
        <f t="shared" si="266"/>
        <v>0</v>
      </c>
      <c r="BE830" s="1315">
        <f t="shared" si="266"/>
        <v>0</v>
      </c>
    </row>
    <row r="831" spans="2:57" x14ac:dyDescent="0.25">
      <c r="B831" s="507"/>
      <c r="C831" s="518" t="s">
        <v>18</v>
      </c>
      <c r="D831" s="518"/>
      <c r="E831" s="518"/>
      <c r="F831" s="519">
        <f>'II. Inputs, Baseline Energy Mix'!$R$110</f>
        <v>0</v>
      </c>
      <c r="G831" s="1316">
        <f>IF('II. Inputs, Baseline Energy Mix'!$R$15&gt;0, F831*'II. Inputs, Baseline Energy Mix'!$R$16*'II. Inputs, Baseline Energy Mix'!$R$17,0)</f>
        <v>0</v>
      </c>
      <c r="H831" s="1316">
        <f>$G$831*H827</f>
        <v>0</v>
      </c>
      <c r="I831" s="1316">
        <f t="shared" ref="I831:BE831" si="267">$G$831*I827</f>
        <v>0</v>
      </c>
      <c r="J831" s="1316">
        <f t="shared" si="267"/>
        <v>0</v>
      </c>
      <c r="K831" s="1316">
        <f t="shared" si="267"/>
        <v>0</v>
      </c>
      <c r="L831" s="1316">
        <f t="shared" si="267"/>
        <v>0</v>
      </c>
      <c r="M831" s="1316">
        <f t="shared" si="267"/>
        <v>0</v>
      </c>
      <c r="N831" s="1316">
        <f t="shared" si="267"/>
        <v>0</v>
      </c>
      <c r="O831" s="1316">
        <f t="shared" si="267"/>
        <v>0</v>
      </c>
      <c r="P831" s="1316">
        <f t="shared" si="267"/>
        <v>0</v>
      </c>
      <c r="Q831" s="1316">
        <f t="shared" si="267"/>
        <v>0</v>
      </c>
      <c r="R831" s="1316">
        <f t="shared" si="267"/>
        <v>0</v>
      </c>
      <c r="S831" s="1316">
        <f t="shared" si="267"/>
        <v>0</v>
      </c>
      <c r="T831" s="1316">
        <f t="shared" si="267"/>
        <v>0</v>
      </c>
      <c r="U831" s="1316">
        <f t="shared" si="267"/>
        <v>0</v>
      </c>
      <c r="V831" s="1316">
        <f t="shared" si="267"/>
        <v>0</v>
      </c>
      <c r="W831" s="1316">
        <f t="shared" si="267"/>
        <v>0</v>
      </c>
      <c r="X831" s="1316">
        <f t="shared" si="267"/>
        <v>0</v>
      </c>
      <c r="Y831" s="1316">
        <f t="shared" si="267"/>
        <v>0</v>
      </c>
      <c r="Z831" s="1316">
        <f t="shared" si="267"/>
        <v>0</v>
      </c>
      <c r="AA831" s="1316">
        <f t="shared" si="267"/>
        <v>0</v>
      </c>
      <c r="AB831" s="1316">
        <f t="shared" si="267"/>
        <v>0</v>
      </c>
      <c r="AC831" s="1316">
        <f t="shared" si="267"/>
        <v>0</v>
      </c>
      <c r="AD831" s="1316">
        <f t="shared" si="267"/>
        <v>0</v>
      </c>
      <c r="AE831" s="1316">
        <f t="shared" si="267"/>
        <v>0</v>
      </c>
      <c r="AF831" s="1316">
        <f t="shared" si="267"/>
        <v>0</v>
      </c>
      <c r="AG831" s="1316">
        <f t="shared" si="267"/>
        <v>0</v>
      </c>
      <c r="AH831" s="1316">
        <f t="shared" si="267"/>
        <v>0</v>
      </c>
      <c r="AI831" s="1316">
        <f t="shared" si="267"/>
        <v>0</v>
      </c>
      <c r="AJ831" s="1316">
        <f t="shared" si="267"/>
        <v>0</v>
      </c>
      <c r="AK831" s="1316">
        <f t="shared" si="267"/>
        <v>0</v>
      </c>
      <c r="AL831" s="1316">
        <f t="shared" si="267"/>
        <v>0</v>
      </c>
      <c r="AM831" s="1316">
        <f t="shared" si="267"/>
        <v>0</v>
      </c>
      <c r="AN831" s="1316">
        <f t="shared" si="267"/>
        <v>0</v>
      </c>
      <c r="AO831" s="1316">
        <f t="shared" si="267"/>
        <v>0</v>
      </c>
      <c r="AP831" s="1316">
        <f t="shared" si="267"/>
        <v>0</v>
      </c>
      <c r="AQ831" s="1316">
        <f t="shared" si="267"/>
        <v>0</v>
      </c>
      <c r="AR831" s="1316">
        <f t="shared" si="267"/>
        <v>0</v>
      </c>
      <c r="AS831" s="1316">
        <f t="shared" si="267"/>
        <v>0</v>
      </c>
      <c r="AT831" s="1316">
        <f t="shared" si="267"/>
        <v>0</v>
      </c>
      <c r="AU831" s="1316">
        <f t="shared" si="267"/>
        <v>0</v>
      </c>
      <c r="AV831" s="1316">
        <f t="shared" si="267"/>
        <v>0</v>
      </c>
      <c r="AW831" s="1316">
        <f t="shared" si="267"/>
        <v>0</v>
      </c>
      <c r="AX831" s="1316">
        <f t="shared" si="267"/>
        <v>0</v>
      </c>
      <c r="AY831" s="1316">
        <f t="shared" si="267"/>
        <v>0</v>
      </c>
      <c r="AZ831" s="1316">
        <f t="shared" si="267"/>
        <v>0</v>
      </c>
      <c r="BA831" s="1316">
        <f t="shared" si="267"/>
        <v>0</v>
      </c>
      <c r="BB831" s="1316">
        <f t="shared" si="267"/>
        <v>0</v>
      </c>
      <c r="BC831" s="1316">
        <f t="shared" si="267"/>
        <v>0</v>
      </c>
      <c r="BD831" s="1316">
        <f t="shared" si="267"/>
        <v>0</v>
      </c>
      <c r="BE831" s="1317">
        <f t="shared" si="267"/>
        <v>0</v>
      </c>
    </row>
    <row r="832" spans="2:57" x14ac:dyDescent="0.25">
      <c r="B832" s="507"/>
      <c r="C832" s="508" t="s">
        <v>63</v>
      </c>
      <c r="D832" s="508"/>
      <c r="E832" s="508"/>
      <c r="F832" s="508"/>
      <c r="G832" s="1314">
        <f>G830+G831</f>
        <v>0</v>
      </c>
      <c r="H832" s="1314">
        <f>H830+H831</f>
        <v>0</v>
      </c>
      <c r="I832" s="1314">
        <f t="shared" ref="I832:BE832" si="268">I830+I831</f>
        <v>0</v>
      </c>
      <c r="J832" s="1314">
        <f t="shared" si="268"/>
        <v>0</v>
      </c>
      <c r="K832" s="1314">
        <f t="shared" si="268"/>
        <v>0</v>
      </c>
      <c r="L832" s="1314">
        <f t="shared" si="268"/>
        <v>0</v>
      </c>
      <c r="M832" s="1314">
        <f t="shared" si="268"/>
        <v>0</v>
      </c>
      <c r="N832" s="1314">
        <f t="shared" si="268"/>
        <v>0</v>
      </c>
      <c r="O832" s="1314">
        <f t="shared" si="268"/>
        <v>0</v>
      </c>
      <c r="P832" s="1314">
        <f t="shared" si="268"/>
        <v>0</v>
      </c>
      <c r="Q832" s="1314">
        <f t="shared" si="268"/>
        <v>0</v>
      </c>
      <c r="R832" s="1314">
        <f t="shared" si="268"/>
        <v>0</v>
      </c>
      <c r="S832" s="1314">
        <f t="shared" si="268"/>
        <v>0</v>
      </c>
      <c r="T832" s="1314">
        <f t="shared" si="268"/>
        <v>0</v>
      </c>
      <c r="U832" s="1314">
        <f t="shared" si="268"/>
        <v>0</v>
      </c>
      <c r="V832" s="1314">
        <f t="shared" si="268"/>
        <v>0</v>
      </c>
      <c r="W832" s="1314">
        <f t="shared" si="268"/>
        <v>0</v>
      </c>
      <c r="X832" s="1314">
        <f t="shared" si="268"/>
        <v>0</v>
      </c>
      <c r="Y832" s="1314">
        <f t="shared" si="268"/>
        <v>0</v>
      </c>
      <c r="Z832" s="1314">
        <f t="shared" si="268"/>
        <v>0</v>
      </c>
      <c r="AA832" s="1314">
        <f t="shared" si="268"/>
        <v>0</v>
      </c>
      <c r="AB832" s="1314">
        <f t="shared" si="268"/>
        <v>0</v>
      </c>
      <c r="AC832" s="1314">
        <f t="shared" si="268"/>
        <v>0</v>
      </c>
      <c r="AD832" s="1314">
        <f t="shared" si="268"/>
        <v>0</v>
      </c>
      <c r="AE832" s="1314">
        <f t="shared" si="268"/>
        <v>0</v>
      </c>
      <c r="AF832" s="1314">
        <f t="shared" si="268"/>
        <v>0</v>
      </c>
      <c r="AG832" s="1314">
        <f t="shared" si="268"/>
        <v>0</v>
      </c>
      <c r="AH832" s="1314">
        <f t="shared" si="268"/>
        <v>0</v>
      </c>
      <c r="AI832" s="1314">
        <f t="shared" si="268"/>
        <v>0</v>
      </c>
      <c r="AJ832" s="1314">
        <f t="shared" si="268"/>
        <v>0</v>
      </c>
      <c r="AK832" s="1314">
        <f t="shared" si="268"/>
        <v>0</v>
      </c>
      <c r="AL832" s="1314">
        <f t="shared" si="268"/>
        <v>0</v>
      </c>
      <c r="AM832" s="1314">
        <f t="shared" si="268"/>
        <v>0</v>
      </c>
      <c r="AN832" s="1314">
        <f t="shared" si="268"/>
        <v>0</v>
      </c>
      <c r="AO832" s="1314">
        <f t="shared" si="268"/>
        <v>0</v>
      </c>
      <c r="AP832" s="1314">
        <f t="shared" si="268"/>
        <v>0</v>
      </c>
      <c r="AQ832" s="1314">
        <f t="shared" si="268"/>
        <v>0</v>
      </c>
      <c r="AR832" s="1314">
        <f t="shared" si="268"/>
        <v>0</v>
      </c>
      <c r="AS832" s="1314">
        <f t="shared" si="268"/>
        <v>0</v>
      </c>
      <c r="AT832" s="1314">
        <f t="shared" si="268"/>
        <v>0</v>
      </c>
      <c r="AU832" s="1314">
        <f t="shared" si="268"/>
        <v>0</v>
      </c>
      <c r="AV832" s="1314">
        <f t="shared" si="268"/>
        <v>0</v>
      </c>
      <c r="AW832" s="1314">
        <f t="shared" si="268"/>
        <v>0</v>
      </c>
      <c r="AX832" s="1314">
        <f t="shared" si="268"/>
        <v>0</v>
      </c>
      <c r="AY832" s="1314">
        <f t="shared" si="268"/>
        <v>0</v>
      </c>
      <c r="AZ832" s="1314">
        <f t="shared" si="268"/>
        <v>0</v>
      </c>
      <c r="BA832" s="1314">
        <f t="shared" si="268"/>
        <v>0</v>
      </c>
      <c r="BB832" s="1314">
        <f t="shared" si="268"/>
        <v>0</v>
      </c>
      <c r="BC832" s="1314">
        <f t="shared" si="268"/>
        <v>0</v>
      </c>
      <c r="BD832" s="1314">
        <f t="shared" si="268"/>
        <v>0</v>
      </c>
      <c r="BE832" s="1315">
        <f t="shared" si="268"/>
        <v>0</v>
      </c>
    </row>
    <row r="833" spans="2:57" x14ac:dyDescent="0.25">
      <c r="B833" s="507"/>
      <c r="C833" s="508"/>
      <c r="D833" s="508"/>
      <c r="E833" s="508"/>
      <c r="F833" s="508"/>
      <c r="G833" s="508"/>
      <c r="H833" s="508"/>
      <c r="I833" s="508"/>
      <c r="J833" s="508"/>
      <c r="K833" s="508"/>
      <c r="L833" s="508"/>
      <c r="M833" s="508"/>
      <c r="N833" s="508"/>
      <c r="O833" s="508"/>
      <c r="P833" s="508"/>
      <c r="Q833" s="508"/>
      <c r="R833" s="508"/>
      <c r="S833" s="508"/>
      <c r="T833" s="508"/>
      <c r="U833" s="508"/>
      <c r="V833" s="508"/>
      <c r="W833" s="508"/>
      <c r="X833" s="508"/>
      <c r="Y833" s="508"/>
      <c r="Z833" s="508"/>
      <c r="AA833" s="508"/>
      <c r="AB833" s="508"/>
      <c r="AC833" s="508"/>
      <c r="AD833" s="508"/>
      <c r="AE833" s="508"/>
      <c r="AF833" s="508"/>
      <c r="AG833" s="508"/>
      <c r="AH833" s="508"/>
      <c r="AI833" s="508"/>
      <c r="AJ833" s="508"/>
      <c r="AK833" s="508"/>
      <c r="AL833" s="508"/>
      <c r="AM833" s="508"/>
      <c r="AN833" s="508"/>
      <c r="AO833" s="508"/>
      <c r="AP833" s="508"/>
      <c r="AQ833" s="508"/>
      <c r="AR833" s="508"/>
      <c r="AS833" s="508"/>
      <c r="AT833" s="508"/>
      <c r="AU833" s="508"/>
      <c r="AV833" s="508"/>
      <c r="AW833" s="508"/>
      <c r="AX833" s="508"/>
      <c r="AY833" s="508"/>
      <c r="AZ833" s="508"/>
      <c r="BA833" s="508"/>
      <c r="BB833" s="508"/>
      <c r="BC833" s="508"/>
      <c r="BD833" s="508"/>
      <c r="BE833" s="509"/>
    </row>
    <row r="834" spans="2:57" x14ac:dyDescent="0.25">
      <c r="B834" s="520"/>
      <c r="C834" s="518"/>
      <c r="D834" s="518"/>
      <c r="E834" s="518"/>
      <c r="F834" s="518"/>
      <c r="G834" s="518"/>
      <c r="H834" s="518"/>
      <c r="I834" s="518"/>
      <c r="J834" s="518"/>
      <c r="K834" s="518"/>
      <c r="L834" s="518"/>
      <c r="M834" s="518"/>
      <c r="N834" s="518"/>
      <c r="O834" s="518"/>
      <c r="P834" s="518"/>
      <c r="Q834" s="518"/>
      <c r="R834" s="518"/>
      <c r="S834" s="518"/>
      <c r="T834" s="518"/>
      <c r="U834" s="518"/>
      <c r="V834" s="518"/>
      <c r="W834" s="518"/>
      <c r="X834" s="518"/>
      <c r="Y834" s="518"/>
      <c r="Z834" s="518"/>
      <c r="AA834" s="518"/>
      <c r="AB834" s="518"/>
      <c r="AC834" s="518"/>
      <c r="AD834" s="518"/>
      <c r="AE834" s="518"/>
      <c r="AF834" s="518"/>
      <c r="AG834" s="518"/>
      <c r="AH834" s="518"/>
      <c r="AI834" s="518"/>
      <c r="AJ834" s="518"/>
      <c r="AK834" s="518"/>
      <c r="AL834" s="518"/>
      <c r="AM834" s="518"/>
      <c r="AN834" s="518"/>
      <c r="AO834" s="518"/>
      <c r="AP834" s="518"/>
      <c r="AQ834" s="518"/>
      <c r="AR834" s="518"/>
      <c r="AS834" s="518"/>
      <c r="AT834" s="518"/>
      <c r="AU834" s="518"/>
      <c r="AV834" s="518"/>
      <c r="AW834" s="518"/>
      <c r="AX834" s="518"/>
      <c r="AY834" s="518"/>
      <c r="AZ834" s="518"/>
      <c r="BA834" s="518"/>
      <c r="BB834" s="518"/>
      <c r="BC834" s="518"/>
      <c r="BD834" s="518"/>
      <c r="BE834" s="521"/>
    </row>
    <row r="835" spans="2:57" x14ac:dyDescent="0.25"/>
    <row r="836" spans="2:57" x14ac:dyDescent="0.25">
      <c r="B836" s="522"/>
      <c r="C836" s="523" t="str">
        <f>'II. Inputs, Baseline Energy Mix'!$S$14</f>
        <v>Geothermal</v>
      </c>
      <c r="D836" s="524"/>
      <c r="E836" s="524"/>
      <c r="F836" s="524"/>
      <c r="G836" s="524"/>
      <c r="H836" s="524"/>
      <c r="I836" s="524"/>
      <c r="J836" s="524"/>
      <c r="K836" s="524"/>
      <c r="L836" s="524"/>
      <c r="M836" s="524"/>
      <c r="N836" s="524"/>
      <c r="O836" s="524"/>
      <c r="P836" s="524"/>
      <c r="Q836" s="524"/>
      <c r="R836" s="524"/>
      <c r="S836" s="524"/>
      <c r="T836" s="524"/>
      <c r="U836" s="524"/>
      <c r="V836" s="524"/>
      <c r="W836" s="524"/>
      <c r="X836" s="524"/>
      <c r="Y836" s="524"/>
      <c r="Z836" s="524"/>
      <c r="AA836" s="524"/>
      <c r="AB836" s="524"/>
      <c r="AC836" s="524"/>
      <c r="AD836" s="524"/>
      <c r="AE836" s="524"/>
      <c r="AF836" s="524"/>
      <c r="AG836" s="524"/>
      <c r="AH836" s="524"/>
      <c r="AI836" s="524"/>
      <c r="AJ836" s="524"/>
      <c r="AK836" s="524"/>
      <c r="AL836" s="524"/>
      <c r="AM836" s="524"/>
      <c r="AN836" s="524"/>
      <c r="AO836" s="524"/>
      <c r="AP836" s="524"/>
      <c r="AQ836" s="524"/>
      <c r="AR836" s="524"/>
      <c r="AS836" s="524"/>
      <c r="AT836" s="524"/>
      <c r="AU836" s="524"/>
      <c r="AV836" s="524"/>
      <c r="AW836" s="524"/>
      <c r="AX836" s="524"/>
      <c r="AY836" s="524"/>
      <c r="AZ836" s="524"/>
      <c r="BA836" s="524"/>
      <c r="BB836" s="524"/>
      <c r="BC836" s="524"/>
      <c r="BD836" s="524"/>
      <c r="BE836" s="525"/>
    </row>
    <row r="837" spans="2:57" x14ac:dyDescent="0.25">
      <c r="B837" s="526"/>
      <c r="C837" s="360"/>
      <c r="D837" s="360"/>
      <c r="E837" s="360"/>
      <c r="F837" s="360"/>
      <c r="G837" s="360"/>
      <c r="H837" s="360"/>
      <c r="I837" s="360"/>
      <c r="J837" s="360"/>
      <c r="K837" s="360"/>
      <c r="L837" s="360"/>
      <c r="M837" s="360"/>
      <c r="N837" s="360"/>
      <c r="O837" s="360"/>
      <c r="P837" s="360"/>
      <c r="Q837" s="360"/>
      <c r="R837" s="360"/>
      <c r="S837" s="360"/>
      <c r="T837" s="360"/>
      <c r="U837" s="360"/>
      <c r="V837" s="360"/>
      <c r="W837" s="360"/>
      <c r="X837" s="360"/>
      <c r="Y837" s="360"/>
      <c r="Z837" s="360"/>
      <c r="AA837" s="360"/>
      <c r="AB837" s="360"/>
      <c r="AC837" s="360"/>
      <c r="AD837" s="360"/>
      <c r="AE837" s="360"/>
      <c r="AF837" s="360"/>
      <c r="AG837" s="360"/>
      <c r="AH837" s="360"/>
      <c r="AI837" s="360"/>
      <c r="AJ837" s="360"/>
      <c r="AK837" s="360"/>
      <c r="AL837" s="360"/>
      <c r="AM837" s="360"/>
      <c r="AN837" s="360"/>
      <c r="AO837" s="360"/>
      <c r="AP837" s="360"/>
      <c r="AQ837" s="360"/>
      <c r="AR837" s="360"/>
      <c r="AS837" s="360"/>
      <c r="AT837" s="360"/>
      <c r="AU837" s="360"/>
      <c r="AV837" s="360"/>
      <c r="AW837" s="360"/>
      <c r="AX837" s="360"/>
      <c r="AY837" s="360"/>
      <c r="AZ837" s="360"/>
      <c r="BA837" s="360"/>
      <c r="BB837" s="360"/>
      <c r="BC837" s="360"/>
      <c r="BD837" s="360"/>
      <c r="BE837" s="527"/>
    </row>
    <row r="838" spans="2:57" x14ac:dyDescent="0.25">
      <c r="B838" s="526"/>
      <c r="C838" s="528" t="s">
        <v>64</v>
      </c>
      <c r="D838" s="529">
        <f>'II. Inputs, Baseline Energy Mix'!$S$18</f>
        <v>0</v>
      </c>
      <c r="E838" s="530" t="s">
        <v>20</v>
      </c>
      <c r="F838" s="360"/>
      <c r="G838" s="360"/>
      <c r="H838" s="360"/>
      <c r="I838" s="360"/>
      <c r="J838" s="360"/>
      <c r="K838" s="360"/>
      <c r="L838" s="360"/>
      <c r="M838" s="360"/>
      <c r="N838" s="360"/>
      <c r="O838" s="360"/>
      <c r="P838" s="360"/>
      <c r="Q838" s="360"/>
      <c r="R838" s="360"/>
      <c r="S838" s="360"/>
      <c r="T838" s="360"/>
      <c r="U838" s="360"/>
      <c r="V838" s="360"/>
      <c r="W838" s="360"/>
      <c r="X838" s="360"/>
      <c r="Y838" s="360"/>
      <c r="Z838" s="360"/>
      <c r="AA838" s="360"/>
      <c r="AB838" s="360"/>
      <c r="AC838" s="360"/>
      <c r="AD838" s="360"/>
      <c r="AE838" s="360"/>
      <c r="AF838" s="360"/>
      <c r="AG838" s="360"/>
      <c r="AH838" s="360"/>
      <c r="AI838" s="360"/>
      <c r="AJ838" s="360"/>
      <c r="AK838" s="360"/>
      <c r="AL838" s="360"/>
      <c r="AM838" s="360"/>
      <c r="AN838" s="360"/>
      <c r="AO838" s="360"/>
      <c r="AP838" s="360"/>
      <c r="AQ838" s="360"/>
      <c r="AR838" s="360"/>
      <c r="AS838" s="360"/>
      <c r="AT838" s="360"/>
      <c r="AU838" s="360"/>
      <c r="AV838" s="360"/>
      <c r="AW838" s="360"/>
      <c r="AX838" s="360"/>
      <c r="AY838" s="360"/>
      <c r="AZ838" s="360"/>
      <c r="BA838" s="360"/>
      <c r="BB838" s="360"/>
      <c r="BC838" s="360"/>
      <c r="BD838" s="360"/>
      <c r="BE838" s="527"/>
    </row>
    <row r="839" spans="2:57" x14ac:dyDescent="0.25">
      <c r="B839" s="526"/>
      <c r="C839" s="360"/>
      <c r="D839" s="360"/>
      <c r="E839" s="360"/>
      <c r="F839" s="360"/>
      <c r="G839" s="360"/>
      <c r="H839" s="360"/>
      <c r="I839" s="360"/>
      <c r="J839" s="360"/>
      <c r="K839" s="360"/>
      <c r="L839" s="360"/>
      <c r="M839" s="360"/>
      <c r="N839" s="360"/>
      <c r="O839" s="360"/>
      <c r="P839" s="360"/>
      <c r="Q839" s="360"/>
      <c r="R839" s="360"/>
      <c r="S839" s="360"/>
      <c r="T839" s="360"/>
      <c r="U839" s="360"/>
      <c r="V839" s="360"/>
      <c r="W839" s="360"/>
      <c r="X839" s="360"/>
      <c r="Y839" s="360"/>
      <c r="Z839" s="360"/>
      <c r="AA839" s="360"/>
      <c r="AB839" s="360"/>
      <c r="AC839" s="360"/>
      <c r="AD839" s="360"/>
      <c r="AE839" s="360"/>
      <c r="AF839" s="360"/>
      <c r="AG839" s="360"/>
      <c r="AH839" s="360"/>
      <c r="AI839" s="360"/>
      <c r="AJ839" s="360"/>
      <c r="AK839" s="360"/>
      <c r="AL839" s="360"/>
      <c r="AM839" s="360"/>
      <c r="AN839" s="360"/>
      <c r="AO839" s="360"/>
      <c r="AP839" s="360"/>
      <c r="AQ839" s="360"/>
      <c r="AR839" s="360"/>
      <c r="AS839" s="360"/>
      <c r="AT839" s="360"/>
      <c r="AU839" s="360"/>
      <c r="AV839" s="360"/>
      <c r="AW839" s="360"/>
      <c r="AX839" s="360"/>
      <c r="AY839" s="360"/>
      <c r="AZ839" s="360"/>
      <c r="BA839" s="360"/>
      <c r="BB839" s="360"/>
      <c r="BC839" s="360"/>
      <c r="BD839" s="360"/>
      <c r="BE839" s="527"/>
    </row>
    <row r="840" spans="2:57" x14ac:dyDescent="0.25">
      <c r="B840" s="526"/>
      <c r="C840" s="360" t="s">
        <v>59</v>
      </c>
      <c r="D840" s="360"/>
      <c r="E840" s="360"/>
      <c r="F840" s="360"/>
      <c r="G840" s="531"/>
      <c r="H840" s="532">
        <f>IF(H$764&gt;$D$838,0,1/$D$838)</f>
        <v>0</v>
      </c>
      <c r="I840" s="532">
        <f t="shared" ref="I840:BE840" si="269">IF(I$764&gt;$D$838,0,1/$D$838)</f>
        <v>0</v>
      </c>
      <c r="J840" s="532">
        <f t="shared" si="269"/>
        <v>0</v>
      </c>
      <c r="K840" s="532">
        <f t="shared" si="269"/>
        <v>0</v>
      </c>
      <c r="L840" s="532">
        <f t="shared" si="269"/>
        <v>0</v>
      </c>
      <c r="M840" s="532">
        <f t="shared" si="269"/>
        <v>0</v>
      </c>
      <c r="N840" s="532">
        <f t="shared" si="269"/>
        <v>0</v>
      </c>
      <c r="O840" s="532">
        <f t="shared" si="269"/>
        <v>0</v>
      </c>
      <c r="P840" s="532">
        <f t="shared" si="269"/>
        <v>0</v>
      </c>
      <c r="Q840" s="532">
        <f t="shared" si="269"/>
        <v>0</v>
      </c>
      <c r="R840" s="532">
        <f t="shared" si="269"/>
        <v>0</v>
      </c>
      <c r="S840" s="532">
        <f t="shared" si="269"/>
        <v>0</v>
      </c>
      <c r="T840" s="532">
        <f t="shared" si="269"/>
        <v>0</v>
      </c>
      <c r="U840" s="532">
        <f t="shared" si="269"/>
        <v>0</v>
      </c>
      <c r="V840" s="532">
        <f t="shared" si="269"/>
        <v>0</v>
      </c>
      <c r="W840" s="532">
        <f t="shared" si="269"/>
        <v>0</v>
      </c>
      <c r="X840" s="532">
        <f t="shared" si="269"/>
        <v>0</v>
      </c>
      <c r="Y840" s="532">
        <f t="shared" si="269"/>
        <v>0</v>
      </c>
      <c r="Z840" s="532">
        <f t="shared" si="269"/>
        <v>0</v>
      </c>
      <c r="AA840" s="532">
        <f t="shared" si="269"/>
        <v>0</v>
      </c>
      <c r="AB840" s="532">
        <f t="shared" si="269"/>
        <v>0</v>
      </c>
      <c r="AC840" s="532">
        <f t="shared" si="269"/>
        <v>0</v>
      </c>
      <c r="AD840" s="532">
        <f t="shared" si="269"/>
        <v>0</v>
      </c>
      <c r="AE840" s="532">
        <f t="shared" si="269"/>
        <v>0</v>
      </c>
      <c r="AF840" s="532">
        <f t="shared" si="269"/>
        <v>0</v>
      </c>
      <c r="AG840" s="532">
        <f t="shared" si="269"/>
        <v>0</v>
      </c>
      <c r="AH840" s="532">
        <f t="shared" si="269"/>
        <v>0</v>
      </c>
      <c r="AI840" s="532">
        <f t="shared" si="269"/>
        <v>0</v>
      </c>
      <c r="AJ840" s="532">
        <f t="shared" si="269"/>
        <v>0</v>
      </c>
      <c r="AK840" s="532">
        <f t="shared" si="269"/>
        <v>0</v>
      </c>
      <c r="AL840" s="532">
        <f t="shared" si="269"/>
        <v>0</v>
      </c>
      <c r="AM840" s="532">
        <f t="shared" si="269"/>
        <v>0</v>
      </c>
      <c r="AN840" s="532">
        <f t="shared" si="269"/>
        <v>0</v>
      </c>
      <c r="AO840" s="532">
        <f t="shared" si="269"/>
        <v>0</v>
      </c>
      <c r="AP840" s="532">
        <f t="shared" si="269"/>
        <v>0</v>
      </c>
      <c r="AQ840" s="532">
        <f t="shared" si="269"/>
        <v>0</v>
      </c>
      <c r="AR840" s="532">
        <f t="shared" si="269"/>
        <v>0</v>
      </c>
      <c r="AS840" s="532">
        <f t="shared" si="269"/>
        <v>0</v>
      </c>
      <c r="AT840" s="532">
        <f t="shared" si="269"/>
        <v>0</v>
      </c>
      <c r="AU840" s="532">
        <f t="shared" si="269"/>
        <v>0</v>
      </c>
      <c r="AV840" s="532">
        <f t="shared" si="269"/>
        <v>0</v>
      </c>
      <c r="AW840" s="532">
        <f t="shared" si="269"/>
        <v>0</v>
      </c>
      <c r="AX840" s="532">
        <f t="shared" si="269"/>
        <v>0</v>
      </c>
      <c r="AY840" s="532">
        <f t="shared" si="269"/>
        <v>0</v>
      </c>
      <c r="AZ840" s="532">
        <f t="shared" si="269"/>
        <v>0</v>
      </c>
      <c r="BA840" s="532">
        <f t="shared" si="269"/>
        <v>0</v>
      </c>
      <c r="BB840" s="532">
        <f t="shared" si="269"/>
        <v>0</v>
      </c>
      <c r="BC840" s="532">
        <f t="shared" si="269"/>
        <v>0</v>
      </c>
      <c r="BD840" s="532">
        <f t="shared" si="269"/>
        <v>0</v>
      </c>
      <c r="BE840" s="533">
        <f t="shared" si="269"/>
        <v>0</v>
      </c>
    </row>
    <row r="841" spans="2:57" x14ac:dyDescent="0.25">
      <c r="B841" s="526"/>
      <c r="C841" s="360" t="s">
        <v>60</v>
      </c>
      <c r="D841" s="360"/>
      <c r="E841" s="360"/>
      <c r="F841" s="360"/>
      <c r="G841" s="419"/>
      <c r="H841" s="532">
        <v>0</v>
      </c>
      <c r="I841" s="532">
        <v>0</v>
      </c>
      <c r="J841" s="532">
        <v>0</v>
      </c>
      <c r="K841" s="532">
        <v>0</v>
      </c>
      <c r="L841" s="532">
        <v>0</v>
      </c>
      <c r="M841" s="532">
        <v>0</v>
      </c>
      <c r="N841" s="532">
        <v>0</v>
      </c>
      <c r="O841" s="532">
        <v>0</v>
      </c>
      <c r="P841" s="532">
        <v>0</v>
      </c>
      <c r="Q841" s="532">
        <v>0</v>
      </c>
      <c r="R841" s="532">
        <v>0</v>
      </c>
      <c r="S841" s="532">
        <v>0</v>
      </c>
      <c r="T841" s="532">
        <v>0</v>
      </c>
      <c r="U841" s="532">
        <v>0</v>
      </c>
      <c r="V841" s="532">
        <v>0</v>
      </c>
      <c r="W841" s="532">
        <v>0</v>
      </c>
      <c r="X841" s="532">
        <v>0</v>
      </c>
      <c r="Y841" s="532">
        <v>0</v>
      </c>
      <c r="Z841" s="532">
        <v>0</v>
      </c>
      <c r="AA841" s="532">
        <v>0</v>
      </c>
      <c r="AB841" s="532">
        <v>0</v>
      </c>
      <c r="AC841" s="532">
        <v>0</v>
      </c>
      <c r="AD841" s="532">
        <v>0</v>
      </c>
      <c r="AE841" s="532">
        <v>0</v>
      </c>
      <c r="AF841" s="532">
        <v>0</v>
      </c>
      <c r="AG841" s="532">
        <v>0</v>
      </c>
      <c r="AH841" s="532">
        <v>0</v>
      </c>
      <c r="AI841" s="532">
        <v>0</v>
      </c>
      <c r="AJ841" s="532">
        <v>0</v>
      </c>
      <c r="AK841" s="532">
        <v>0</v>
      </c>
      <c r="AL841" s="532">
        <v>0</v>
      </c>
      <c r="AM841" s="532">
        <v>0</v>
      </c>
      <c r="AN841" s="532">
        <v>0</v>
      </c>
      <c r="AO841" s="532">
        <v>0</v>
      </c>
      <c r="AP841" s="532">
        <v>0</v>
      </c>
      <c r="AQ841" s="532">
        <v>0</v>
      </c>
      <c r="AR841" s="532">
        <v>0</v>
      </c>
      <c r="AS841" s="532">
        <v>0</v>
      </c>
      <c r="AT841" s="532">
        <v>0</v>
      </c>
      <c r="AU841" s="532">
        <v>0</v>
      </c>
      <c r="AV841" s="532">
        <v>0</v>
      </c>
      <c r="AW841" s="532">
        <v>0</v>
      </c>
      <c r="AX841" s="532">
        <v>0</v>
      </c>
      <c r="AY841" s="532">
        <v>0</v>
      </c>
      <c r="AZ841" s="532">
        <v>0</v>
      </c>
      <c r="BA841" s="532">
        <v>0</v>
      </c>
      <c r="BB841" s="532">
        <v>0</v>
      </c>
      <c r="BC841" s="532">
        <v>0</v>
      </c>
      <c r="BD841" s="532">
        <v>0</v>
      </c>
      <c r="BE841" s="533">
        <v>0</v>
      </c>
    </row>
    <row r="842" spans="2:57" x14ac:dyDescent="0.25">
      <c r="B842" s="526"/>
      <c r="C842" s="360"/>
      <c r="D842" s="360"/>
      <c r="E842" s="360"/>
      <c r="F842" s="360"/>
      <c r="G842" s="360"/>
      <c r="H842" s="360"/>
      <c r="I842" s="360"/>
      <c r="J842" s="360"/>
      <c r="K842" s="360"/>
      <c r="L842" s="360"/>
      <c r="M842" s="360"/>
      <c r="N842" s="360"/>
      <c r="O842" s="360"/>
      <c r="P842" s="360"/>
      <c r="Q842" s="360"/>
      <c r="R842" s="360"/>
      <c r="S842" s="360"/>
      <c r="T842" s="360"/>
      <c r="U842" s="360"/>
      <c r="V842" s="360"/>
      <c r="W842" s="360"/>
      <c r="X842" s="360"/>
      <c r="Y842" s="360"/>
      <c r="Z842" s="360"/>
      <c r="AA842" s="360"/>
      <c r="AB842" s="360"/>
      <c r="AC842" s="360"/>
      <c r="AD842" s="360"/>
      <c r="AE842" s="360"/>
      <c r="AF842" s="360"/>
      <c r="AG842" s="360"/>
      <c r="AH842" s="360"/>
      <c r="AI842" s="360"/>
      <c r="AJ842" s="360"/>
      <c r="AK842" s="360"/>
      <c r="AL842" s="360"/>
      <c r="AM842" s="360"/>
      <c r="AN842" s="360"/>
      <c r="AO842" s="360"/>
      <c r="AP842" s="360"/>
      <c r="AQ842" s="360"/>
      <c r="AR842" s="360"/>
      <c r="AS842" s="360"/>
      <c r="AT842" s="360"/>
      <c r="AU842" s="360"/>
      <c r="AV842" s="360"/>
      <c r="AW842" s="360"/>
      <c r="AX842" s="360"/>
      <c r="AY842" s="360"/>
      <c r="AZ842" s="360"/>
      <c r="BA842" s="360"/>
      <c r="BB842" s="360"/>
      <c r="BC842" s="360"/>
      <c r="BD842" s="360"/>
      <c r="BE842" s="527"/>
    </row>
    <row r="843" spans="2:57" x14ac:dyDescent="0.25">
      <c r="B843" s="526"/>
      <c r="C843" s="360"/>
      <c r="D843" s="360"/>
      <c r="E843" s="360"/>
      <c r="F843" s="534" t="s">
        <v>61</v>
      </c>
      <c r="G843" s="534" t="s">
        <v>62</v>
      </c>
      <c r="H843" s="360"/>
      <c r="I843" s="360"/>
      <c r="J843" s="360"/>
      <c r="K843" s="360"/>
      <c r="L843" s="360"/>
      <c r="M843" s="360"/>
      <c r="N843" s="360"/>
      <c r="O843" s="360"/>
      <c r="P843" s="360"/>
      <c r="Q843" s="360"/>
      <c r="R843" s="360"/>
      <c r="S843" s="360"/>
      <c r="T843" s="360"/>
      <c r="U843" s="360"/>
      <c r="V843" s="360"/>
      <c r="W843" s="360"/>
      <c r="X843" s="360"/>
      <c r="Y843" s="360"/>
      <c r="Z843" s="360"/>
      <c r="AA843" s="360"/>
      <c r="AB843" s="360"/>
      <c r="AC843" s="360"/>
      <c r="AD843" s="360"/>
      <c r="AE843" s="360"/>
      <c r="AF843" s="360"/>
      <c r="AG843" s="360"/>
      <c r="AH843" s="360"/>
      <c r="AI843" s="360"/>
      <c r="AJ843" s="360"/>
      <c r="AK843" s="360"/>
      <c r="AL843" s="360"/>
      <c r="AM843" s="360"/>
      <c r="AN843" s="360"/>
      <c r="AO843" s="360"/>
      <c r="AP843" s="360"/>
      <c r="AQ843" s="360"/>
      <c r="AR843" s="360"/>
      <c r="AS843" s="360"/>
      <c r="AT843" s="360"/>
      <c r="AU843" s="360"/>
      <c r="AV843" s="360"/>
      <c r="AW843" s="360"/>
      <c r="AX843" s="360"/>
      <c r="AY843" s="360"/>
      <c r="AZ843" s="360"/>
      <c r="BA843" s="360"/>
      <c r="BB843" s="360"/>
      <c r="BC843" s="360"/>
      <c r="BD843" s="360"/>
      <c r="BE843" s="527"/>
    </row>
    <row r="844" spans="2:57" x14ac:dyDescent="0.25">
      <c r="B844" s="526"/>
      <c r="C844" s="360" t="s">
        <v>57</v>
      </c>
      <c r="D844" s="360"/>
      <c r="E844" s="360"/>
      <c r="F844" s="532">
        <f>'II. Inputs, Baseline Energy Mix'!$S$109</f>
        <v>1</v>
      </c>
      <c r="G844" s="1288">
        <f>IF('II. Inputs, Baseline Energy Mix'!$S$15&gt;0, F844*'II. Inputs, Baseline Energy Mix'!$S$16*'II. Inputs, Baseline Energy Mix'!$S$17,0)</f>
        <v>0</v>
      </c>
      <c r="H844" s="1288">
        <f>$G$844*H840</f>
        <v>0</v>
      </c>
      <c r="I844" s="1288">
        <f t="shared" ref="I844:BE844" si="270">$G$844*I840</f>
        <v>0</v>
      </c>
      <c r="J844" s="1288">
        <f t="shared" si="270"/>
        <v>0</v>
      </c>
      <c r="K844" s="1288">
        <f t="shared" si="270"/>
        <v>0</v>
      </c>
      <c r="L844" s="1288">
        <f t="shared" si="270"/>
        <v>0</v>
      </c>
      <c r="M844" s="1288">
        <f t="shared" si="270"/>
        <v>0</v>
      </c>
      <c r="N844" s="1288">
        <f t="shared" si="270"/>
        <v>0</v>
      </c>
      <c r="O844" s="1288">
        <f t="shared" si="270"/>
        <v>0</v>
      </c>
      <c r="P844" s="1288">
        <f t="shared" si="270"/>
        <v>0</v>
      </c>
      <c r="Q844" s="1288">
        <f t="shared" si="270"/>
        <v>0</v>
      </c>
      <c r="R844" s="1288">
        <f t="shared" si="270"/>
        <v>0</v>
      </c>
      <c r="S844" s="1288">
        <f t="shared" si="270"/>
        <v>0</v>
      </c>
      <c r="T844" s="1288">
        <f t="shared" si="270"/>
        <v>0</v>
      </c>
      <c r="U844" s="1288">
        <f t="shared" si="270"/>
        <v>0</v>
      </c>
      <c r="V844" s="1288">
        <f t="shared" si="270"/>
        <v>0</v>
      </c>
      <c r="W844" s="1288">
        <f t="shared" si="270"/>
        <v>0</v>
      </c>
      <c r="X844" s="1288">
        <f t="shared" si="270"/>
        <v>0</v>
      </c>
      <c r="Y844" s="1288">
        <f t="shared" si="270"/>
        <v>0</v>
      </c>
      <c r="Z844" s="1288">
        <f t="shared" si="270"/>
        <v>0</v>
      </c>
      <c r="AA844" s="1288">
        <f t="shared" si="270"/>
        <v>0</v>
      </c>
      <c r="AB844" s="1288">
        <f t="shared" si="270"/>
        <v>0</v>
      </c>
      <c r="AC844" s="1288">
        <f t="shared" si="270"/>
        <v>0</v>
      </c>
      <c r="AD844" s="1288">
        <f t="shared" si="270"/>
        <v>0</v>
      </c>
      <c r="AE844" s="1288">
        <f t="shared" si="270"/>
        <v>0</v>
      </c>
      <c r="AF844" s="1288">
        <f t="shared" si="270"/>
        <v>0</v>
      </c>
      <c r="AG844" s="1288">
        <f t="shared" si="270"/>
        <v>0</v>
      </c>
      <c r="AH844" s="1288">
        <f t="shared" si="270"/>
        <v>0</v>
      </c>
      <c r="AI844" s="1288">
        <f t="shared" si="270"/>
        <v>0</v>
      </c>
      <c r="AJ844" s="1288">
        <f t="shared" si="270"/>
        <v>0</v>
      </c>
      <c r="AK844" s="1288">
        <f t="shared" si="270"/>
        <v>0</v>
      </c>
      <c r="AL844" s="1288">
        <f t="shared" si="270"/>
        <v>0</v>
      </c>
      <c r="AM844" s="1288">
        <f t="shared" si="270"/>
        <v>0</v>
      </c>
      <c r="AN844" s="1288">
        <f t="shared" si="270"/>
        <v>0</v>
      </c>
      <c r="AO844" s="1288">
        <f t="shared" si="270"/>
        <v>0</v>
      </c>
      <c r="AP844" s="1288">
        <f t="shared" si="270"/>
        <v>0</v>
      </c>
      <c r="AQ844" s="1288">
        <f t="shared" si="270"/>
        <v>0</v>
      </c>
      <c r="AR844" s="1288">
        <f t="shared" si="270"/>
        <v>0</v>
      </c>
      <c r="AS844" s="1288">
        <f t="shared" si="270"/>
        <v>0</v>
      </c>
      <c r="AT844" s="1288">
        <f t="shared" si="270"/>
        <v>0</v>
      </c>
      <c r="AU844" s="1288">
        <f t="shared" si="270"/>
        <v>0</v>
      </c>
      <c r="AV844" s="1288">
        <f t="shared" si="270"/>
        <v>0</v>
      </c>
      <c r="AW844" s="1288">
        <f t="shared" si="270"/>
        <v>0</v>
      </c>
      <c r="AX844" s="1288">
        <f t="shared" si="270"/>
        <v>0</v>
      </c>
      <c r="AY844" s="1288">
        <f t="shared" si="270"/>
        <v>0</v>
      </c>
      <c r="AZ844" s="1288">
        <f t="shared" si="270"/>
        <v>0</v>
      </c>
      <c r="BA844" s="1288">
        <f t="shared" si="270"/>
        <v>0</v>
      </c>
      <c r="BB844" s="1288">
        <f t="shared" si="270"/>
        <v>0</v>
      </c>
      <c r="BC844" s="1288">
        <f t="shared" si="270"/>
        <v>0</v>
      </c>
      <c r="BD844" s="1288">
        <f t="shared" si="270"/>
        <v>0</v>
      </c>
      <c r="BE844" s="1318">
        <f t="shared" si="270"/>
        <v>0</v>
      </c>
    </row>
    <row r="845" spans="2:57" x14ac:dyDescent="0.25">
      <c r="B845" s="526"/>
      <c r="C845" s="367" t="s">
        <v>18</v>
      </c>
      <c r="D845" s="367"/>
      <c r="E845" s="367"/>
      <c r="F845" s="535">
        <f>'II. Inputs, Baseline Energy Mix'!$S$110</f>
        <v>0</v>
      </c>
      <c r="G845" s="1292">
        <f>IF('II. Inputs, Baseline Energy Mix'!$S$15&gt;0, F845*'II. Inputs, Baseline Energy Mix'!$S$16*'II. Inputs, Baseline Energy Mix'!$S$17,0)</f>
        <v>0</v>
      </c>
      <c r="H845" s="1292">
        <f>$G$845*H841</f>
        <v>0</v>
      </c>
      <c r="I845" s="1292">
        <f t="shared" ref="I845:BE845" si="271">$G$845*I841</f>
        <v>0</v>
      </c>
      <c r="J845" s="1292">
        <f t="shared" si="271"/>
        <v>0</v>
      </c>
      <c r="K845" s="1292">
        <f t="shared" si="271"/>
        <v>0</v>
      </c>
      <c r="L845" s="1292">
        <f t="shared" si="271"/>
        <v>0</v>
      </c>
      <c r="M845" s="1292">
        <f t="shared" si="271"/>
        <v>0</v>
      </c>
      <c r="N845" s="1292">
        <f t="shared" si="271"/>
        <v>0</v>
      </c>
      <c r="O845" s="1292">
        <f t="shared" si="271"/>
        <v>0</v>
      </c>
      <c r="P845" s="1292">
        <f t="shared" si="271"/>
        <v>0</v>
      </c>
      <c r="Q845" s="1292">
        <f t="shared" si="271"/>
        <v>0</v>
      </c>
      <c r="R845" s="1292">
        <f t="shared" si="271"/>
        <v>0</v>
      </c>
      <c r="S845" s="1292">
        <f t="shared" si="271"/>
        <v>0</v>
      </c>
      <c r="T845" s="1292">
        <f t="shared" si="271"/>
        <v>0</v>
      </c>
      <c r="U845" s="1292">
        <f t="shared" si="271"/>
        <v>0</v>
      </c>
      <c r="V845" s="1292">
        <f t="shared" si="271"/>
        <v>0</v>
      </c>
      <c r="W845" s="1292">
        <f t="shared" si="271"/>
        <v>0</v>
      </c>
      <c r="X845" s="1292">
        <f t="shared" si="271"/>
        <v>0</v>
      </c>
      <c r="Y845" s="1292">
        <f t="shared" si="271"/>
        <v>0</v>
      </c>
      <c r="Z845" s="1292">
        <f t="shared" si="271"/>
        <v>0</v>
      </c>
      <c r="AA845" s="1292">
        <f t="shared" si="271"/>
        <v>0</v>
      </c>
      <c r="AB845" s="1292">
        <f t="shared" si="271"/>
        <v>0</v>
      </c>
      <c r="AC845" s="1292">
        <f t="shared" si="271"/>
        <v>0</v>
      </c>
      <c r="AD845" s="1292">
        <f t="shared" si="271"/>
        <v>0</v>
      </c>
      <c r="AE845" s="1292">
        <f t="shared" si="271"/>
        <v>0</v>
      </c>
      <c r="AF845" s="1292">
        <f t="shared" si="271"/>
        <v>0</v>
      </c>
      <c r="AG845" s="1292">
        <f t="shared" si="271"/>
        <v>0</v>
      </c>
      <c r="AH845" s="1292">
        <f t="shared" si="271"/>
        <v>0</v>
      </c>
      <c r="AI845" s="1292">
        <f t="shared" si="271"/>
        <v>0</v>
      </c>
      <c r="AJ845" s="1292">
        <f t="shared" si="271"/>
        <v>0</v>
      </c>
      <c r="AK845" s="1292">
        <f t="shared" si="271"/>
        <v>0</v>
      </c>
      <c r="AL845" s="1292">
        <f t="shared" si="271"/>
        <v>0</v>
      </c>
      <c r="AM845" s="1292">
        <f t="shared" si="271"/>
        <v>0</v>
      </c>
      <c r="AN845" s="1292">
        <f t="shared" si="271"/>
        <v>0</v>
      </c>
      <c r="AO845" s="1292">
        <f t="shared" si="271"/>
        <v>0</v>
      </c>
      <c r="AP845" s="1292">
        <f t="shared" si="271"/>
        <v>0</v>
      </c>
      <c r="AQ845" s="1292">
        <f t="shared" si="271"/>
        <v>0</v>
      </c>
      <c r="AR845" s="1292">
        <f t="shared" si="271"/>
        <v>0</v>
      </c>
      <c r="AS845" s="1292">
        <f t="shared" si="271"/>
        <v>0</v>
      </c>
      <c r="AT845" s="1292">
        <f t="shared" si="271"/>
        <v>0</v>
      </c>
      <c r="AU845" s="1292">
        <f t="shared" si="271"/>
        <v>0</v>
      </c>
      <c r="AV845" s="1292">
        <f t="shared" si="271"/>
        <v>0</v>
      </c>
      <c r="AW845" s="1292">
        <f t="shared" si="271"/>
        <v>0</v>
      </c>
      <c r="AX845" s="1292">
        <f t="shared" si="271"/>
        <v>0</v>
      </c>
      <c r="AY845" s="1292">
        <f t="shared" si="271"/>
        <v>0</v>
      </c>
      <c r="AZ845" s="1292">
        <f t="shared" si="271"/>
        <v>0</v>
      </c>
      <c r="BA845" s="1292">
        <f t="shared" si="271"/>
        <v>0</v>
      </c>
      <c r="BB845" s="1292">
        <f t="shared" si="271"/>
        <v>0</v>
      </c>
      <c r="BC845" s="1292">
        <f t="shared" si="271"/>
        <v>0</v>
      </c>
      <c r="BD845" s="1292">
        <f t="shared" si="271"/>
        <v>0</v>
      </c>
      <c r="BE845" s="1319">
        <f t="shared" si="271"/>
        <v>0</v>
      </c>
    </row>
    <row r="846" spans="2:57" x14ac:dyDescent="0.25">
      <c r="B846" s="526"/>
      <c r="C846" s="360" t="s">
        <v>63</v>
      </c>
      <c r="D846" s="360"/>
      <c r="E846" s="360"/>
      <c r="F846" s="360"/>
      <c r="G846" s="1288">
        <f>G844+G845</f>
        <v>0</v>
      </c>
      <c r="H846" s="1288">
        <f>H844+H845</f>
        <v>0</v>
      </c>
      <c r="I846" s="1288">
        <f t="shared" ref="I846:BE846" si="272">I844+I845</f>
        <v>0</v>
      </c>
      <c r="J846" s="1288">
        <f t="shared" si="272"/>
        <v>0</v>
      </c>
      <c r="K846" s="1288">
        <f t="shared" si="272"/>
        <v>0</v>
      </c>
      <c r="L846" s="1288">
        <f t="shared" si="272"/>
        <v>0</v>
      </c>
      <c r="M846" s="1288">
        <f t="shared" si="272"/>
        <v>0</v>
      </c>
      <c r="N846" s="1288">
        <f t="shared" si="272"/>
        <v>0</v>
      </c>
      <c r="O846" s="1288">
        <f t="shared" si="272"/>
        <v>0</v>
      </c>
      <c r="P846" s="1288">
        <f t="shared" si="272"/>
        <v>0</v>
      </c>
      <c r="Q846" s="1288">
        <f t="shared" si="272"/>
        <v>0</v>
      </c>
      <c r="R846" s="1288">
        <f t="shared" si="272"/>
        <v>0</v>
      </c>
      <c r="S846" s="1288">
        <f t="shared" si="272"/>
        <v>0</v>
      </c>
      <c r="T846" s="1288">
        <f t="shared" si="272"/>
        <v>0</v>
      </c>
      <c r="U846" s="1288">
        <f t="shared" si="272"/>
        <v>0</v>
      </c>
      <c r="V846" s="1288">
        <f t="shared" si="272"/>
        <v>0</v>
      </c>
      <c r="W846" s="1288">
        <f t="shared" si="272"/>
        <v>0</v>
      </c>
      <c r="X846" s="1288">
        <f t="shared" si="272"/>
        <v>0</v>
      </c>
      <c r="Y846" s="1288">
        <f t="shared" si="272"/>
        <v>0</v>
      </c>
      <c r="Z846" s="1288">
        <f t="shared" si="272"/>
        <v>0</v>
      </c>
      <c r="AA846" s="1288">
        <f t="shared" si="272"/>
        <v>0</v>
      </c>
      <c r="AB846" s="1288">
        <f t="shared" si="272"/>
        <v>0</v>
      </c>
      <c r="AC846" s="1288">
        <f t="shared" si="272"/>
        <v>0</v>
      </c>
      <c r="AD846" s="1288">
        <f t="shared" si="272"/>
        <v>0</v>
      </c>
      <c r="AE846" s="1288">
        <f t="shared" si="272"/>
        <v>0</v>
      </c>
      <c r="AF846" s="1288">
        <f t="shared" si="272"/>
        <v>0</v>
      </c>
      <c r="AG846" s="1288">
        <f t="shared" si="272"/>
        <v>0</v>
      </c>
      <c r="AH846" s="1288">
        <f t="shared" si="272"/>
        <v>0</v>
      </c>
      <c r="AI846" s="1288">
        <f t="shared" si="272"/>
        <v>0</v>
      </c>
      <c r="AJ846" s="1288">
        <f t="shared" si="272"/>
        <v>0</v>
      </c>
      <c r="AK846" s="1288">
        <f t="shared" si="272"/>
        <v>0</v>
      </c>
      <c r="AL846" s="1288">
        <f t="shared" si="272"/>
        <v>0</v>
      </c>
      <c r="AM846" s="1288">
        <f t="shared" si="272"/>
        <v>0</v>
      </c>
      <c r="AN846" s="1288">
        <f t="shared" si="272"/>
        <v>0</v>
      </c>
      <c r="AO846" s="1288">
        <f t="shared" si="272"/>
        <v>0</v>
      </c>
      <c r="AP846" s="1288">
        <f t="shared" si="272"/>
        <v>0</v>
      </c>
      <c r="AQ846" s="1288">
        <f t="shared" si="272"/>
        <v>0</v>
      </c>
      <c r="AR846" s="1288">
        <f t="shared" si="272"/>
        <v>0</v>
      </c>
      <c r="AS846" s="1288">
        <f t="shared" si="272"/>
        <v>0</v>
      </c>
      <c r="AT846" s="1288">
        <f t="shared" si="272"/>
        <v>0</v>
      </c>
      <c r="AU846" s="1288">
        <f t="shared" si="272"/>
        <v>0</v>
      </c>
      <c r="AV846" s="1288">
        <f t="shared" si="272"/>
        <v>0</v>
      </c>
      <c r="AW846" s="1288">
        <f t="shared" si="272"/>
        <v>0</v>
      </c>
      <c r="AX846" s="1288">
        <f t="shared" si="272"/>
        <v>0</v>
      </c>
      <c r="AY846" s="1288">
        <f t="shared" si="272"/>
        <v>0</v>
      </c>
      <c r="AZ846" s="1288">
        <f t="shared" si="272"/>
        <v>0</v>
      </c>
      <c r="BA846" s="1288">
        <f t="shared" si="272"/>
        <v>0</v>
      </c>
      <c r="BB846" s="1288">
        <f t="shared" si="272"/>
        <v>0</v>
      </c>
      <c r="BC846" s="1288">
        <f t="shared" si="272"/>
        <v>0</v>
      </c>
      <c r="BD846" s="1288">
        <f t="shared" si="272"/>
        <v>0</v>
      </c>
      <c r="BE846" s="1318">
        <f t="shared" si="272"/>
        <v>0</v>
      </c>
    </row>
    <row r="847" spans="2:57" x14ac:dyDescent="0.25">
      <c r="B847" s="526"/>
      <c r="C847" s="360"/>
      <c r="D847" s="360"/>
      <c r="E847" s="360"/>
      <c r="F847" s="360"/>
      <c r="G847" s="360"/>
      <c r="H847" s="360"/>
      <c r="I847" s="360"/>
      <c r="J847" s="360"/>
      <c r="K847" s="360"/>
      <c r="L847" s="360"/>
      <c r="M847" s="360"/>
      <c r="N847" s="360"/>
      <c r="O847" s="360"/>
      <c r="P847" s="360"/>
      <c r="Q847" s="360"/>
      <c r="R847" s="360"/>
      <c r="S847" s="360"/>
      <c r="T847" s="360"/>
      <c r="U847" s="360"/>
      <c r="V847" s="360"/>
      <c r="W847" s="360"/>
      <c r="X847" s="360"/>
      <c r="Y847" s="360"/>
      <c r="Z847" s="360"/>
      <c r="AA847" s="360"/>
      <c r="AB847" s="360"/>
      <c r="AC847" s="360"/>
      <c r="AD847" s="360"/>
      <c r="AE847" s="360"/>
      <c r="AF847" s="360"/>
      <c r="AG847" s="360"/>
      <c r="AH847" s="360"/>
      <c r="AI847" s="360"/>
      <c r="AJ847" s="360"/>
      <c r="AK847" s="360"/>
      <c r="AL847" s="360"/>
      <c r="AM847" s="360"/>
      <c r="AN847" s="360"/>
      <c r="AO847" s="360"/>
      <c r="AP847" s="360"/>
      <c r="AQ847" s="360"/>
      <c r="AR847" s="360"/>
      <c r="AS847" s="360"/>
      <c r="AT847" s="360"/>
      <c r="AU847" s="360"/>
      <c r="AV847" s="360"/>
      <c r="AW847" s="360"/>
      <c r="AX847" s="360"/>
      <c r="AY847" s="360"/>
      <c r="AZ847" s="360"/>
      <c r="BA847" s="360"/>
      <c r="BB847" s="360"/>
      <c r="BC847" s="360"/>
      <c r="BD847" s="360"/>
      <c r="BE847" s="527"/>
    </row>
    <row r="848" spans="2:57" x14ac:dyDescent="0.25">
      <c r="B848" s="536"/>
      <c r="C848" s="367"/>
      <c r="D848" s="367"/>
      <c r="E848" s="367"/>
      <c r="F848" s="367"/>
      <c r="G848" s="367"/>
      <c r="H848" s="367"/>
      <c r="I848" s="367"/>
      <c r="J848" s="367"/>
      <c r="K848" s="367"/>
      <c r="L848" s="367"/>
      <c r="M848" s="367"/>
      <c r="N848" s="367"/>
      <c r="O848" s="367"/>
      <c r="P848" s="367"/>
      <c r="Q848" s="367"/>
      <c r="R848" s="367"/>
      <c r="S848" s="367"/>
      <c r="T848" s="367"/>
      <c r="U848" s="367"/>
      <c r="V848" s="367"/>
      <c r="W848" s="367"/>
      <c r="X848" s="367"/>
      <c r="Y848" s="367"/>
      <c r="Z848" s="367"/>
      <c r="AA848" s="367"/>
      <c r="AB848" s="367"/>
      <c r="AC848" s="367"/>
      <c r="AD848" s="367"/>
      <c r="AE848" s="367"/>
      <c r="AF848" s="367"/>
      <c r="AG848" s="367"/>
      <c r="AH848" s="367"/>
      <c r="AI848" s="367"/>
      <c r="AJ848" s="367"/>
      <c r="AK848" s="367"/>
      <c r="AL848" s="367"/>
      <c r="AM848" s="367"/>
      <c r="AN848" s="367"/>
      <c r="AO848" s="367"/>
      <c r="AP848" s="367"/>
      <c r="AQ848" s="367"/>
      <c r="AR848" s="367"/>
      <c r="AS848" s="367"/>
      <c r="AT848" s="367"/>
      <c r="AU848" s="367"/>
      <c r="AV848" s="367"/>
      <c r="AW848" s="367"/>
      <c r="AX848" s="367"/>
      <c r="AY848" s="367"/>
      <c r="AZ848" s="367"/>
      <c r="BA848" s="367"/>
      <c r="BB848" s="367"/>
      <c r="BC848" s="367"/>
      <c r="BD848" s="367"/>
      <c r="BE848" s="537"/>
    </row>
    <row r="849" x14ac:dyDescent="0.25"/>
    <row r="850" x14ac:dyDescent="0.25"/>
    <row r="851" x14ac:dyDescent="0.25"/>
    <row r="852" x14ac:dyDescent="0.25"/>
    <row r="853" x14ac:dyDescent="0.25"/>
    <row r="854" x14ac:dyDescent="0.25"/>
    <row r="855" x14ac:dyDescent="0.25"/>
  </sheetData>
  <sheetProtection formatCells="0" formatColumns="0" formatRows="0" insertColumns="0" insertRows="0"/>
  <pageMargins left="0.7" right="0.7" top="0.75" bottom="0.75" header="0.3" footer="0.3"/>
  <pageSetup scale="25" fitToHeight="0" orientation="landscape" horizontalDpi="4294967293" verticalDpi="0"/>
  <headerFooter>
    <oddFooter>&amp;L&amp;A&amp;R&amp;P of &amp;N</oddFooter>
  </headerFooter>
  <rowBreaks count="6" manualBreakCount="6">
    <brk id="107" max="26" man="1"/>
    <brk id="200" max="16383" man="1"/>
    <brk id="295" max="26" man="1"/>
    <brk id="451" max="26" man="1"/>
    <brk id="605" max="26" man="1"/>
    <brk id="761" max="16383" man="1"/>
  </rowBreaks>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B390"/>
  <sheetViews>
    <sheetView showGridLines="0" zoomScale="85" zoomScaleNormal="85" zoomScalePageLayoutView="85" workbookViewId="0">
      <pane xSplit="8" ySplit="23" topLeftCell="I24" activePane="bottomRight" state="frozen"/>
      <selection pane="topRight" activeCell="I1" sqref="I1"/>
      <selection pane="bottomLeft" activeCell="A24" sqref="A24"/>
      <selection pane="bottomRight" activeCell="I24" sqref="I24"/>
    </sheetView>
  </sheetViews>
  <sheetFormatPr defaultColWidth="0" defaultRowHeight="13.2" zeroHeight="1" outlineLevelRow="1" x14ac:dyDescent="0.25"/>
  <cols>
    <col min="1" max="2" width="1.6640625" style="12" customWidth="1"/>
    <col min="3" max="3" width="41.6640625" style="12" bestFit="1" customWidth="1"/>
    <col min="4" max="4" width="9.109375" style="12" customWidth="1"/>
    <col min="5" max="5" width="16.44140625" style="12" customWidth="1"/>
    <col min="6" max="6" width="16" style="12" bestFit="1" customWidth="1"/>
    <col min="7" max="27" width="15.109375" style="12" customWidth="1"/>
    <col min="28" max="28" width="1" style="12" customWidth="1"/>
    <col min="29" max="16384" width="0" style="12" hidden="1"/>
  </cols>
  <sheetData>
    <row r="1" spans="1:27" x14ac:dyDescent="0.25">
      <c r="A1" s="707" t="s">
        <v>630</v>
      </c>
    </row>
    <row r="2" spans="1:27" x14ac:dyDescent="0.25"/>
    <row r="3" spans="1:27" s="58" customFormat="1" x14ac:dyDescent="0.25">
      <c r="A3" s="5" t="s">
        <v>497</v>
      </c>
      <c r="B3" s="5"/>
      <c r="C3" s="5"/>
      <c r="D3" s="5"/>
      <c r="E3" s="5"/>
      <c r="F3" s="5"/>
      <c r="G3" s="5"/>
      <c r="H3" s="5"/>
      <c r="I3" s="5"/>
      <c r="J3" s="5"/>
      <c r="K3" s="6"/>
      <c r="L3" s="6"/>
      <c r="M3" s="7"/>
      <c r="N3" s="7"/>
      <c r="O3" s="6"/>
      <c r="P3" s="6"/>
      <c r="Q3" s="6"/>
      <c r="R3" s="6"/>
      <c r="S3" s="6"/>
      <c r="T3" s="6"/>
      <c r="U3" s="6"/>
      <c r="V3" s="6"/>
      <c r="W3" s="6"/>
      <c r="X3" s="6"/>
      <c r="Y3" s="6"/>
      <c r="Z3" s="6"/>
      <c r="AA3" s="6"/>
    </row>
    <row r="4" spans="1:27" s="8" customFormat="1" ht="12.75" customHeight="1" x14ac:dyDescent="0.25">
      <c r="Q4" s="185"/>
      <c r="R4" s="185"/>
      <c r="S4" s="185"/>
      <c r="V4" s="183"/>
      <c r="W4" s="183"/>
      <c r="X4" s="183"/>
      <c r="Y4" s="183"/>
      <c r="Z4" s="183"/>
      <c r="AA4" s="183"/>
    </row>
    <row r="5" spans="1:27" s="8" customFormat="1" ht="12.75" customHeight="1" x14ac:dyDescent="0.25">
      <c r="B5" s="8" t="s">
        <v>214</v>
      </c>
      <c r="T5" s="50"/>
      <c r="W5" s="50"/>
      <c r="X5" s="50"/>
      <c r="Y5" s="50"/>
      <c r="Z5" s="50"/>
      <c r="AA5" s="50"/>
    </row>
    <row r="6" spans="1:27" s="8" customFormat="1" ht="12.75" customHeight="1" x14ac:dyDescent="0.25">
      <c r="C6" s="8" t="s">
        <v>498</v>
      </c>
      <c r="T6" s="51"/>
      <c r="W6" s="51"/>
      <c r="X6" s="51"/>
      <c r="Y6" s="51"/>
      <c r="Z6" s="51"/>
      <c r="AA6" s="51"/>
    </row>
    <row r="7" spans="1:27" s="8" customFormat="1" ht="12.75" customHeight="1" x14ac:dyDescent="0.25">
      <c r="C7" s="8" t="s">
        <v>499</v>
      </c>
      <c r="T7" s="51"/>
      <c r="W7" s="51"/>
      <c r="X7" s="51"/>
      <c r="Y7" s="51"/>
      <c r="Z7" s="51"/>
      <c r="AA7" s="51"/>
    </row>
    <row r="8" spans="1:27" s="8" customFormat="1" ht="12.75" customHeight="1" x14ac:dyDescent="0.25">
      <c r="C8" s="8" t="s">
        <v>333</v>
      </c>
      <c r="T8" s="50"/>
      <c r="W8" s="50"/>
      <c r="X8" s="50"/>
      <c r="Y8" s="50"/>
      <c r="Z8" s="50"/>
      <c r="AA8" s="50"/>
    </row>
    <row r="9" spans="1:27" s="8" customFormat="1" x14ac:dyDescent="0.25">
      <c r="C9" s="8" t="s">
        <v>265</v>
      </c>
      <c r="Q9" s="185"/>
      <c r="R9" s="185"/>
      <c r="S9" s="185"/>
    </row>
    <row r="10" spans="1:27" s="8" customFormat="1" ht="12.75" customHeight="1" x14ac:dyDescent="0.25">
      <c r="Q10" s="185"/>
      <c r="R10" s="185"/>
      <c r="S10" s="185"/>
    </row>
    <row r="11" spans="1:27" s="8" customFormat="1" ht="12.75" customHeight="1" x14ac:dyDescent="0.25">
      <c r="A11" s="44" t="s">
        <v>500</v>
      </c>
      <c r="B11" s="44"/>
      <c r="C11" s="44"/>
      <c r="D11" s="44"/>
      <c r="E11" s="44"/>
      <c r="F11" s="44"/>
      <c r="G11" s="44"/>
      <c r="H11" s="44"/>
      <c r="I11" s="44"/>
      <c r="J11" s="45"/>
      <c r="K11" s="46"/>
      <c r="L11" s="46"/>
      <c r="M11" s="46"/>
      <c r="N11" s="46"/>
      <c r="O11" s="46"/>
      <c r="P11" s="46"/>
      <c r="Q11" s="46"/>
      <c r="R11" s="46"/>
      <c r="S11" s="46"/>
      <c r="T11" s="46"/>
      <c r="U11" s="46"/>
      <c r="V11" s="46"/>
      <c r="W11" s="46"/>
      <c r="X11" s="46"/>
      <c r="Y11" s="46"/>
      <c r="Z11" s="46"/>
      <c r="AA11" s="46"/>
    </row>
    <row r="12" spans="1:27" x14ac:dyDescent="0.25"/>
    <row r="13" spans="1:27" ht="13.95" thickBot="1" x14ac:dyDescent="0.3">
      <c r="B13" s="36"/>
    </row>
    <row r="14" spans="1:27" x14ac:dyDescent="0.25">
      <c r="B14" s="538" t="s">
        <v>501</v>
      </c>
      <c r="C14" s="539"/>
      <c r="D14" s="539"/>
      <c r="E14" s="539"/>
      <c r="F14" s="539"/>
      <c r="G14" s="539"/>
      <c r="H14" s="539"/>
      <c r="I14" s="539"/>
      <c r="J14" s="539"/>
      <c r="K14" s="539"/>
      <c r="L14" s="539"/>
      <c r="M14" s="539"/>
      <c r="N14" s="539"/>
      <c r="O14" s="539"/>
      <c r="P14" s="539"/>
      <c r="Q14" s="539"/>
      <c r="R14" s="539"/>
      <c r="S14" s="539"/>
      <c r="T14" s="539"/>
      <c r="U14" s="539"/>
      <c r="V14" s="539"/>
      <c r="W14" s="539"/>
      <c r="X14" s="539"/>
      <c r="Y14" s="539"/>
      <c r="Z14" s="539"/>
      <c r="AA14" s="540"/>
    </row>
    <row r="15" spans="1:27" x14ac:dyDescent="0.25">
      <c r="B15" s="541"/>
      <c r="C15" s="542"/>
      <c r="D15" s="542"/>
      <c r="E15" s="542"/>
      <c r="F15" s="542"/>
      <c r="G15" s="542"/>
      <c r="H15" s="542"/>
      <c r="I15" s="542"/>
      <c r="J15" s="542"/>
      <c r="K15" s="542"/>
      <c r="L15" s="542"/>
      <c r="M15" s="542"/>
      <c r="N15" s="542"/>
      <c r="O15" s="542"/>
      <c r="P15" s="542"/>
      <c r="Q15" s="542"/>
      <c r="R15" s="542"/>
      <c r="S15" s="542"/>
      <c r="T15" s="542"/>
      <c r="U15" s="542"/>
      <c r="V15" s="542"/>
      <c r="W15" s="542"/>
      <c r="X15" s="542"/>
      <c r="Y15" s="542"/>
      <c r="Z15" s="542"/>
      <c r="AA15" s="543"/>
    </row>
    <row r="16" spans="1:27" x14ac:dyDescent="0.25">
      <c r="B16" s="544" t="s">
        <v>58</v>
      </c>
      <c r="C16" s="545"/>
      <c r="D16" s="545"/>
      <c r="E16" s="546"/>
      <c r="F16" s="545"/>
      <c r="G16" s="546">
        <v>0</v>
      </c>
      <c r="H16" s="546">
        <v>1</v>
      </c>
      <c r="I16" s="546">
        <v>2</v>
      </c>
      <c r="J16" s="546">
        <v>3</v>
      </c>
      <c r="K16" s="546">
        <v>4</v>
      </c>
      <c r="L16" s="546">
        <v>5</v>
      </c>
      <c r="M16" s="546">
        <v>6</v>
      </c>
      <c r="N16" s="546">
        <v>7</v>
      </c>
      <c r="O16" s="546">
        <v>8</v>
      </c>
      <c r="P16" s="546">
        <v>9</v>
      </c>
      <c r="Q16" s="546">
        <v>10</v>
      </c>
      <c r="R16" s="546">
        <v>11</v>
      </c>
      <c r="S16" s="546">
        <v>12</v>
      </c>
      <c r="T16" s="546">
        <v>13</v>
      </c>
      <c r="U16" s="546">
        <v>14</v>
      </c>
      <c r="V16" s="546">
        <v>15</v>
      </c>
      <c r="W16" s="546">
        <v>16</v>
      </c>
      <c r="X16" s="546">
        <v>17</v>
      </c>
      <c r="Y16" s="546">
        <v>18</v>
      </c>
      <c r="Z16" s="546">
        <v>19</v>
      </c>
      <c r="AA16" s="547">
        <v>20</v>
      </c>
    </row>
    <row r="17" spans="2:27" x14ac:dyDescent="0.25">
      <c r="B17" s="541"/>
      <c r="C17" s="542"/>
      <c r="D17" s="542"/>
      <c r="E17" s="542"/>
      <c r="F17" s="542"/>
      <c r="G17" s="542"/>
      <c r="H17" s="542"/>
      <c r="I17" s="542"/>
      <c r="J17" s="542"/>
      <c r="K17" s="542"/>
      <c r="L17" s="542"/>
      <c r="M17" s="542"/>
      <c r="N17" s="542"/>
      <c r="O17" s="542"/>
      <c r="P17" s="542"/>
      <c r="Q17" s="542"/>
      <c r="R17" s="542"/>
      <c r="S17" s="542"/>
      <c r="T17" s="542"/>
      <c r="U17" s="542"/>
      <c r="V17" s="542"/>
      <c r="W17" s="542"/>
      <c r="X17" s="542"/>
      <c r="Y17" s="542"/>
      <c r="Z17" s="542"/>
      <c r="AA17" s="543"/>
    </row>
    <row r="18" spans="2:27" x14ac:dyDescent="0.25">
      <c r="B18" s="541" t="s">
        <v>13</v>
      </c>
      <c r="C18" s="542"/>
      <c r="D18" s="542"/>
      <c r="E18" s="210"/>
      <c r="F18" s="542"/>
      <c r="G18" s="542"/>
      <c r="H18" s="548">
        <f>IF(H$16&gt;'III. Inputs, Renewable Energy'!$U$16,0, 'III. Inputs, Renewable Energy'!$U$216)</f>
        <v>1</v>
      </c>
      <c r="I18" s="548">
        <f>IF(I$16&gt;'III. Inputs, Renewable Energy'!$U$16,0, 'III. Inputs, Renewable Energy'!$U$216)</f>
        <v>1</v>
      </c>
      <c r="J18" s="548">
        <f>IF(J$16&gt;'III. Inputs, Renewable Energy'!$U$16,0, 'III. Inputs, Renewable Energy'!$U$216)</f>
        <v>1</v>
      </c>
      <c r="K18" s="548">
        <f>IF(K$16&gt;'III. Inputs, Renewable Energy'!$U$16,0, 'III. Inputs, Renewable Energy'!$U$216)</f>
        <v>1</v>
      </c>
      <c r="L18" s="548">
        <f>IF(L$16&gt;'III. Inputs, Renewable Energy'!$U$16,0, 'III. Inputs, Renewable Energy'!$U$216)</f>
        <v>1</v>
      </c>
      <c r="M18" s="548">
        <f>IF(M$16&gt;'III. Inputs, Renewable Energy'!$U$16,0, 'III. Inputs, Renewable Energy'!$U$216)</f>
        <v>1</v>
      </c>
      <c r="N18" s="548">
        <f>IF(N$16&gt;'III. Inputs, Renewable Energy'!$U$16,0, 'III. Inputs, Renewable Energy'!$U$216)</f>
        <v>1</v>
      </c>
      <c r="O18" s="548">
        <f>IF(O$16&gt;'III. Inputs, Renewable Energy'!$U$16,0, 'III. Inputs, Renewable Energy'!$U$216)</f>
        <v>1</v>
      </c>
      <c r="P18" s="548">
        <f>IF(P$16&gt;'III. Inputs, Renewable Energy'!$U$16,0, 'III. Inputs, Renewable Energy'!$U$216)</f>
        <v>1</v>
      </c>
      <c r="Q18" s="548">
        <f>IF(Q$16&gt;'III. Inputs, Renewable Energy'!$U$16,0, 'III. Inputs, Renewable Energy'!$U$216)</f>
        <v>1</v>
      </c>
      <c r="R18" s="548">
        <f>IF(R$16&gt;'III. Inputs, Renewable Energy'!$U$16,0, 'III. Inputs, Renewable Energy'!$U$216)</f>
        <v>1</v>
      </c>
      <c r="S18" s="548">
        <f>IF(S$16&gt;'III. Inputs, Renewable Energy'!$U$16,0, 'III. Inputs, Renewable Energy'!$U$216)</f>
        <v>1</v>
      </c>
      <c r="T18" s="548">
        <f>IF(T$16&gt;'III. Inputs, Renewable Energy'!$U$16,0, 'III. Inputs, Renewable Energy'!$U$216)</f>
        <v>1</v>
      </c>
      <c r="U18" s="548">
        <f>IF(U$16&gt;'III. Inputs, Renewable Energy'!$U$16,0, 'III. Inputs, Renewable Energy'!$U$216)</f>
        <v>1</v>
      </c>
      <c r="V18" s="548">
        <f>IF(V$16&gt;'III. Inputs, Renewable Energy'!$U$16,0, 'III. Inputs, Renewable Energy'!$U$216)</f>
        <v>1</v>
      </c>
      <c r="W18" s="548">
        <f>IF(W$16&gt;'III. Inputs, Renewable Energy'!$U$16,0, 'III. Inputs, Renewable Energy'!$U$216)</f>
        <v>1</v>
      </c>
      <c r="X18" s="548">
        <f>IF(X$16&gt;'III. Inputs, Renewable Energy'!$U$16,0, 'III. Inputs, Renewable Energy'!$U$216)</f>
        <v>1</v>
      </c>
      <c r="Y18" s="548">
        <f>IF(Y$16&gt;'III. Inputs, Renewable Energy'!$U$16,0, 'III. Inputs, Renewable Energy'!$U$216)</f>
        <v>1</v>
      </c>
      <c r="Z18" s="548">
        <f>IF(Z$16&gt;'III. Inputs, Renewable Energy'!$U$16,0, 'III. Inputs, Renewable Energy'!$U$216)</f>
        <v>1</v>
      </c>
      <c r="AA18" s="549">
        <f>IF(AA$16&gt;'III. Inputs, Renewable Energy'!$U$16,0, 'III. Inputs, Renewable Energy'!$U$216)</f>
        <v>1</v>
      </c>
    </row>
    <row r="19" spans="2:27" ht="4.5" customHeight="1" x14ac:dyDescent="0.25">
      <c r="B19" s="541"/>
      <c r="C19" s="542"/>
      <c r="D19" s="542"/>
      <c r="E19" s="210"/>
      <c r="F19" s="542"/>
      <c r="G19" s="542"/>
      <c r="H19" s="542"/>
      <c r="I19" s="542"/>
      <c r="J19" s="542"/>
      <c r="K19" s="542"/>
      <c r="L19" s="542"/>
      <c r="M19" s="542"/>
      <c r="N19" s="542"/>
      <c r="O19" s="542"/>
      <c r="P19" s="542"/>
      <c r="Q19" s="542"/>
      <c r="R19" s="542"/>
      <c r="S19" s="542"/>
      <c r="T19" s="542"/>
      <c r="U19" s="542"/>
      <c r="V19" s="542"/>
      <c r="W19" s="542"/>
      <c r="X19" s="542"/>
      <c r="Y19" s="542"/>
      <c r="Z19" s="542"/>
      <c r="AA19" s="543"/>
    </row>
    <row r="20" spans="2:27" x14ac:dyDescent="0.25">
      <c r="B20" s="541" t="s">
        <v>97</v>
      </c>
      <c r="C20" s="542"/>
      <c r="D20" s="542"/>
      <c r="E20" s="542"/>
      <c r="F20" s="210" t="s">
        <v>98</v>
      </c>
      <c r="G20" s="542"/>
      <c r="H20" s="550">
        <f>IF(H$16&gt;'III. Inputs, Renewable Energy'!$U$16, 0, 'III. Inputs, Renewable Energy'!$U$14*'III. Inputs, Renewable Energy'!$U$214*$H$18)</f>
        <v>1404288</v>
      </c>
      <c r="I20" s="550">
        <f>IF(I$16&gt;'III. Inputs, Renewable Energy'!$U$16, 0, 'III. Inputs, Renewable Energy'!$U$14*'III. Inputs, Renewable Energy'!$U$214*$H$18)</f>
        <v>1404288</v>
      </c>
      <c r="J20" s="550">
        <f>IF(J$16&gt;'III. Inputs, Renewable Energy'!$U$16, 0, 'III. Inputs, Renewable Energy'!$U$14*'III. Inputs, Renewable Energy'!$U$214*$H$18)</f>
        <v>1404288</v>
      </c>
      <c r="K20" s="550">
        <f>IF(K$16&gt;'III. Inputs, Renewable Energy'!$U$16, 0, 'III. Inputs, Renewable Energy'!$U$14*'III. Inputs, Renewable Energy'!$U$214*$H$18)</f>
        <v>1404288</v>
      </c>
      <c r="L20" s="550">
        <f>IF(L$16&gt;'III. Inputs, Renewable Energy'!$U$16, 0, 'III. Inputs, Renewable Energy'!$U$14*'III. Inputs, Renewable Energy'!$U$214*$H$18)</f>
        <v>1404288</v>
      </c>
      <c r="M20" s="550">
        <f>IF(M$16&gt;'III. Inputs, Renewable Energy'!$U$16, 0, 'III. Inputs, Renewable Energy'!$U$14*'III. Inputs, Renewable Energy'!$U$214*$H$18)</f>
        <v>1404288</v>
      </c>
      <c r="N20" s="550">
        <f>IF(N$16&gt;'III. Inputs, Renewable Energy'!$U$16, 0, 'III. Inputs, Renewable Energy'!$U$14*'III. Inputs, Renewable Energy'!$U$214*$H$18)</f>
        <v>1404288</v>
      </c>
      <c r="O20" s="550">
        <f>IF(O$16&gt;'III. Inputs, Renewable Energy'!$U$16, 0, 'III. Inputs, Renewable Energy'!$U$14*'III. Inputs, Renewable Energy'!$U$214*$H$18)</f>
        <v>1404288</v>
      </c>
      <c r="P20" s="550">
        <f>IF(P$16&gt;'III. Inputs, Renewable Energy'!$U$16, 0, 'III. Inputs, Renewable Energy'!$U$14*'III. Inputs, Renewable Energy'!$U$214*$H$18)</f>
        <v>1404288</v>
      </c>
      <c r="Q20" s="550">
        <f>IF(Q$16&gt;'III. Inputs, Renewable Energy'!$U$16, 0, 'III. Inputs, Renewable Energy'!$U$14*'III. Inputs, Renewable Energy'!$U$214*$H$18)</f>
        <v>1404288</v>
      </c>
      <c r="R20" s="550">
        <f>IF(R$16&gt;'III. Inputs, Renewable Energy'!$U$16, 0, 'III. Inputs, Renewable Energy'!$U$14*'III. Inputs, Renewable Energy'!$U$214*$H$18)</f>
        <v>1404288</v>
      </c>
      <c r="S20" s="550">
        <f>IF(S$16&gt;'III. Inputs, Renewable Energy'!$U$16, 0, 'III. Inputs, Renewable Energy'!$U$14*'III. Inputs, Renewable Energy'!$U$214*$H$18)</f>
        <v>1404288</v>
      </c>
      <c r="T20" s="550">
        <f>IF(T$16&gt;'III. Inputs, Renewable Energy'!$U$16, 0, 'III. Inputs, Renewable Energy'!$U$14*'III. Inputs, Renewable Energy'!$U$214*$H$18)</f>
        <v>1404288</v>
      </c>
      <c r="U20" s="550">
        <f>IF(U$16&gt;'III. Inputs, Renewable Energy'!$U$16, 0, 'III. Inputs, Renewable Energy'!$U$14*'III. Inputs, Renewable Energy'!$U$214*$H$18)</f>
        <v>1404288</v>
      </c>
      <c r="V20" s="550">
        <f>IF(V$16&gt;'III. Inputs, Renewable Energy'!$U$16, 0, 'III. Inputs, Renewable Energy'!$U$14*'III. Inputs, Renewable Energy'!$U$214*$H$18)</f>
        <v>1404288</v>
      </c>
      <c r="W20" s="550">
        <f>IF(W$16&gt;'III. Inputs, Renewable Energy'!$U$16, 0, 'III. Inputs, Renewable Energy'!$U$14*'III. Inputs, Renewable Energy'!$U$214*$H$18)</f>
        <v>1404288</v>
      </c>
      <c r="X20" s="550">
        <f>IF(X$16&gt;'III. Inputs, Renewable Energy'!$U$16, 0, 'III. Inputs, Renewable Energy'!$U$14*'III. Inputs, Renewable Energy'!$U$214*$H$18)</f>
        <v>1404288</v>
      </c>
      <c r="Y20" s="550">
        <f>IF(Y$16&gt;'III. Inputs, Renewable Energy'!$U$16, 0, 'III. Inputs, Renewable Energy'!$U$14*'III. Inputs, Renewable Energy'!$U$214*$H$18)</f>
        <v>1404288</v>
      </c>
      <c r="Z20" s="550">
        <f>IF(Z$16&gt;'III. Inputs, Renewable Energy'!$U$16, 0, 'III. Inputs, Renewable Energy'!$U$14*'III. Inputs, Renewable Energy'!$U$214*$H$18)</f>
        <v>1404288</v>
      </c>
      <c r="AA20" s="551">
        <f>IF(AA$16&gt;'III. Inputs, Renewable Energy'!$U$16, 0, 'III. Inputs, Renewable Energy'!$U$14*'III. Inputs, Renewable Energy'!$U$214*$H$18)</f>
        <v>1404288</v>
      </c>
    </row>
    <row r="21" spans="2:27" ht="7.5" customHeight="1" x14ac:dyDescent="0.25">
      <c r="B21" s="541"/>
      <c r="C21" s="542"/>
      <c r="D21" s="542"/>
      <c r="E21" s="210"/>
      <c r="F21" s="542"/>
      <c r="G21" s="542"/>
      <c r="H21" s="542"/>
      <c r="I21" s="542"/>
      <c r="J21" s="542"/>
      <c r="K21" s="542"/>
      <c r="L21" s="542"/>
      <c r="M21" s="542"/>
      <c r="N21" s="542"/>
      <c r="O21" s="542"/>
      <c r="P21" s="542"/>
      <c r="Q21" s="542"/>
      <c r="R21" s="542"/>
      <c r="S21" s="542"/>
      <c r="T21" s="542"/>
      <c r="U21" s="542"/>
      <c r="V21" s="542"/>
      <c r="W21" s="542"/>
      <c r="X21" s="542"/>
      <c r="Y21" s="542"/>
      <c r="Z21" s="542"/>
      <c r="AA21" s="543"/>
    </row>
    <row r="22" spans="2:27" x14ac:dyDescent="0.25">
      <c r="B22" s="544" t="s">
        <v>99</v>
      </c>
      <c r="C22" s="552"/>
      <c r="D22" s="552"/>
      <c r="E22" s="184"/>
      <c r="F22" s="184"/>
      <c r="G22" s="184"/>
      <c r="H22" s="184"/>
      <c r="I22" s="184"/>
      <c r="J22" s="184"/>
      <c r="K22" s="184"/>
      <c r="L22" s="184"/>
      <c r="M22" s="184"/>
      <c r="N22" s="184"/>
      <c r="O22" s="184"/>
      <c r="P22" s="184"/>
      <c r="Q22" s="184"/>
      <c r="R22" s="184"/>
      <c r="S22" s="184"/>
      <c r="T22" s="184"/>
      <c r="U22" s="184"/>
      <c r="V22" s="184"/>
      <c r="W22" s="184"/>
      <c r="X22" s="184"/>
      <c r="Y22" s="184"/>
      <c r="Z22" s="184"/>
      <c r="AA22" s="553"/>
    </row>
    <row r="23" spans="2:27" x14ac:dyDescent="0.25">
      <c r="B23" s="541"/>
      <c r="C23" s="542"/>
      <c r="D23" s="542"/>
      <c r="E23" s="210"/>
      <c r="F23" s="542"/>
      <c r="G23" s="542"/>
      <c r="H23" s="542"/>
      <c r="I23" s="542"/>
      <c r="J23" s="542"/>
      <c r="K23" s="542"/>
      <c r="L23" s="542"/>
      <c r="M23" s="542"/>
      <c r="N23" s="542"/>
      <c r="O23" s="542"/>
      <c r="P23" s="542"/>
      <c r="Q23" s="542"/>
      <c r="R23" s="542"/>
      <c r="S23" s="542"/>
      <c r="T23" s="542"/>
      <c r="U23" s="542"/>
      <c r="V23" s="542"/>
      <c r="W23" s="542"/>
      <c r="X23" s="542"/>
      <c r="Y23" s="542"/>
      <c r="Z23" s="542"/>
      <c r="AA23" s="543"/>
    </row>
    <row r="24" spans="2:27" x14ac:dyDescent="0.25">
      <c r="B24" s="541" t="s">
        <v>100</v>
      </c>
      <c r="C24" s="542"/>
      <c r="D24" s="542"/>
      <c r="E24" s="210"/>
      <c r="F24" s="210" t="s">
        <v>631</v>
      </c>
      <c r="G24" s="1320"/>
      <c r="H24" s="1321">
        <f>IF(H$16&gt;'III. Inputs, Renewable Energy'!$U$16,0,IF('III. Inputs, Renewable Energy'!$S$223="Model Default",VLOOKUP('V. LCOE, Ren. En. Generation'!H$16,'IX. Additional Data'!$C$75:$D$94,2,FALSE)*'III. Inputs, Renewable Energy'!$U$14,'III. Inputs, Renewable Energy'!$S$226)*(1+'III. Inputs, Renewable Energy'!$S$227)^('V. LCOE, Ren. En. Generation'!H$16-1))</f>
        <v>18248.175182481751</v>
      </c>
      <c r="I24" s="1321">
        <f>IF(I$16&gt;'III. Inputs, Renewable Energy'!$U$16,0,IF('III. Inputs, Renewable Energy'!$S$223="Model Default",VLOOKUP('V. LCOE, Ren. En. Generation'!I$16,'IX. Additional Data'!$C$75:$D$94,2,FALSE)*'III. Inputs, Renewable Energy'!$U$14,('III. Inputs, Renewable Energy'!$S$226)*(1+'III. Inputs, Renewable Energy'!$S$227)^('V. LCOE, Ren. En. Generation'!I$16-1)))</f>
        <v>18613.138686131388</v>
      </c>
      <c r="J24" s="1321">
        <f>IF(J$16&gt;'III. Inputs, Renewable Energy'!$U$16,0,IF('III. Inputs, Renewable Energy'!$S$223="Model Default",VLOOKUP('V. LCOE, Ren. En. Generation'!J$16,'IX. Additional Data'!$C$75:$D$94,2,FALSE)*'III. Inputs, Renewable Energy'!$U$14,('III. Inputs, Renewable Energy'!$S$226)*(1+'III. Inputs, Renewable Energy'!$S$227)^('V. LCOE, Ren. En. Generation'!J$16-1)))</f>
        <v>18985.401459854013</v>
      </c>
      <c r="K24" s="1321">
        <f>IF(K$16&gt;'III. Inputs, Renewable Energy'!$U$16,0,IF('III. Inputs, Renewable Energy'!$S$223="Model Default",VLOOKUP('V. LCOE, Ren. En. Generation'!K$16,'IX. Additional Data'!$C$75:$D$94,2,FALSE)*'III. Inputs, Renewable Energy'!$U$14,('III. Inputs, Renewable Energy'!$S$226)*(1+'III. Inputs, Renewable Energy'!$S$227)^('V. LCOE, Ren. En. Generation'!K$16-1)))</f>
        <v>19365.109489051094</v>
      </c>
      <c r="L24" s="1321">
        <f>IF(L$16&gt;'III. Inputs, Renewable Energy'!$U$16,0,IF('III. Inputs, Renewable Energy'!$S$223="Model Default",VLOOKUP('V. LCOE, Ren. En. Generation'!L$16,'IX. Additional Data'!$C$75:$D$94,2,FALSE)*'III. Inputs, Renewable Energy'!$U$14,('III. Inputs, Renewable Energy'!$S$226)*(1+'III. Inputs, Renewable Energy'!$S$227)^('V. LCOE, Ren. En. Generation'!L$16-1)))</f>
        <v>19752.411678832115</v>
      </c>
      <c r="M24" s="1321">
        <f>IF(M$16&gt;'III. Inputs, Renewable Energy'!$U$16,0,IF('III. Inputs, Renewable Energy'!$S$223="Model Default",VLOOKUP('V. LCOE, Ren. En. Generation'!M$16,'IX. Additional Data'!$C$75:$D$94,2,FALSE)*'III. Inputs, Renewable Energy'!$U$14,('III. Inputs, Renewable Energy'!$S$226)*(1+'III. Inputs, Renewable Energy'!$S$227)^('V. LCOE, Ren. En. Generation'!M$16-1)))</f>
        <v>20147.459912408758</v>
      </c>
      <c r="N24" s="1321">
        <f>IF(N$16&gt;'III. Inputs, Renewable Energy'!$U$16,0,IF('III. Inputs, Renewable Energy'!$S$223="Model Default",VLOOKUP('V. LCOE, Ren. En. Generation'!N$16,'IX. Additional Data'!$C$75:$D$94,2,FALSE)*'III. Inputs, Renewable Energy'!$U$14,('III. Inputs, Renewable Energy'!$S$226)*(1+'III. Inputs, Renewable Energy'!$S$227)^('V. LCOE, Ren. En. Generation'!N$16-1)))</f>
        <v>20550.409110656936</v>
      </c>
      <c r="O24" s="1321">
        <f>IF(O$16&gt;'III. Inputs, Renewable Energy'!$U$16,0,IF('III. Inputs, Renewable Energy'!$S$223="Model Default",VLOOKUP('V. LCOE, Ren. En. Generation'!O$16,'IX. Additional Data'!$C$75:$D$94,2,FALSE)*'III. Inputs, Renewable Energy'!$U$14,('III. Inputs, Renewable Energy'!$S$226)*(1+'III. Inputs, Renewable Energy'!$S$227)^('V. LCOE, Ren. En. Generation'!O$16-1)))</f>
        <v>20961.417292870068</v>
      </c>
      <c r="P24" s="1321">
        <f>IF(P$16&gt;'III. Inputs, Renewable Energy'!$U$16,0,IF('III. Inputs, Renewable Energy'!$S$223="Model Default",VLOOKUP('V. LCOE, Ren. En. Generation'!P$16,'IX. Additional Data'!$C$75:$D$94,2,FALSE)*'III. Inputs, Renewable Energy'!$U$14,('III. Inputs, Renewable Energy'!$S$226)*(1+'III. Inputs, Renewable Energy'!$S$227)^('V. LCOE, Ren. En. Generation'!P$16-1)))</f>
        <v>21380.645638727474</v>
      </c>
      <c r="Q24" s="1321">
        <f>IF(Q$16&gt;'III. Inputs, Renewable Energy'!$U$16,0,IF('III. Inputs, Renewable Energy'!$S$223="Model Default",VLOOKUP('V. LCOE, Ren. En. Generation'!Q$16,'IX. Additional Data'!$C$75:$D$94,2,FALSE)*'III. Inputs, Renewable Energy'!$U$14,('III. Inputs, Renewable Energy'!$S$226)*(1+'III. Inputs, Renewable Energy'!$S$227)^('V. LCOE, Ren. En. Generation'!Q$16-1)))</f>
        <v>21808.258551502022</v>
      </c>
      <c r="R24" s="1321">
        <f>IF(R$16&gt;'III. Inputs, Renewable Energy'!$U$16,0,IF('III. Inputs, Renewable Energy'!$S$223="Model Default",VLOOKUP('V. LCOE, Ren. En. Generation'!R$16,'IX. Additional Data'!$C$75:$D$94,2,FALSE)*'III. Inputs, Renewable Energy'!$U$14,('III. Inputs, Renewable Energy'!$S$226)*(1+'III. Inputs, Renewable Energy'!$S$227)^('V. LCOE, Ren. En. Generation'!R$16-1)))</f>
        <v>22244.423722532065</v>
      </c>
      <c r="S24" s="1321">
        <f>IF(S$16&gt;'III. Inputs, Renewable Energy'!$U$16,0,IF('III. Inputs, Renewable Energy'!$S$223="Model Default",VLOOKUP('V. LCOE, Ren. En. Generation'!S$16,'IX. Additional Data'!$C$75:$D$94,2,FALSE)*'III. Inputs, Renewable Energy'!$U$14,('III. Inputs, Renewable Energy'!$S$226)*(1+'III. Inputs, Renewable Energy'!$S$227)^('V. LCOE, Ren. En. Generation'!S$16-1)))</f>
        <v>22689.312196982701</v>
      </c>
      <c r="T24" s="1321">
        <f>IF(T$16&gt;'III. Inputs, Renewable Energy'!$U$16,0,IF('III. Inputs, Renewable Energy'!$S$223="Model Default",VLOOKUP('V. LCOE, Ren. En. Generation'!T$16,'IX. Additional Data'!$C$75:$D$94,2,FALSE)*'III. Inputs, Renewable Energy'!$U$14,('III. Inputs, Renewable Energy'!$S$226)*(1+'III. Inputs, Renewable Energy'!$S$227)^('V. LCOE, Ren. En. Generation'!T$16-1)))</f>
        <v>23143.098440922357</v>
      </c>
      <c r="U24" s="1321">
        <f>IF(U$16&gt;'III. Inputs, Renewable Energy'!$U$16,0,IF('III. Inputs, Renewable Energy'!$S$223="Model Default",VLOOKUP('V. LCOE, Ren. En. Generation'!U$16,'IX. Additional Data'!$C$75:$D$94,2,FALSE)*'III. Inputs, Renewable Energy'!$U$14,('III. Inputs, Renewable Energy'!$S$226)*(1+'III. Inputs, Renewable Energy'!$S$227)^('V. LCOE, Ren. En. Generation'!U$16-1)))</f>
        <v>23605.960409740805</v>
      </c>
      <c r="V24" s="1321">
        <f>IF(V$16&gt;'III. Inputs, Renewable Energy'!$U$16,0,IF('III. Inputs, Renewable Energy'!$S$223="Model Default",VLOOKUP('V. LCOE, Ren. En. Generation'!V$16,'IX. Additional Data'!$C$75:$D$94,2,FALSE)*'III. Inputs, Renewable Energy'!$U$14,('III. Inputs, Renewable Energy'!$S$226)*(1+'III. Inputs, Renewable Energy'!$S$227)^('V. LCOE, Ren. En. Generation'!V$16-1)))</f>
        <v>24078.079617935622</v>
      </c>
      <c r="W24" s="1321">
        <f>IF(W$16&gt;'III. Inputs, Renewable Energy'!$U$16,0,IF('III. Inputs, Renewable Energy'!$S$223="Model Default",VLOOKUP('V. LCOE, Ren. En. Generation'!W$16,'IX. Additional Data'!$C$75:$D$94,2,FALSE)*'III. Inputs, Renewable Energy'!$U$14,('III. Inputs, Renewable Energy'!$S$226)*(1+'III. Inputs, Renewable Energy'!$S$227)^('V. LCOE, Ren. En. Generation'!W$16-1)))</f>
        <v>24559.641210294329</v>
      </c>
      <c r="X24" s="1321">
        <f>IF(X$16&gt;'III. Inputs, Renewable Energy'!$U$16,0,IF('III. Inputs, Renewable Energy'!$S$223="Model Default",VLOOKUP('V. LCOE, Ren. En. Generation'!X$16,'IX. Additional Data'!$C$75:$D$94,2,FALSE)*'III. Inputs, Renewable Energy'!$U$14,('III. Inputs, Renewable Energy'!$S$226)*(1+'III. Inputs, Renewable Energy'!$S$227)^('V. LCOE, Ren. En. Generation'!X$16-1)))</f>
        <v>25050.834034500218</v>
      </c>
      <c r="Y24" s="1321">
        <f>IF(Y$16&gt;'III. Inputs, Renewable Energy'!$U$16,0,IF('III. Inputs, Renewable Energy'!$S$223="Model Default",VLOOKUP('V. LCOE, Ren. En. Generation'!Y$16,'IX. Additional Data'!$C$75:$D$94,2,FALSE)*'III. Inputs, Renewable Energy'!$U$14,('III. Inputs, Renewable Energy'!$S$226)*(1+'III. Inputs, Renewable Energy'!$S$227)^('V. LCOE, Ren. En. Generation'!Y$16-1)))</f>
        <v>25551.850715190227</v>
      </c>
      <c r="Z24" s="1321">
        <f>IF(Z$16&gt;'III. Inputs, Renewable Energy'!$U$16,0,IF('III. Inputs, Renewable Energy'!$S$223="Model Default",VLOOKUP('V. LCOE, Ren. En. Generation'!Z$16,'IX. Additional Data'!$C$75:$D$94,2,FALSE)*'III. Inputs, Renewable Energy'!$U$14,('III. Inputs, Renewable Energy'!$S$226)*(1+'III. Inputs, Renewable Energy'!$S$227)^('V. LCOE, Ren. En. Generation'!Z$16-1)))</f>
        <v>26062.887729494028</v>
      </c>
      <c r="AA24" s="1322">
        <f>IF(AA$16&gt;'III. Inputs, Renewable Energy'!$U$16,0,IF('III. Inputs, Renewable Energy'!$S$223="Model Default",VLOOKUP('V. LCOE, Ren. En. Generation'!AA$16,'IX. Additional Data'!$C$75:$D$94,2,FALSE)*'III. Inputs, Renewable Energy'!$U$14,('III. Inputs, Renewable Energy'!$S$226)*(1+'III. Inputs, Renewable Energy'!$S$227)^('V. LCOE, Ren. En. Generation'!AA$16-1)))</f>
        <v>26584.145484083907</v>
      </c>
    </row>
    <row r="25" spans="2:27" x14ac:dyDescent="0.25">
      <c r="B25" s="541"/>
      <c r="C25" s="542"/>
      <c r="D25" s="542"/>
      <c r="E25" s="210"/>
      <c r="F25" s="210"/>
      <c r="G25" s="1320"/>
      <c r="H25" s="1321"/>
      <c r="I25" s="1321"/>
      <c r="J25" s="1321"/>
      <c r="K25" s="1321"/>
      <c r="L25" s="1321"/>
      <c r="M25" s="1321"/>
      <c r="N25" s="1321"/>
      <c r="O25" s="1321"/>
      <c r="P25" s="1321"/>
      <c r="Q25" s="1321"/>
      <c r="R25" s="1321"/>
      <c r="S25" s="1321"/>
      <c r="T25" s="1321"/>
      <c r="U25" s="1321"/>
      <c r="V25" s="1321"/>
      <c r="W25" s="1321"/>
      <c r="X25" s="1321"/>
      <c r="Y25" s="1321"/>
      <c r="Z25" s="1321"/>
      <c r="AA25" s="1322"/>
    </row>
    <row r="26" spans="2:27" x14ac:dyDescent="0.25">
      <c r="B26" s="541" t="s">
        <v>101</v>
      </c>
      <c r="C26" s="542"/>
      <c r="D26" s="542"/>
      <c r="E26" s="210"/>
      <c r="F26" s="210" t="s">
        <v>631</v>
      </c>
      <c r="G26" s="1320"/>
      <c r="H26" s="1320">
        <f>H365</f>
        <v>41594744.525547437</v>
      </c>
      <c r="I26" s="1320">
        <f>I365</f>
        <v>41594744.525547437</v>
      </c>
      <c r="J26" s="1320">
        <f t="shared" ref="J26:AA26" si="0">J365</f>
        <v>41594744.525547437</v>
      </c>
      <c r="K26" s="1320">
        <f t="shared" si="0"/>
        <v>41594744.525547437</v>
      </c>
      <c r="L26" s="1320">
        <f t="shared" si="0"/>
        <v>41594744.525547437</v>
      </c>
      <c r="M26" s="1320">
        <f t="shared" si="0"/>
        <v>41594744.525547437</v>
      </c>
      <c r="N26" s="1320">
        <f t="shared" si="0"/>
        <v>41594744.525547437</v>
      </c>
      <c r="O26" s="1320">
        <f t="shared" si="0"/>
        <v>41594744.525547437</v>
      </c>
      <c r="P26" s="1320">
        <f t="shared" si="0"/>
        <v>41594744.525547437</v>
      </c>
      <c r="Q26" s="1320">
        <f t="shared" si="0"/>
        <v>41594744.525547437</v>
      </c>
      <c r="R26" s="1320">
        <f t="shared" si="0"/>
        <v>41594744.525547437</v>
      </c>
      <c r="S26" s="1320">
        <f t="shared" si="0"/>
        <v>41594744.525547437</v>
      </c>
      <c r="T26" s="1320">
        <f t="shared" si="0"/>
        <v>41594744.525547437</v>
      </c>
      <c r="U26" s="1320">
        <f t="shared" si="0"/>
        <v>41594744.525547437</v>
      </c>
      <c r="V26" s="1320">
        <f t="shared" si="0"/>
        <v>41594744.525547437</v>
      </c>
      <c r="W26" s="1320">
        <f t="shared" si="0"/>
        <v>41594744.525547437</v>
      </c>
      <c r="X26" s="1320">
        <f t="shared" si="0"/>
        <v>41594744.525547437</v>
      </c>
      <c r="Y26" s="1320">
        <f t="shared" si="0"/>
        <v>41594744.525547437</v>
      </c>
      <c r="Z26" s="1320">
        <f t="shared" si="0"/>
        <v>41594744.525547437</v>
      </c>
      <c r="AA26" s="1323">
        <f t="shared" si="0"/>
        <v>41594744.525547437</v>
      </c>
    </row>
    <row r="27" spans="2:27" x14ac:dyDescent="0.25">
      <c r="B27" s="541"/>
      <c r="C27" s="542"/>
      <c r="D27" s="542"/>
      <c r="E27" s="210"/>
      <c r="F27" s="210"/>
      <c r="G27" s="1320"/>
      <c r="H27" s="1320"/>
      <c r="I27" s="1320"/>
      <c r="J27" s="1320"/>
      <c r="K27" s="1320"/>
      <c r="L27" s="1320"/>
      <c r="M27" s="1320"/>
      <c r="N27" s="1320"/>
      <c r="O27" s="1320"/>
      <c r="P27" s="1320"/>
      <c r="Q27" s="1320"/>
      <c r="R27" s="1320"/>
      <c r="S27" s="1320"/>
      <c r="T27" s="1320"/>
      <c r="U27" s="1320"/>
      <c r="V27" s="1320"/>
      <c r="W27" s="1320"/>
      <c r="X27" s="1320"/>
      <c r="Y27" s="1320"/>
      <c r="Z27" s="1320"/>
      <c r="AA27" s="1323"/>
    </row>
    <row r="28" spans="2:27" x14ac:dyDescent="0.25">
      <c r="B28" s="541" t="s">
        <v>257</v>
      </c>
      <c r="C28" s="542"/>
      <c r="D28" s="542"/>
      <c r="E28" s="210"/>
      <c r="F28" s="210" t="s">
        <v>631</v>
      </c>
      <c r="G28" s="1320"/>
      <c r="H28" s="1320">
        <f>H206</f>
        <v>0</v>
      </c>
      <c r="I28" s="1320">
        <f>I206</f>
        <v>0</v>
      </c>
      <c r="J28" s="1320">
        <f t="shared" ref="J28:AA28" si="1">J206</f>
        <v>0</v>
      </c>
      <c r="K28" s="1320">
        <f t="shared" si="1"/>
        <v>0</v>
      </c>
      <c r="L28" s="1320">
        <f t="shared" si="1"/>
        <v>0</v>
      </c>
      <c r="M28" s="1320">
        <f t="shared" si="1"/>
        <v>0</v>
      </c>
      <c r="N28" s="1320">
        <f t="shared" si="1"/>
        <v>0</v>
      </c>
      <c r="O28" s="1320">
        <f t="shared" si="1"/>
        <v>0</v>
      </c>
      <c r="P28" s="1320">
        <f t="shared" si="1"/>
        <v>0</v>
      </c>
      <c r="Q28" s="1320">
        <f t="shared" si="1"/>
        <v>0</v>
      </c>
      <c r="R28" s="1320">
        <f t="shared" si="1"/>
        <v>0</v>
      </c>
      <c r="S28" s="1320">
        <f t="shared" si="1"/>
        <v>0</v>
      </c>
      <c r="T28" s="1320">
        <f t="shared" si="1"/>
        <v>0</v>
      </c>
      <c r="U28" s="1320">
        <f t="shared" si="1"/>
        <v>0</v>
      </c>
      <c r="V28" s="1320">
        <f t="shared" si="1"/>
        <v>0</v>
      </c>
      <c r="W28" s="1320">
        <f t="shared" si="1"/>
        <v>0</v>
      </c>
      <c r="X28" s="1320">
        <f t="shared" si="1"/>
        <v>0</v>
      </c>
      <c r="Y28" s="1320">
        <f t="shared" si="1"/>
        <v>0</v>
      </c>
      <c r="Z28" s="1320">
        <f t="shared" si="1"/>
        <v>0</v>
      </c>
      <c r="AA28" s="1323">
        <f t="shared" si="1"/>
        <v>0</v>
      </c>
    </row>
    <row r="29" spans="2:27" x14ac:dyDescent="0.25">
      <c r="B29" s="541" t="s">
        <v>189</v>
      </c>
      <c r="C29" s="542"/>
      <c r="D29" s="542"/>
      <c r="E29" s="210"/>
      <c r="F29" s="210" t="s">
        <v>631</v>
      </c>
      <c r="G29" s="1320"/>
      <c r="H29" s="1320">
        <f>H227</f>
        <v>0</v>
      </c>
      <c r="I29" s="1320">
        <f>I227</f>
        <v>0</v>
      </c>
      <c r="J29" s="1320">
        <f t="shared" ref="J29:AA29" si="2">J227</f>
        <v>0</v>
      </c>
      <c r="K29" s="1320">
        <f t="shared" si="2"/>
        <v>0</v>
      </c>
      <c r="L29" s="1320">
        <f t="shared" si="2"/>
        <v>0</v>
      </c>
      <c r="M29" s="1320">
        <f t="shared" si="2"/>
        <v>0</v>
      </c>
      <c r="N29" s="1320">
        <f t="shared" si="2"/>
        <v>0</v>
      </c>
      <c r="O29" s="1320">
        <f t="shared" si="2"/>
        <v>0</v>
      </c>
      <c r="P29" s="1320">
        <f t="shared" si="2"/>
        <v>0</v>
      </c>
      <c r="Q29" s="1320">
        <f t="shared" si="2"/>
        <v>0</v>
      </c>
      <c r="R29" s="1320">
        <f t="shared" si="2"/>
        <v>0</v>
      </c>
      <c r="S29" s="1320">
        <f t="shared" si="2"/>
        <v>0</v>
      </c>
      <c r="T29" s="1320">
        <f t="shared" si="2"/>
        <v>0</v>
      </c>
      <c r="U29" s="1320">
        <f t="shared" si="2"/>
        <v>0</v>
      </c>
      <c r="V29" s="1320">
        <f t="shared" si="2"/>
        <v>0</v>
      </c>
      <c r="W29" s="1320">
        <f t="shared" si="2"/>
        <v>0</v>
      </c>
      <c r="X29" s="1320">
        <f t="shared" si="2"/>
        <v>0</v>
      </c>
      <c r="Y29" s="1320">
        <f t="shared" si="2"/>
        <v>0</v>
      </c>
      <c r="Z29" s="1320">
        <f t="shared" si="2"/>
        <v>0</v>
      </c>
      <c r="AA29" s="1323">
        <f t="shared" si="2"/>
        <v>0</v>
      </c>
    </row>
    <row r="30" spans="2:27" x14ac:dyDescent="0.25">
      <c r="B30" s="541" t="s">
        <v>190</v>
      </c>
      <c r="C30" s="542"/>
      <c r="D30" s="542"/>
      <c r="E30" s="210"/>
      <c r="F30" s="210" t="s">
        <v>631</v>
      </c>
      <c r="G30" s="1320"/>
      <c r="H30" s="1320">
        <f>H248</f>
        <v>39843386.861313857</v>
      </c>
      <c r="I30" s="1320">
        <f>I248</f>
        <v>36890805.027188137</v>
      </c>
      <c r="J30" s="1320">
        <f t="shared" ref="J30:AA30" si="3">J248</f>
        <v>33746305.373844229</v>
      </c>
      <c r="K30" s="1320">
        <f t="shared" si="3"/>
        <v>30397413.243032977</v>
      </c>
      <c r="L30" s="1320">
        <f t="shared" si="3"/>
        <v>26830843.123718992</v>
      </c>
      <c r="M30" s="1320">
        <f t="shared" si="3"/>
        <v>23032445.946649589</v>
      </c>
      <c r="N30" s="1320">
        <f t="shared" si="3"/>
        <v>18987152.953070685</v>
      </c>
      <c r="O30" s="1320">
        <f t="shared" si="3"/>
        <v>14678915.91490915</v>
      </c>
      <c r="P30" s="1320">
        <f t="shared" si="3"/>
        <v>10090643.469267109</v>
      </c>
      <c r="Q30" s="1320">
        <f t="shared" si="3"/>
        <v>5204133.3146583391</v>
      </c>
      <c r="R30" s="1320">
        <f t="shared" si="3"/>
        <v>0</v>
      </c>
      <c r="S30" s="1320">
        <f t="shared" si="3"/>
        <v>0</v>
      </c>
      <c r="T30" s="1320">
        <f t="shared" si="3"/>
        <v>0</v>
      </c>
      <c r="U30" s="1320">
        <f t="shared" si="3"/>
        <v>0</v>
      </c>
      <c r="V30" s="1320">
        <f t="shared" si="3"/>
        <v>0</v>
      </c>
      <c r="W30" s="1320">
        <f t="shared" si="3"/>
        <v>0</v>
      </c>
      <c r="X30" s="1320">
        <f t="shared" si="3"/>
        <v>0</v>
      </c>
      <c r="Y30" s="1320">
        <f t="shared" si="3"/>
        <v>0</v>
      </c>
      <c r="Z30" s="1320">
        <f t="shared" si="3"/>
        <v>0</v>
      </c>
      <c r="AA30" s="1323">
        <f t="shared" si="3"/>
        <v>0</v>
      </c>
    </row>
    <row r="31" spans="2:27" x14ac:dyDescent="0.25">
      <c r="B31" s="541" t="s">
        <v>132</v>
      </c>
      <c r="C31" s="542"/>
      <c r="D31" s="542"/>
      <c r="E31" s="210"/>
      <c r="F31" s="210" t="s">
        <v>631</v>
      </c>
      <c r="G31" s="1320"/>
      <c r="H31" s="1320">
        <f>(H217+H238+H259)</f>
        <v>0</v>
      </c>
      <c r="I31" s="1320">
        <f>(I217+I238+I259)</f>
        <v>0</v>
      </c>
      <c r="J31" s="1320">
        <f t="shared" ref="J31:AA31" si="4">(J217+J238+J259)</f>
        <v>0</v>
      </c>
      <c r="K31" s="1320">
        <f t="shared" si="4"/>
        <v>0</v>
      </c>
      <c r="L31" s="1320">
        <f t="shared" si="4"/>
        <v>0</v>
      </c>
      <c r="M31" s="1320">
        <f t="shared" si="4"/>
        <v>0</v>
      </c>
      <c r="N31" s="1320">
        <f t="shared" si="4"/>
        <v>0</v>
      </c>
      <c r="O31" s="1320">
        <f t="shared" si="4"/>
        <v>0</v>
      </c>
      <c r="P31" s="1320">
        <f t="shared" si="4"/>
        <v>0</v>
      </c>
      <c r="Q31" s="1320">
        <f t="shared" si="4"/>
        <v>0</v>
      </c>
      <c r="R31" s="1320">
        <f t="shared" si="4"/>
        <v>0</v>
      </c>
      <c r="S31" s="1320">
        <f t="shared" si="4"/>
        <v>0</v>
      </c>
      <c r="T31" s="1320">
        <f t="shared" si="4"/>
        <v>0</v>
      </c>
      <c r="U31" s="1320">
        <f t="shared" si="4"/>
        <v>0</v>
      </c>
      <c r="V31" s="1320">
        <f t="shared" si="4"/>
        <v>0</v>
      </c>
      <c r="W31" s="1320">
        <f t="shared" si="4"/>
        <v>0</v>
      </c>
      <c r="X31" s="1320">
        <f t="shared" si="4"/>
        <v>0</v>
      </c>
      <c r="Y31" s="1320">
        <f t="shared" si="4"/>
        <v>0</v>
      </c>
      <c r="Z31" s="1320">
        <f t="shared" si="4"/>
        <v>0</v>
      </c>
      <c r="AA31" s="1323">
        <f t="shared" si="4"/>
        <v>0</v>
      </c>
    </row>
    <row r="32" spans="2:27" x14ac:dyDescent="0.25">
      <c r="B32" s="541" t="s">
        <v>191</v>
      </c>
      <c r="C32" s="542"/>
      <c r="D32" s="542"/>
      <c r="E32" s="210"/>
      <c r="F32" s="210" t="s">
        <v>631</v>
      </c>
      <c r="G32" s="1320"/>
      <c r="H32" s="1320">
        <f>H239+H240</f>
        <v>0</v>
      </c>
      <c r="I32" s="1320">
        <f>+I240</f>
        <v>0</v>
      </c>
      <c r="J32" s="1320">
        <f t="shared" ref="J32:AA32" si="5">+J240</f>
        <v>0</v>
      </c>
      <c r="K32" s="1320">
        <f t="shared" si="5"/>
        <v>0</v>
      </c>
      <c r="L32" s="1320">
        <f t="shared" si="5"/>
        <v>0</v>
      </c>
      <c r="M32" s="1320">
        <f t="shared" si="5"/>
        <v>0</v>
      </c>
      <c r="N32" s="1320">
        <f t="shared" si="5"/>
        <v>0</v>
      </c>
      <c r="O32" s="1320">
        <f t="shared" si="5"/>
        <v>0</v>
      </c>
      <c r="P32" s="1320">
        <f t="shared" si="5"/>
        <v>0</v>
      </c>
      <c r="Q32" s="1320">
        <f t="shared" si="5"/>
        <v>0</v>
      </c>
      <c r="R32" s="1320">
        <f t="shared" si="5"/>
        <v>0</v>
      </c>
      <c r="S32" s="1320">
        <f t="shared" si="5"/>
        <v>0</v>
      </c>
      <c r="T32" s="1320">
        <f t="shared" si="5"/>
        <v>0</v>
      </c>
      <c r="U32" s="1320">
        <f t="shared" si="5"/>
        <v>0</v>
      </c>
      <c r="V32" s="1320">
        <f t="shared" si="5"/>
        <v>0</v>
      </c>
      <c r="W32" s="1320">
        <f t="shared" si="5"/>
        <v>0</v>
      </c>
      <c r="X32" s="1320">
        <f t="shared" si="5"/>
        <v>0</v>
      </c>
      <c r="Y32" s="1320">
        <f t="shared" si="5"/>
        <v>0</v>
      </c>
      <c r="Z32" s="1320">
        <f t="shared" si="5"/>
        <v>0</v>
      </c>
      <c r="AA32" s="1323">
        <f t="shared" si="5"/>
        <v>0</v>
      </c>
    </row>
    <row r="33" spans="2:27" x14ac:dyDescent="0.25">
      <c r="B33" s="541" t="s">
        <v>134</v>
      </c>
      <c r="C33" s="542"/>
      <c r="D33" s="542"/>
      <c r="E33" s="210"/>
      <c r="F33" s="210" t="s">
        <v>631</v>
      </c>
      <c r="G33" s="1320"/>
      <c r="H33" s="1320">
        <f>(H269+H270)</f>
        <v>0</v>
      </c>
      <c r="I33" s="1320">
        <f>(+I270)</f>
        <v>0</v>
      </c>
      <c r="J33" s="1320">
        <f t="shared" ref="J33:AA33" si="6">(+J270)</f>
        <v>0</v>
      </c>
      <c r="K33" s="1320">
        <f t="shared" si="6"/>
        <v>0</v>
      </c>
      <c r="L33" s="1320">
        <f t="shared" si="6"/>
        <v>0</v>
      </c>
      <c r="M33" s="1320">
        <f t="shared" si="6"/>
        <v>0</v>
      </c>
      <c r="N33" s="1320">
        <f t="shared" si="6"/>
        <v>0</v>
      </c>
      <c r="O33" s="1320">
        <f t="shared" si="6"/>
        <v>0</v>
      </c>
      <c r="P33" s="1320">
        <f t="shared" si="6"/>
        <v>0</v>
      </c>
      <c r="Q33" s="1320">
        <f t="shared" si="6"/>
        <v>0</v>
      </c>
      <c r="R33" s="1320">
        <f t="shared" si="6"/>
        <v>0</v>
      </c>
      <c r="S33" s="1320">
        <f t="shared" si="6"/>
        <v>0</v>
      </c>
      <c r="T33" s="1320">
        <f t="shared" si="6"/>
        <v>0</v>
      </c>
      <c r="U33" s="1320">
        <f t="shared" si="6"/>
        <v>0</v>
      </c>
      <c r="V33" s="1320">
        <f t="shared" si="6"/>
        <v>0</v>
      </c>
      <c r="W33" s="1320">
        <f t="shared" si="6"/>
        <v>0</v>
      </c>
      <c r="X33" s="1320">
        <f t="shared" si="6"/>
        <v>0</v>
      </c>
      <c r="Y33" s="1320">
        <f t="shared" si="6"/>
        <v>0</v>
      </c>
      <c r="Z33" s="1320">
        <f t="shared" si="6"/>
        <v>0</v>
      </c>
      <c r="AA33" s="1323">
        <f t="shared" si="6"/>
        <v>0</v>
      </c>
    </row>
    <row r="34" spans="2:27" x14ac:dyDescent="0.25">
      <c r="B34" s="541"/>
      <c r="C34" s="542"/>
      <c r="D34" s="542"/>
      <c r="E34" s="210"/>
      <c r="F34" s="210"/>
      <c r="G34" s="1320"/>
      <c r="H34" s="1320"/>
      <c r="I34" s="1320"/>
      <c r="J34" s="1320"/>
      <c r="K34" s="1320"/>
      <c r="L34" s="1320"/>
      <c r="M34" s="1320"/>
      <c r="N34" s="1320"/>
      <c r="O34" s="1320"/>
      <c r="P34" s="1320"/>
      <c r="Q34" s="1320"/>
      <c r="R34" s="1320"/>
      <c r="S34" s="1320"/>
      <c r="T34" s="1320"/>
      <c r="U34" s="1320"/>
      <c r="V34" s="1320"/>
      <c r="W34" s="1320"/>
      <c r="X34" s="1320"/>
      <c r="Y34" s="1320"/>
      <c r="Z34" s="1320"/>
      <c r="AA34" s="1323"/>
    </row>
    <row r="35" spans="2:27" x14ac:dyDescent="0.25">
      <c r="B35" s="541"/>
      <c r="C35" s="542"/>
      <c r="D35" s="542"/>
      <c r="E35" s="210"/>
      <c r="F35" s="210"/>
      <c r="G35" s="1320"/>
      <c r="H35" s="1320"/>
      <c r="I35" s="1320"/>
      <c r="J35" s="1320"/>
      <c r="K35" s="1320"/>
      <c r="L35" s="1320"/>
      <c r="M35" s="1320"/>
      <c r="N35" s="1320"/>
      <c r="O35" s="1320"/>
      <c r="P35" s="1320"/>
      <c r="Q35" s="1320"/>
      <c r="R35" s="1320"/>
      <c r="S35" s="1320"/>
      <c r="T35" s="1320"/>
      <c r="U35" s="1320"/>
      <c r="V35" s="1320"/>
      <c r="W35" s="1320"/>
      <c r="X35" s="1320"/>
      <c r="Y35" s="1320"/>
      <c r="Z35" s="1320"/>
      <c r="AA35" s="1323"/>
    </row>
    <row r="36" spans="2:27" x14ac:dyDescent="0.25">
      <c r="B36" s="554" t="s">
        <v>518</v>
      </c>
      <c r="C36" s="542"/>
      <c r="D36" s="542"/>
      <c r="E36" s="210"/>
      <c r="F36" s="210"/>
      <c r="G36" s="1320"/>
      <c r="H36" s="1320"/>
      <c r="I36" s="1320"/>
      <c r="J36" s="1320"/>
      <c r="K36" s="1320"/>
      <c r="L36" s="1320"/>
      <c r="M36" s="1320"/>
      <c r="N36" s="1320"/>
      <c r="O36" s="1320"/>
      <c r="P36" s="1320"/>
      <c r="Q36" s="1320"/>
      <c r="R36" s="1320"/>
      <c r="S36" s="1320"/>
      <c r="T36" s="1320"/>
      <c r="U36" s="1320"/>
      <c r="V36" s="1320"/>
      <c r="W36" s="1320"/>
      <c r="X36" s="1320"/>
      <c r="Y36" s="1320"/>
      <c r="Z36" s="1320"/>
      <c r="AA36" s="1323"/>
    </row>
    <row r="37" spans="2:27" x14ac:dyDescent="0.25">
      <c r="B37" s="541"/>
      <c r="C37" s="542"/>
      <c r="D37" s="542"/>
      <c r="E37" s="210"/>
      <c r="F37" s="210"/>
      <c r="G37" s="1320"/>
      <c r="H37" s="1320"/>
      <c r="I37" s="1320"/>
      <c r="J37" s="1320"/>
      <c r="K37" s="1320"/>
      <c r="L37" s="1320"/>
      <c r="M37" s="1320"/>
      <c r="N37" s="1320"/>
      <c r="O37" s="1320"/>
      <c r="P37" s="1320"/>
      <c r="Q37" s="1320"/>
      <c r="R37" s="1320"/>
      <c r="S37" s="1320"/>
      <c r="T37" s="1320"/>
      <c r="U37" s="1320"/>
      <c r="V37" s="1320"/>
      <c r="W37" s="1320"/>
      <c r="X37" s="1320"/>
      <c r="Y37" s="1320"/>
      <c r="Z37" s="1320"/>
      <c r="AA37" s="1323"/>
    </row>
    <row r="38" spans="2:27" x14ac:dyDescent="0.25">
      <c r="B38" s="541" t="str">
        <f>B24</f>
        <v>Operations &amp; Maintenance Expenses</v>
      </c>
      <c r="C38" s="542"/>
      <c r="D38" s="542"/>
      <c r="E38" s="210"/>
      <c r="F38" s="210" t="s">
        <v>631</v>
      </c>
      <c r="G38" s="1320"/>
      <c r="H38" s="1320">
        <f>-H24</f>
        <v>-18248.175182481751</v>
      </c>
      <c r="I38" s="1320">
        <f t="shared" ref="I38:AA38" si="7">-I24</f>
        <v>-18613.138686131388</v>
      </c>
      <c r="J38" s="1320">
        <f t="shared" si="7"/>
        <v>-18985.401459854013</v>
      </c>
      <c r="K38" s="1320">
        <f t="shared" si="7"/>
        <v>-19365.109489051094</v>
      </c>
      <c r="L38" s="1320">
        <f t="shared" si="7"/>
        <v>-19752.411678832115</v>
      </c>
      <c r="M38" s="1320">
        <f t="shared" si="7"/>
        <v>-20147.459912408758</v>
      </c>
      <c r="N38" s="1320">
        <f t="shared" si="7"/>
        <v>-20550.409110656936</v>
      </c>
      <c r="O38" s="1320">
        <f t="shared" si="7"/>
        <v>-20961.417292870068</v>
      </c>
      <c r="P38" s="1320">
        <f t="shared" si="7"/>
        <v>-21380.645638727474</v>
      </c>
      <c r="Q38" s="1320">
        <f t="shared" si="7"/>
        <v>-21808.258551502022</v>
      </c>
      <c r="R38" s="1320">
        <f t="shared" si="7"/>
        <v>-22244.423722532065</v>
      </c>
      <c r="S38" s="1320">
        <f t="shared" si="7"/>
        <v>-22689.312196982701</v>
      </c>
      <c r="T38" s="1320">
        <f t="shared" si="7"/>
        <v>-23143.098440922357</v>
      </c>
      <c r="U38" s="1320">
        <f t="shared" si="7"/>
        <v>-23605.960409740805</v>
      </c>
      <c r="V38" s="1320">
        <f t="shared" si="7"/>
        <v>-24078.079617935622</v>
      </c>
      <c r="W38" s="1320">
        <f t="shared" si="7"/>
        <v>-24559.641210294329</v>
      </c>
      <c r="X38" s="1320">
        <f t="shared" si="7"/>
        <v>-25050.834034500218</v>
      </c>
      <c r="Y38" s="1320">
        <f t="shared" si="7"/>
        <v>-25551.850715190227</v>
      </c>
      <c r="Z38" s="1320">
        <f t="shared" si="7"/>
        <v>-26062.887729494028</v>
      </c>
      <c r="AA38" s="1323">
        <f t="shared" si="7"/>
        <v>-26584.145484083907</v>
      </c>
    </row>
    <row r="39" spans="2:27" x14ac:dyDescent="0.25">
      <c r="B39" s="541" t="str">
        <f>B31</f>
        <v xml:space="preserve">Front-end Fees </v>
      </c>
      <c r="C39" s="542"/>
      <c r="D39" s="542"/>
      <c r="E39" s="210"/>
      <c r="F39" s="210" t="s">
        <v>631</v>
      </c>
      <c r="G39" s="1320"/>
      <c r="H39" s="1320">
        <f>-H31</f>
        <v>0</v>
      </c>
      <c r="I39" s="1320">
        <f t="shared" ref="I39:AA39" si="8">-I31</f>
        <v>0</v>
      </c>
      <c r="J39" s="1320">
        <f t="shared" si="8"/>
        <v>0</v>
      </c>
      <c r="K39" s="1320">
        <f t="shared" si="8"/>
        <v>0</v>
      </c>
      <c r="L39" s="1320">
        <f t="shared" si="8"/>
        <v>0</v>
      </c>
      <c r="M39" s="1320">
        <f t="shared" si="8"/>
        <v>0</v>
      </c>
      <c r="N39" s="1320">
        <f t="shared" si="8"/>
        <v>0</v>
      </c>
      <c r="O39" s="1320">
        <f t="shared" si="8"/>
        <v>0</v>
      </c>
      <c r="P39" s="1320">
        <f t="shared" si="8"/>
        <v>0</v>
      </c>
      <c r="Q39" s="1320">
        <f t="shared" si="8"/>
        <v>0</v>
      </c>
      <c r="R39" s="1320">
        <f t="shared" si="8"/>
        <v>0</v>
      </c>
      <c r="S39" s="1320">
        <f t="shared" si="8"/>
        <v>0</v>
      </c>
      <c r="T39" s="1320">
        <f t="shared" si="8"/>
        <v>0</v>
      </c>
      <c r="U39" s="1320">
        <f t="shared" si="8"/>
        <v>0</v>
      </c>
      <c r="V39" s="1320">
        <f t="shared" si="8"/>
        <v>0</v>
      </c>
      <c r="W39" s="1320">
        <f t="shared" si="8"/>
        <v>0</v>
      </c>
      <c r="X39" s="1320">
        <f t="shared" si="8"/>
        <v>0</v>
      </c>
      <c r="Y39" s="1320">
        <f t="shared" si="8"/>
        <v>0</v>
      </c>
      <c r="Z39" s="1320">
        <f t="shared" si="8"/>
        <v>0</v>
      </c>
      <c r="AA39" s="1323">
        <f t="shared" si="8"/>
        <v>0</v>
      </c>
    </row>
    <row r="40" spans="2:27" x14ac:dyDescent="0.25">
      <c r="B40" s="541" t="str">
        <f>B32</f>
        <v xml:space="preserve">Public Guarantee Fees </v>
      </c>
      <c r="C40" s="542"/>
      <c r="D40" s="542"/>
      <c r="E40" s="210"/>
      <c r="F40" s="210" t="s">
        <v>631</v>
      </c>
      <c r="G40" s="1320"/>
      <c r="H40" s="1320">
        <f>-H32</f>
        <v>0</v>
      </c>
      <c r="I40" s="1320">
        <f t="shared" ref="I40:AA40" si="9">-I32</f>
        <v>0</v>
      </c>
      <c r="J40" s="1320">
        <f t="shared" si="9"/>
        <v>0</v>
      </c>
      <c r="K40" s="1320">
        <f t="shared" si="9"/>
        <v>0</v>
      </c>
      <c r="L40" s="1320">
        <f t="shared" si="9"/>
        <v>0</v>
      </c>
      <c r="M40" s="1320">
        <f t="shared" si="9"/>
        <v>0</v>
      </c>
      <c r="N40" s="1320">
        <f t="shared" si="9"/>
        <v>0</v>
      </c>
      <c r="O40" s="1320">
        <f t="shared" si="9"/>
        <v>0</v>
      </c>
      <c r="P40" s="1320">
        <f t="shared" si="9"/>
        <v>0</v>
      </c>
      <c r="Q40" s="1320">
        <f t="shared" si="9"/>
        <v>0</v>
      </c>
      <c r="R40" s="1320">
        <f t="shared" si="9"/>
        <v>0</v>
      </c>
      <c r="S40" s="1320">
        <f t="shared" si="9"/>
        <v>0</v>
      </c>
      <c r="T40" s="1320">
        <f t="shared" si="9"/>
        <v>0</v>
      </c>
      <c r="U40" s="1320">
        <f t="shared" si="9"/>
        <v>0</v>
      </c>
      <c r="V40" s="1320">
        <f t="shared" si="9"/>
        <v>0</v>
      </c>
      <c r="W40" s="1320">
        <f t="shared" si="9"/>
        <v>0</v>
      </c>
      <c r="X40" s="1320">
        <f t="shared" si="9"/>
        <v>0</v>
      </c>
      <c r="Y40" s="1320">
        <f t="shared" si="9"/>
        <v>0</v>
      </c>
      <c r="Z40" s="1320">
        <f t="shared" si="9"/>
        <v>0</v>
      </c>
      <c r="AA40" s="1323">
        <f t="shared" si="9"/>
        <v>0</v>
      </c>
    </row>
    <row r="41" spans="2:27" x14ac:dyDescent="0.25">
      <c r="B41" s="541" t="str">
        <f>B33</f>
        <v>Political Risk Insurance - Fees &amp; Annual Premium Payments</v>
      </c>
      <c r="C41" s="542"/>
      <c r="D41" s="542"/>
      <c r="E41" s="210"/>
      <c r="F41" s="210" t="s">
        <v>631</v>
      </c>
      <c r="G41" s="1320"/>
      <c r="H41" s="1320">
        <f>-H33</f>
        <v>0</v>
      </c>
      <c r="I41" s="1320">
        <f t="shared" ref="I41:AA41" si="10">-I33</f>
        <v>0</v>
      </c>
      <c r="J41" s="1320">
        <f t="shared" si="10"/>
        <v>0</v>
      </c>
      <c r="K41" s="1320">
        <f t="shared" si="10"/>
        <v>0</v>
      </c>
      <c r="L41" s="1320">
        <f t="shared" si="10"/>
        <v>0</v>
      </c>
      <c r="M41" s="1320">
        <f t="shared" si="10"/>
        <v>0</v>
      </c>
      <c r="N41" s="1320">
        <f t="shared" si="10"/>
        <v>0</v>
      </c>
      <c r="O41" s="1320">
        <f t="shared" si="10"/>
        <v>0</v>
      </c>
      <c r="P41" s="1320">
        <f t="shared" si="10"/>
        <v>0</v>
      </c>
      <c r="Q41" s="1320">
        <f t="shared" si="10"/>
        <v>0</v>
      </c>
      <c r="R41" s="1320">
        <f t="shared" si="10"/>
        <v>0</v>
      </c>
      <c r="S41" s="1320">
        <f t="shared" si="10"/>
        <v>0</v>
      </c>
      <c r="T41" s="1320">
        <f t="shared" si="10"/>
        <v>0</v>
      </c>
      <c r="U41" s="1320">
        <f t="shared" si="10"/>
        <v>0</v>
      </c>
      <c r="V41" s="1320">
        <f t="shared" si="10"/>
        <v>0</v>
      </c>
      <c r="W41" s="1320">
        <f t="shared" si="10"/>
        <v>0</v>
      </c>
      <c r="X41" s="1320">
        <f t="shared" si="10"/>
        <v>0</v>
      </c>
      <c r="Y41" s="1320">
        <f t="shared" si="10"/>
        <v>0</v>
      </c>
      <c r="Z41" s="1320">
        <f t="shared" si="10"/>
        <v>0</v>
      </c>
      <c r="AA41" s="1323">
        <f t="shared" si="10"/>
        <v>0</v>
      </c>
    </row>
    <row r="42" spans="2:27" x14ac:dyDescent="0.25">
      <c r="B42" s="541" t="s">
        <v>102</v>
      </c>
      <c r="C42" s="542"/>
      <c r="D42" s="542"/>
      <c r="E42" s="210"/>
      <c r="F42" s="210" t="s">
        <v>631</v>
      </c>
      <c r="G42" s="1320"/>
      <c r="H42" s="1320">
        <f>-(H208+H229+H250)</f>
        <v>-85267722.770940468</v>
      </c>
      <c r="I42" s="1320">
        <f t="shared" ref="I42:AA42" si="11">-(I208+I229+I250)</f>
        <v>-85267722.770940483</v>
      </c>
      <c r="J42" s="1320">
        <f t="shared" si="11"/>
        <v>-85267722.770940483</v>
      </c>
      <c r="K42" s="1320">
        <f t="shared" si="11"/>
        <v>-85267722.770940483</v>
      </c>
      <c r="L42" s="1320">
        <f t="shared" si="11"/>
        <v>-85267722.770940483</v>
      </c>
      <c r="M42" s="1320">
        <f t="shared" si="11"/>
        <v>-85267722.770940468</v>
      </c>
      <c r="N42" s="1320">
        <f t="shared" si="11"/>
        <v>-85267722.770940483</v>
      </c>
      <c r="O42" s="1320">
        <f t="shared" si="11"/>
        <v>-85267722.770940483</v>
      </c>
      <c r="P42" s="1320">
        <f t="shared" si="11"/>
        <v>-85267722.770940483</v>
      </c>
      <c r="Q42" s="1320">
        <f t="shared" si="11"/>
        <v>-85267722.770940483</v>
      </c>
      <c r="R42" s="1320">
        <f t="shared" si="11"/>
        <v>0</v>
      </c>
      <c r="S42" s="1320">
        <f t="shared" si="11"/>
        <v>0</v>
      </c>
      <c r="T42" s="1320">
        <f t="shared" si="11"/>
        <v>0</v>
      </c>
      <c r="U42" s="1320">
        <f t="shared" si="11"/>
        <v>0</v>
      </c>
      <c r="V42" s="1320">
        <f t="shared" si="11"/>
        <v>0</v>
      </c>
      <c r="W42" s="1320">
        <f t="shared" si="11"/>
        <v>0</v>
      </c>
      <c r="X42" s="1320">
        <f t="shared" si="11"/>
        <v>0</v>
      </c>
      <c r="Y42" s="1320">
        <f t="shared" si="11"/>
        <v>0</v>
      </c>
      <c r="Z42" s="1320">
        <f t="shared" si="11"/>
        <v>0</v>
      </c>
      <c r="AA42" s="1323">
        <f t="shared" si="11"/>
        <v>0</v>
      </c>
    </row>
    <row r="43" spans="2:27" x14ac:dyDescent="0.25">
      <c r="B43" s="555" t="s">
        <v>103</v>
      </c>
      <c r="C43" s="552"/>
      <c r="D43" s="552"/>
      <c r="E43" s="184"/>
      <c r="F43" s="184" t="s">
        <v>631</v>
      </c>
      <c r="G43" s="1324"/>
      <c r="H43" s="1324">
        <f>(H24+H26+H31+H32+H33+H28+H29+H30)*'III. Inputs, Renewable Energy'!$U$17</f>
        <v>24436913.868613135</v>
      </c>
      <c r="I43" s="1324">
        <f>(I24+I26+I31+I32+I33+I28+I29+I30)*'III. Inputs, Renewable Energy'!$U$17</f>
        <v>23551248.807426509</v>
      </c>
      <c r="J43" s="1324">
        <f>(J24+J26+J31+J32+J33+J28+J29+J30)*'III. Inputs, Renewable Energy'!$U$17</f>
        <v>22608010.590255458</v>
      </c>
      <c r="K43" s="1324">
        <f>(K24+K26+K31+K32+K33+K28+K29+K30)*'III. Inputs, Renewable Energy'!$U$17</f>
        <v>21603456.863420837</v>
      </c>
      <c r="L43" s="1324">
        <f>(L24+L26+L31+L32+L33+L28+L29+L30)*'III. Inputs, Renewable Energy'!$U$17</f>
        <v>20533602.018283579</v>
      </c>
      <c r="M43" s="1324">
        <f>(M24+M26+M31+M32+M33+M28+M29+M30)*'III. Inputs, Renewable Energy'!$U$17</f>
        <v>19394201.379632831</v>
      </c>
      <c r="N43" s="1324">
        <f>(N24+N26+N31+N32+N33+N28+N29+N30)*'III. Inputs, Renewable Energy'!$U$17</f>
        <v>18180734.366318632</v>
      </c>
      <c r="O43" s="1324">
        <f>(O24+O26+O31+O32+O33+O28+O29+O30)*'III. Inputs, Renewable Energy'!$U$17</f>
        <v>16888386.557324838</v>
      </c>
      <c r="P43" s="1324">
        <f>(P24+P26+P31+P32+P33+P28+P29+P30)*'III. Inputs, Renewable Energy'!$U$17</f>
        <v>15512030.592135981</v>
      </c>
      <c r="Q43" s="1324">
        <f>(Q24+Q26+Q31+Q32+Q33+Q28+Q29+Q30)*'III. Inputs, Renewable Energy'!$U$17</f>
        <v>14046205.829627182</v>
      </c>
      <c r="R43" s="1324">
        <f>(R24+R26+R31+R32+R33+R28+R29+R30)*'III. Inputs, Renewable Energy'!$U$17</f>
        <v>12485096.684780991</v>
      </c>
      <c r="S43" s="1324">
        <f>(S24+S26+S31+S32+S33+S28+S29+S30)*'III. Inputs, Renewable Energy'!$U$17</f>
        <v>12485230.151323326</v>
      </c>
      <c r="T43" s="1324">
        <f>(T24+T26+T31+T32+T33+T28+T29+T30)*'III. Inputs, Renewable Energy'!$U$17</f>
        <v>12485366.287196508</v>
      </c>
      <c r="U43" s="1324">
        <f>(U24+U26+U31+U32+U33+U28+U29+U30)*'III. Inputs, Renewable Energy'!$U$17</f>
        <v>12485505.145787152</v>
      </c>
      <c r="V43" s="1324">
        <f>(V24+V26+V31+V32+V33+V28+V29+V30)*'III. Inputs, Renewable Energy'!$U$17</f>
        <v>12485646.78154961</v>
      </c>
      <c r="W43" s="1324">
        <f>(W24+W26+W31+W32+W33+W28+W29+W30)*'III. Inputs, Renewable Energy'!$U$17</f>
        <v>12485791.250027319</v>
      </c>
      <c r="X43" s="1324">
        <f>(X24+X26+X31+X32+X33+X28+X29+X30)*'III. Inputs, Renewable Energy'!$U$17</f>
        <v>12485938.607874582</v>
      </c>
      <c r="Y43" s="1324">
        <f>(Y24+Y26+Y31+Y32+Y33+Y28+Y29+Y30)*'III. Inputs, Renewable Energy'!$U$17</f>
        <v>12486088.912878787</v>
      </c>
      <c r="Z43" s="1324">
        <f>(Z24+Z26+Z31+Z32+Z33+Z28+Z29+Z30)*'III. Inputs, Renewable Energy'!$U$17</f>
        <v>12486242.223983079</v>
      </c>
      <c r="AA43" s="1325">
        <f>(AA24+AA26+AA31+AA32+AA33+AA28+AA29+AA30)*'III. Inputs, Renewable Energy'!$U$17</f>
        <v>12486398.601309456</v>
      </c>
    </row>
    <row r="44" spans="2:27" x14ac:dyDescent="0.25">
      <c r="B44" s="541" t="s">
        <v>104</v>
      </c>
      <c r="C44" s="542"/>
      <c r="D44" s="542"/>
      <c r="E44" s="210"/>
      <c r="F44" s="210" t="s">
        <v>631</v>
      </c>
      <c r="G44" s="1320">
        <f>-'III. Inputs, Renewable Energy'!$U$14*'III. Inputs, Renewable Energy'!$U$15*'III. Inputs, Renewable Energy'!$S$27</f>
        <v>-262703649.63503644</v>
      </c>
      <c r="H44" s="1320">
        <f>SUM(H38:H43)</f>
        <v>-60849057.077509806</v>
      </c>
      <c r="I44" s="1320">
        <f>SUM(I38:I43)</f>
        <v>-61735087.102200106</v>
      </c>
      <c r="J44" s="1320">
        <f t="shared" ref="J44:AA44" si="12">SUM(J38:J43)</f>
        <v>-62678697.582144886</v>
      </c>
      <c r="K44" s="1320">
        <f t="shared" si="12"/>
        <v>-63683631.017008699</v>
      </c>
      <c r="L44" s="1320">
        <f t="shared" si="12"/>
        <v>-64753873.164335743</v>
      </c>
      <c r="M44" s="1320">
        <f t="shared" si="12"/>
        <v>-65893668.851220042</v>
      </c>
      <c r="N44" s="1320">
        <f t="shared" si="12"/>
        <v>-67107538.813732505</v>
      </c>
      <c r="O44" s="1320">
        <f t="shared" si="12"/>
        <v>-68400297.630908504</v>
      </c>
      <c r="P44" s="1320">
        <f t="shared" si="12"/>
        <v>-69777072.824443236</v>
      </c>
      <c r="Q44" s="1320">
        <f t="shared" si="12"/>
        <v>-71243325.199864805</v>
      </c>
      <c r="R44" s="1320">
        <f t="shared" si="12"/>
        <v>12462852.261058459</v>
      </c>
      <c r="S44" s="1320">
        <f t="shared" si="12"/>
        <v>12462540.839126343</v>
      </c>
      <c r="T44" s="1320">
        <f t="shared" si="12"/>
        <v>12462223.188755585</v>
      </c>
      <c r="U44" s="1320">
        <f t="shared" si="12"/>
        <v>12461899.185377412</v>
      </c>
      <c r="V44" s="1320">
        <f t="shared" si="12"/>
        <v>12461568.701931674</v>
      </c>
      <c r="W44" s="1320">
        <f t="shared" si="12"/>
        <v>12461231.608817026</v>
      </c>
      <c r="X44" s="1320">
        <f t="shared" si="12"/>
        <v>12460887.773840081</v>
      </c>
      <c r="Y44" s="1320">
        <f t="shared" si="12"/>
        <v>12460537.062163597</v>
      </c>
      <c r="Z44" s="1320">
        <f t="shared" si="12"/>
        <v>12460179.336253585</v>
      </c>
      <c r="AA44" s="1323">
        <f t="shared" si="12"/>
        <v>12459814.455825372</v>
      </c>
    </row>
    <row r="45" spans="2:27" x14ac:dyDescent="0.25">
      <c r="B45" s="541"/>
      <c r="C45" s="542"/>
      <c r="D45" s="542"/>
      <c r="E45" s="210"/>
      <c r="F45" s="542"/>
      <c r="G45" s="542"/>
      <c r="H45" s="542"/>
      <c r="I45" s="542"/>
      <c r="J45" s="542"/>
      <c r="K45" s="542"/>
      <c r="L45" s="542"/>
      <c r="M45" s="542"/>
      <c r="N45" s="542"/>
      <c r="O45" s="542"/>
      <c r="P45" s="542"/>
      <c r="Q45" s="542"/>
      <c r="R45" s="542"/>
      <c r="S45" s="542"/>
      <c r="T45" s="542"/>
      <c r="U45" s="542"/>
      <c r="V45" s="542"/>
      <c r="W45" s="542"/>
      <c r="X45" s="542"/>
      <c r="Y45" s="542"/>
      <c r="Z45" s="542"/>
      <c r="AA45" s="543"/>
    </row>
    <row r="46" spans="2:27" x14ac:dyDescent="0.25">
      <c r="B46" s="541" t="s">
        <v>105</v>
      </c>
      <c r="C46" s="542"/>
      <c r="D46" s="542"/>
      <c r="E46" s="210"/>
      <c r="F46" s="542"/>
      <c r="G46" s="1126">
        <f>SUM('III. Inputs, Renewable Energy'!$S$35)</f>
        <v>0.15</v>
      </c>
      <c r="H46" s="542"/>
      <c r="I46" s="542"/>
      <c r="J46" s="542"/>
      <c r="K46" s="542"/>
      <c r="L46" s="542"/>
      <c r="M46" s="542"/>
      <c r="N46" s="542"/>
      <c r="O46" s="542"/>
      <c r="P46" s="542"/>
      <c r="Q46" s="542"/>
      <c r="R46" s="542"/>
      <c r="S46" s="542"/>
      <c r="T46" s="542"/>
      <c r="U46" s="542"/>
      <c r="V46" s="542"/>
      <c r="W46" s="542"/>
      <c r="X46" s="542"/>
      <c r="Y46" s="542"/>
      <c r="Z46" s="542"/>
      <c r="AA46" s="543"/>
    </row>
    <row r="47" spans="2:27" x14ac:dyDescent="0.25">
      <c r="B47" s="541" t="s">
        <v>106</v>
      </c>
      <c r="C47" s="542"/>
      <c r="D47" s="542"/>
      <c r="E47" s="210"/>
      <c r="F47" s="542"/>
      <c r="G47" s="1320">
        <f>NPV(G46,H44:AA44)+G44</f>
        <v>-570175888.04965496</v>
      </c>
      <c r="H47" s="542"/>
      <c r="I47" s="542"/>
      <c r="J47" s="542"/>
      <c r="K47" s="542"/>
      <c r="L47" s="542"/>
      <c r="M47" s="542"/>
      <c r="N47" s="542"/>
      <c r="O47" s="542"/>
      <c r="P47" s="542"/>
      <c r="Q47" s="542"/>
      <c r="R47" s="542"/>
      <c r="S47" s="542"/>
      <c r="T47" s="542"/>
      <c r="U47" s="542"/>
      <c r="V47" s="542"/>
      <c r="W47" s="542"/>
      <c r="X47" s="542"/>
      <c r="Y47" s="542"/>
      <c r="Z47" s="542"/>
      <c r="AA47" s="543"/>
    </row>
    <row r="48" spans="2:27" ht="17.25" customHeight="1" x14ac:dyDescent="0.25">
      <c r="B48" s="541" t="s">
        <v>107</v>
      </c>
      <c r="C48" s="542"/>
      <c r="D48" s="542"/>
      <c r="E48" s="210"/>
      <c r="F48" s="542"/>
      <c r="G48" s="1320">
        <f>-NPV($G$46,H20:AA20)</f>
        <v>-8789904.0765808616</v>
      </c>
      <c r="H48" s="542"/>
      <c r="I48" s="542"/>
      <c r="J48" s="542"/>
      <c r="K48" s="542"/>
      <c r="L48" s="542"/>
      <c r="M48" s="542"/>
      <c r="N48" s="542"/>
      <c r="O48" s="542"/>
      <c r="P48" s="542"/>
      <c r="Q48" s="542"/>
      <c r="R48" s="542"/>
      <c r="S48" s="542"/>
      <c r="T48" s="542"/>
      <c r="U48" s="542"/>
      <c r="V48" s="542"/>
      <c r="W48" s="542"/>
      <c r="X48" s="542"/>
      <c r="Y48" s="542"/>
      <c r="Z48" s="542"/>
      <c r="AA48" s="543"/>
    </row>
    <row r="49" spans="2:27" ht="17.25" customHeight="1" thickBot="1" x14ac:dyDescent="0.3">
      <c r="B49" s="541" t="s">
        <v>108</v>
      </c>
      <c r="C49" s="542"/>
      <c r="D49" s="542"/>
      <c r="E49" s="210"/>
      <c r="F49" s="210" t="s">
        <v>633</v>
      </c>
      <c r="G49" s="1326">
        <f>IF(OR(G47=0, G48=0), 0, G47/G48)</f>
        <v>64.867134280655847</v>
      </c>
      <c r="H49" s="542"/>
      <c r="I49" s="542"/>
      <c r="J49" s="542"/>
      <c r="K49" s="542"/>
      <c r="L49" s="542"/>
      <c r="M49" s="542"/>
      <c r="N49" s="542"/>
      <c r="O49" s="542"/>
      <c r="P49" s="542"/>
      <c r="Q49" s="542"/>
      <c r="R49" s="542"/>
      <c r="S49" s="542"/>
      <c r="T49" s="542"/>
      <c r="U49" s="542"/>
      <c r="V49" s="542"/>
      <c r="W49" s="542"/>
      <c r="X49" s="542"/>
      <c r="Y49" s="542"/>
      <c r="Z49" s="542"/>
      <c r="AA49" s="543"/>
    </row>
    <row r="50" spans="2:27" ht="17.25" customHeight="1" thickBot="1" x14ac:dyDescent="0.3">
      <c r="B50" s="557" t="s">
        <v>109</v>
      </c>
      <c r="C50" s="558"/>
      <c r="D50" s="558"/>
      <c r="E50" s="559"/>
      <c r="F50" s="559" t="s">
        <v>632</v>
      </c>
      <c r="G50" s="1327">
        <f>$G$49/(1-'III. Inputs, Renewable Energy'!$U$17)</f>
        <v>92.667334686651216</v>
      </c>
      <c r="H50" s="542"/>
      <c r="I50" s="542"/>
      <c r="J50" s="542"/>
      <c r="K50" s="542"/>
      <c r="L50" s="542"/>
      <c r="M50" s="542"/>
      <c r="N50" s="542"/>
      <c r="O50" s="542"/>
      <c r="P50" s="542"/>
      <c r="Q50" s="542"/>
      <c r="R50" s="542"/>
      <c r="S50" s="542"/>
      <c r="T50" s="542"/>
      <c r="U50" s="542"/>
      <c r="V50" s="542"/>
      <c r="W50" s="542"/>
      <c r="X50" s="542"/>
      <c r="Y50" s="542"/>
      <c r="Z50" s="542"/>
      <c r="AA50" s="543"/>
    </row>
    <row r="51" spans="2:27" ht="17.25" customHeight="1" thickBot="1" x14ac:dyDescent="0.3">
      <c r="B51" s="560"/>
      <c r="C51" s="561"/>
      <c r="D51" s="561"/>
      <c r="E51" s="562"/>
      <c r="F51" s="562"/>
      <c r="G51" s="563"/>
      <c r="H51" s="564"/>
      <c r="I51" s="564"/>
      <c r="J51" s="564"/>
      <c r="K51" s="564"/>
      <c r="L51" s="564"/>
      <c r="M51" s="564"/>
      <c r="N51" s="564"/>
      <c r="O51" s="564"/>
      <c r="P51" s="564"/>
      <c r="Q51" s="564"/>
      <c r="R51" s="564"/>
      <c r="S51" s="564"/>
      <c r="T51" s="564"/>
      <c r="U51" s="564"/>
      <c r="V51" s="564"/>
      <c r="W51" s="564"/>
      <c r="X51" s="564"/>
      <c r="Y51" s="564"/>
      <c r="Z51" s="564"/>
      <c r="AA51" s="565"/>
    </row>
    <row r="52" spans="2:27" ht="17.25" customHeight="1" thickBot="1" x14ac:dyDescent="0.3"/>
    <row r="53" spans="2:27" ht="10.5" customHeight="1" outlineLevel="1" x14ac:dyDescent="0.2">
      <c r="B53" s="566"/>
      <c r="C53" s="539"/>
      <c r="D53" s="539"/>
      <c r="E53" s="539"/>
      <c r="F53" s="539"/>
      <c r="G53" s="539"/>
      <c r="H53" s="539"/>
      <c r="I53" s="539"/>
      <c r="J53" s="539"/>
      <c r="K53" s="539"/>
      <c r="L53" s="539"/>
      <c r="M53" s="539"/>
      <c r="N53" s="539"/>
      <c r="O53" s="539"/>
      <c r="P53" s="539"/>
      <c r="Q53" s="539"/>
      <c r="R53" s="539"/>
      <c r="S53" s="539"/>
      <c r="T53" s="539"/>
      <c r="U53" s="539"/>
      <c r="V53" s="539"/>
      <c r="W53" s="539"/>
      <c r="X53" s="539"/>
      <c r="Y53" s="539"/>
      <c r="Z53" s="539"/>
      <c r="AA53" s="539"/>
    </row>
    <row r="54" spans="2:27" ht="17.25" customHeight="1" outlineLevel="1" x14ac:dyDescent="0.2">
      <c r="B54" s="554" t="s">
        <v>110</v>
      </c>
      <c r="C54" s="542"/>
      <c r="D54" s="542"/>
      <c r="E54" s="542"/>
      <c r="F54" s="542"/>
      <c r="G54" s="542"/>
      <c r="H54" s="542"/>
      <c r="I54" s="542"/>
      <c r="J54" s="542"/>
      <c r="K54" s="542"/>
      <c r="L54" s="542"/>
      <c r="M54" s="542"/>
      <c r="N54" s="542"/>
      <c r="O54" s="542"/>
      <c r="P54" s="542"/>
      <c r="Q54" s="542"/>
      <c r="R54" s="542"/>
      <c r="S54" s="542"/>
      <c r="T54" s="542"/>
      <c r="U54" s="542"/>
      <c r="V54" s="542"/>
      <c r="W54" s="542"/>
      <c r="X54" s="542"/>
      <c r="Y54" s="542"/>
      <c r="Z54" s="542"/>
      <c r="AA54" s="542"/>
    </row>
    <row r="55" spans="2:27" ht="6.75" customHeight="1" outlineLevel="1" x14ac:dyDescent="0.2">
      <c r="B55" s="541"/>
      <c r="C55" s="542"/>
      <c r="D55" s="542"/>
      <c r="E55" s="210"/>
      <c r="F55" s="542"/>
      <c r="G55" s="542"/>
      <c r="H55" s="542"/>
      <c r="I55" s="542"/>
      <c r="J55" s="542"/>
      <c r="K55" s="542"/>
      <c r="L55" s="542"/>
      <c r="M55" s="542"/>
      <c r="N55" s="542"/>
      <c r="O55" s="542"/>
      <c r="P55" s="542"/>
      <c r="Q55" s="542"/>
      <c r="R55" s="542"/>
      <c r="S55" s="542"/>
      <c r="T55" s="542"/>
      <c r="U55" s="542"/>
      <c r="V55" s="542"/>
      <c r="W55" s="542"/>
      <c r="X55" s="542"/>
      <c r="Y55" s="542"/>
      <c r="Z55" s="542"/>
      <c r="AA55" s="542"/>
    </row>
    <row r="56" spans="2:27" ht="17.25" customHeight="1" outlineLevel="1" x14ac:dyDescent="0.2">
      <c r="B56" s="544" t="s">
        <v>58</v>
      </c>
      <c r="C56" s="545"/>
      <c r="D56" s="545"/>
      <c r="E56" s="546"/>
      <c r="F56" s="545"/>
      <c r="G56" s="546">
        <f>G16</f>
        <v>0</v>
      </c>
      <c r="H56" s="546">
        <f t="shared" ref="H56:AA56" si="13">H16</f>
        <v>1</v>
      </c>
      <c r="I56" s="546">
        <f t="shared" si="13"/>
        <v>2</v>
      </c>
      <c r="J56" s="546">
        <f t="shared" si="13"/>
        <v>3</v>
      </c>
      <c r="K56" s="546">
        <f t="shared" si="13"/>
        <v>4</v>
      </c>
      <c r="L56" s="546">
        <f t="shared" si="13"/>
        <v>5</v>
      </c>
      <c r="M56" s="546">
        <f t="shared" si="13"/>
        <v>6</v>
      </c>
      <c r="N56" s="546">
        <f t="shared" si="13"/>
        <v>7</v>
      </c>
      <c r="O56" s="546">
        <f t="shared" si="13"/>
        <v>8</v>
      </c>
      <c r="P56" s="546">
        <f t="shared" si="13"/>
        <v>9</v>
      </c>
      <c r="Q56" s="546">
        <f t="shared" si="13"/>
        <v>10</v>
      </c>
      <c r="R56" s="546">
        <f t="shared" si="13"/>
        <v>11</v>
      </c>
      <c r="S56" s="546">
        <f t="shared" si="13"/>
        <v>12</v>
      </c>
      <c r="T56" s="546">
        <f t="shared" si="13"/>
        <v>13</v>
      </c>
      <c r="U56" s="546">
        <f t="shared" si="13"/>
        <v>14</v>
      </c>
      <c r="V56" s="546">
        <f t="shared" si="13"/>
        <v>15</v>
      </c>
      <c r="W56" s="546">
        <f t="shared" si="13"/>
        <v>16</v>
      </c>
      <c r="X56" s="546">
        <f t="shared" si="13"/>
        <v>17</v>
      </c>
      <c r="Y56" s="546">
        <f t="shared" si="13"/>
        <v>18</v>
      </c>
      <c r="Z56" s="546">
        <f t="shared" si="13"/>
        <v>19</v>
      </c>
      <c r="AA56" s="546">
        <f t="shared" si="13"/>
        <v>20</v>
      </c>
    </row>
    <row r="57" spans="2:27" ht="17.25" customHeight="1" outlineLevel="1" x14ac:dyDescent="0.2">
      <c r="B57" s="541"/>
      <c r="C57" s="542"/>
      <c r="D57" s="542"/>
      <c r="E57" s="210"/>
      <c r="F57" s="542"/>
      <c r="G57" s="210"/>
      <c r="H57" s="210"/>
      <c r="I57" s="542"/>
      <c r="J57" s="542"/>
      <c r="K57" s="542"/>
      <c r="L57" s="542"/>
      <c r="M57" s="542"/>
      <c r="N57" s="542"/>
      <c r="O57" s="542"/>
      <c r="P57" s="542"/>
      <c r="Q57" s="542"/>
      <c r="R57" s="542"/>
      <c r="S57" s="542"/>
      <c r="T57" s="542"/>
      <c r="U57" s="542"/>
      <c r="V57" s="542"/>
      <c r="W57" s="542"/>
      <c r="X57" s="542"/>
      <c r="Y57" s="542"/>
      <c r="Z57" s="542"/>
      <c r="AA57" s="542"/>
    </row>
    <row r="58" spans="2:27" ht="17.25" customHeight="1" outlineLevel="1" x14ac:dyDescent="0.2">
      <c r="B58" s="541" t="s">
        <v>97</v>
      </c>
      <c r="C58" s="542"/>
      <c r="D58" s="542"/>
      <c r="E58" s="210"/>
      <c r="F58" s="210" t="s">
        <v>98</v>
      </c>
      <c r="G58" s="210"/>
      <c r="H58" s="567">
        <f>H20</f>
        <v>1404288</v>
      </c>
      <c r="I58" s="567">
        <f t="shared" ref="I58:AA58" si="14">I20</f>
        <v>1404288</v>
      </c>
      <c r="J58" s="567">
        <f t="shared" si="14"/>
        <v>1404288</v>
      </c>
      <c r="K58" s="567">
        <f t="shared" si="14"/>
        <v>1404288</v>
      </c>
      <c r="L58" s="567">
        <f t="shared" si="14"/>
        <v>1404288</v>
      </c>
      <c r="M58" s="567">
        <f t="shared" si="14"/>
        <v>1404288</v>
      </c>
      <c r="N58" s="567">
        <f t="shared" si="14"/>
        <v>1404288</v>
      </c>
      <c r="O58" s="567">
        <f t="shared" si="14"/>
        <v>1404288</v>
      </c>
      <c r="P58" s="567">
        <f t="shared" si="14"/>
        <v>1404288</v>
      </c>
      <c r="Q58" s="567">
        <f t="shared" si="14"/>
        <v>1404288</v>
      </c>
      <c r="R58" s="567">
        <f t="shared" si="14"/>
        <v>1404288</v>
      </c>
      <c r="S58" s="567">
        <f t="shared" si="14"/>
        <v>1404288</v>
      </c>
      <c r="T58" s="567">
        <f t="shared" si="14"/>
        <v>1404288</v>
      </c>
      <c r="U58" s="567">
        <f t="shared" si="14"/>
        <v>1404288</v>
      </c>
      <c r="V58" s="567">
        <f t="shared" si="14"/>
        <v>1404288</v>
      </c>
      <c r="W58" s="567">
        <f t="shared" si="14"/>
        <v>1404288</v>
      </c>
      <c r="X58" s="567">
        <f t="shared" si="14"/>
        <v>1404288</v>
      </c>
      <c r="Y58" s="567">
        <f t="shared" si="14"/>
        <v>1404288</v>
      </c>
      <c r="Z58" s="567">
        <f t="shared" si="14"/>
        <v>1404288</v>
      </c>
      <c r="AA58" s="567">
        <f t="shared" si="14"/>
        <v>1404288</v>
      </c>
    </row>
    <row r="59" spans="2:27" ht="17.25" customHeight="1" outlineLevel="1" x14ac:dyDescent="0.2">
      <c r="B59" s="541"/>
      <c r="C59" s="542"/>
      <c r="D59" s="542"/>
      <c r="E59" s="210"/>
      <c r="F59" s="210"/>
      <c r="G59" s="210"/>
      <c r="H59" s="568"/>
      <c r="I59" s="568"/>
      <c r="J59" s="568"/>
      <c r="K59" s="568"/>
      <c r="L59" s="568"/>
      <c r="M59" s="568"/>
      <c r="N59" s="568"/>
      <c r="O59" s="568"/>
      <c r="P59" s="568"/>
      <c r="Q59" s="568"/>
      <c r="R59" s="568"/>
      <c r="S59" s="568"/>
      <c r="T59" s="568"/>
      <c r="U59" s="568"/>
      <c r="V59" s="568"/>
      <c r="W59" s="568"/>
      <c r="X59" s="568"/>
      <c r="Y59" s="568"/>
      <c r="Z59" s="568"/>
      <c r="AA59" s="568"/>
    </row>
    <row r="60" spans="2:27" ht="17.25" customHeight="1" outlineLevel="1" x14ac:dyDescent="0.25">
      <c r="B60" s="541" t="s">
        <v>111</v>
      </c>
      <c r="C60" s="542"/>
      <c r="D60" s="542"/>
      <c r="E60" s="210"/>
      <c r="F60" s="210" t="s">
        <v>632</v>
      </c>
      <c r="G60" s="210"/>
      <c r="H60" s="1356">
        <f>$G$50</f>
        <v>92.667334686651216</v>
      </c>
      <c r="I60" s="1356">
        <f t="shared" ref="I60:AA60" si="15">$G$50</f>
        <v>92.667334686651216</v>
      </c>
      <c r="J60" s="1356">
        <f t="shared" si="15"/>
        <v>92.667334686651216</v>
      </c>
      <c r="K60" s="1356">
        <f t="shared" si="15"/>
        <v>92.667334686651216</v>
      </c>
      <c r="L60" s="1356">
        <f t="shared" si="15"/>
        <v>92.667334686651216</v>
      </c>
      <c r="M60" s="1356">
        <f t="shared" si="15"/>
        <v>92.667334686651216</v>
      </c>
      <c r="N60" s="1356">
        <f t="shared" si="15"/>
        <v>92.667334686651216</v>
      </c>
      <c r="O60" s="1356">
        <f t="shared" si="15"/>
        <v>92.667334686651216</v>
      </c>
      <c r="P60" s="1356">
        <f t="shared" si="15"/>
        <v>92.667334686651216</v>
      </c>
      <c r="Q60" s="1356">
        <f t="shared" si="15"/>
        <v>92.667334686651216</v>
      </c>
      <c r="R60" s="1356">
        <f t="shared" si="15"/>
        <v>92.667334686651216</v>
      </c>
      <c r="S60" s="1356">
        <f t="shared" si="15"/>
        <v>92.667334686651216</v>
      </c>
      <c r="T60" s="1356">
        <f t="shared" si="15"/>
        <v>92.667334686651216</v>
      </c>
      <c r="U60" s="1356">
        <f t="shared" si="15"/>
        <v>92.667334686651216</v>
      </c>
      <c r="V60" s="1356">
        <f t="shared" si="15"/>
        <v>92.667334686651216</v>
      </c>
      <c r="W60" s="1356">
        <f t="shared" si="15"/>
        <v>92.667334686651216</v>
      </c>
      <c r="X60" s="1356">
        <f t="shared" si="15"/>
        <v>92.667334686651216</v>
      </c>
      <c r="Y60" s="1356">
        <f t="shared" si="15"/>
        <v>92.667334686651216</v>
      </c>
      <c r="Z60" s="1356">
        <f t="shared" si="15"/>
        <v>92.667334686651216</v>
      </c>
      <c r="AA60" s="1356">
        <f t="shared" si="15"/>
        <v>92.667334686651216</v>
      </c>
    </row>
    <row r="61" spans="2:27" ht="17.25" customHeight="1" outlineLevel="1" x14ac:dyDescent="0.2">
      <c r="B61" s="555"/>
      <c r="C61" s="552"/>
      <c r="D61" s="552"/>
      <c r="E61" s="184"/>
      <c r="F61" s="184"/>
      <c r="G61" s="184"/>
      <c r="H61" s="569"/>
      <c r="I61" s="569"/>
      <c r="J61" s="569"/>
      <c r="K61" s="569"/>
      <c r="L61" s="569"/>
      <c r="M61" s="569"/>
      <c r="N61" s="569"/>
      <c r="O61" s="569"/>
      <c r="P61" s="569"/>
      <c r="Q61" s="569"/>
      <c r="R61" s="569"/>
      <c r="S61" s="569"/>
      <c r="T61" s="569"/>
      <c r="U61" s="569"/>
      <c r="V61" s="569"/>
      <c r="W61" s="569"/>
      <c r="X61" s="569"/>
      <c r="Y61" s="569"/>
      <c r="Z61" s="569"/>
      <c r="AA61" s="569"/>
    </row>
    <row r="62" spans="2:27" ht="17.25" customHeight="1" outlineLevel="1" x14ac:dyDescent="0.25">
      <c r="B62" s="541" t="s">
        <v>112</v>
      </c>
      <c r="C62" s="542"/>
      <c r="D62" s="542"/>
      <c r="E62" s="210"/>
      <c r="F62" s="210" t="s">
        <v>631</v>
      </c>
      <c r="G62" s="1350"/>
      <c r="H62" s="1351">
        <f>H58*H60</f>
        <v>130131626.09244806</v>
      </c>
      <c r="I62" s="1351">
        <f t="shared" ref="I62:AA62" si="16">I58*I60</f>
        <v>130131626.09244806</v>
      </c>
      <c r="J62" s="1351">
        <f t="shared" si="16"/>
        <v>130131626.09244806</v>
      </c>
      <c r="K62" s="1351">
        <f t="shared" si="16"/>
        <v>130131626.09244806</v>
      </c>
      <c r="L62" s="1351">
        <f t="shared" si="16"/>
        <v>130131626.09244806</v>
      </c>
      <c r="M62" s="1351">
        <f t="shared" si="16"/>
        <v>130131626.09244806</v>
      </c>
      <c r="N62" s="1351">
        <f t="shared" si="16"/>
        <v>130131626.09244806</v>
      </c>
      <c r="O62" s="1351">
        <f t="shared" si="16"/>
        <v>130131626.09244806</v>
      </c>
      <c r="P62" s="1351">
        <f t="shared" si="16"/>
        <v>130131626.09244806</v>
      </c>
      <c r="Q62" s="1351">
        <f t="shared" si="16"/>
        <v>130131626.09244806</v>
      </c>
      <c r="R62" s="1351">
        <f t="shared" si="16"/>
        <v>130131626.09244806</v>
      </c>
      <c r="S62" s="1351">
        <f t="shared" si="16"/>
        <v>130131626.09244806</v>
      </c>
      <c r="T62" s="1351">
        <f t="shared" si="16"/>
        <v>130131626.09244806</v>
      </c>
      <c r="U62" s="1351">
        <f t="shared" si="16"/>
        <v>130131626.09244806</v>
      </c>
      <c r="V62" s="1351">
        <f t="shared" si="16"/>
        <v>130131626.09244806</v>
      </c>
      <c r="W62" s="1351">
        <f t="shared" si="16"/>
        <v>130131626.09244806</v>
      </c>
      <c r="X62" s="1351">
        <f t="shared" si="16"/>
        <v>130131626.09244806</v>
      </c>
      <c r="Y62" s="1351">
        <f t="shared" si="16"/>
        <v>130131626.09244806</v>
      </c>
      <c r="Z62" s="1351">
        <f t="shared" si="16"/>
        <v>130131626.09244806</v>
      </c>
      <c r="AA62" s="1351">
        <f t="shared" si="16"/>
        <v>130131626.09244806</v>
      </c>
    </row>
    <row r="63" spans="2:27" ht="6.75" customHeight="1" outlineLevel="1" x14ac:dyDescent="0.25">
      <c r="B63" s="541"/>
      <c r="C63" s="542"/>
      <c r="D63" s="542"/>
      <c r="E63" s="210"/>
      <c r="F63" s="210"/>
      <c r="G63" s="1350"/>
      <c r="H63" s="1351"/>
      <c r="I63" s="1351"/>
      <c r="J63" s="1351"/>
      <c r="K63" s="1351"/>
      <c r="L63" s="1351"/>
      <c r="M63" s="1351"/>
      <c r="N63" s="1351"/>
      <c r="O63" s="1351"/>
      <c r="P63" s="1351"/>
      <c r="Q63" s="1351"/>
      <c r="R63" s="1351"/>
      <c r="S63" s="1351"/>
      <c r="T63" s="1351"/>
      <c r="U63" s="1351"/>
      <c r="V63" s="1351"/>
      <c r="W63" s="1351"/>
      <c r="X63" s="1351"/>
      <c r="Y63" s="1351"/>
      <c r="Z63" s="1351"/>
      <c r="AA63" s="1351"/>
    </row>
    <row r="64" spans="2:27" ht="17.25" customHeight="1" outlineLevel="1" x14ac:dyDescent="0.25">
      <c r="B64" s="541" t="s">
        <v>113</v>
      </c>
      <c r="C64" s="542"/>
      <c r="D64" s="542"/>
      <c r="E64" s="210"/>
      <c r="F64" s="210" t="s">
        <v>631</v>
      </c>
      <c r="G64" s="1350"/>
      <c r="H64" s="1351">
        <f>-H24</f>
        <v>-18248.175182481751</v>
      </c>
      <c r="I64" s="1351">
        <f t="shared" ref="I64:AA64" si="17">-I24</f>
        <v>-18613.138686131388</v>
      </c>
      <c r="J64" s="1351">
        <f t="shared" si="17"/>
        <v>-18985.401459854013</v>
      </c>
      <c r="K64" s="1351">
        <f t="shared" si="17"/>
        <v>-19365.109489051094</v>
      </c>
      <c r="L64" s="1351">
        <f t="shared" si="17"/>
        <v>-19752.411678832115</v>
      </c>
      <c r="M64" s="1351">
        <f t="shared" si="17"/>
        <v>-20147.459912408758</v>
      </c>
      <c r="N64" s="1351">
        <f t="shared" si="17"/>
        <v>-20550.409110656936</v>
      </c>
      <c r="O64" s="1351">
        <f t="shared" si="17"/>
        <v>-20961.417292870068</v>
      </c>
      <c r="P64" s="1351">
        <f t="shared" si="17"/>
        <v>-21380.645638727474</v>
      </c>
      <c r="Q64" s="1351">
        <f t="shared" si="17"/>
        <v>-21808.258551502022</v>
      </c>
      <c r="R64" s="1351">
        <f t="shared" si="17"/>
        <v>-22244.423722532065</v>
      </c>
      <c r="S64" s="1351">
        <f t="shared" si="17"/>
        <v>-22689.312196982701</v>
      </c>
      <c r="T64" s="1351">
        <f t="shared" si="17"/>
        <v>-23143.098440922357</v>
      </c>
      <c r="U64" s="1351">
        <f t="shared" si="17"/>
        <v>-23605.960409740805</v>
      </c>
      <c r="V64" s="1351">
        <f t="shared" si="17"/>
        <v>-24078.079617935622</v>
      </c>
      <c r="W64" s="1351">
        <f t="shared" si="17"/>
        <v>-24559.641210294329</v>
      </c>
      <c r="X64" s="1351">
        <f t="shared" si="17"/>
        <v>-25050.834034500218</v>
      </c>
      <c r="Y64" s="1351">
        <f t="shared" si="17"/>
        <v>-25551.850715190227</v>
      </c>
      <c r="Z64" s="1351">
        <f t="shared" si="17"/>
        <v>-26062.887729494028</v>
      </c>
      <c r="AA64" s="1351">
        <f t="shared" si="17"/>
        <v>-26584.145484083907</v>
      </c>
    </row>
    <row r="65" spans="2:27" ht="4.5" customHeight="1" outlineLevel="1" x14ac:dyDescent="0.25">
      <c r="B65" s="541"/>
      <c r="C65" s="542"/>
      <c r="D65" s="542"/>
      <c r="E65" s="210"/>
      <c r="F65" s="210"/>
      <c r="G65" s="1350"/>
      <c r="H65" s="1351"/>
      <c r="I65" s="1351"/>
      <c r="J65" s="1351"/>
      <c r="K65" s="1351"/>
      <c r="L65" s="1351"/>
      <c r="M65" s="1351"/>
      <c r="N65" s="1351"/>
      <c r="O65" s="1351"/>
      <c r="P65" s="1351"/>
      <c r="Q65" s="1351"/>
      <c r="R65" s="1351"/>
      <c r="S65" s="1351"/>
      <c r="T65" s="1351"/>
      <c r="U65" s="1351"/>
      <c r="V65" s="1351"/>
      <c r="W65" s="1351"/>
      <c r="X65" s="1351"/>
      <c r="Y65" s="1351"/>
      <c r="Z65" s="1351"/>
      <c r="AA65" s="1351"/>
    </row>
    <row r="66" spans="2:27" ht="17.25" customHeight="1" outlineLevel="1" x14ac:dyDescent="0.25">
      <c r="B66" s="554" t="s">
        <v>114</v>
      </c>
      <c r="C66" s="570"/>
      <c r="D66" s="570"/>
      <c r="E66" s="571"/>
      <c r="F66" s="571"/>
      <c r="G66" s="1352"/>
      <c r="H66" s="1353">
        <f>H62+H64</f>
        <v>130113377.91726558</v>
      </c>
      <c r="I66" s="1353">
        <f t="shared" ref="I66:AA66" si="18">I62+I64</f>
        <v>130113012.95376192</v>
      </c>
      <c r="J66" s="1353">
        <f t="shared" si="18"/>
        <v>130112640.6909882</v>
      </c>
      <c r="K66" s="1353">
        <f t="shared" si="18"/>
        <v>130112260.982959</v>
      </c>
      <c r="L66" s="1353">
        <f t="shared" si="18"/>
        <v>130111873.68076922</v>
      </c>
      <c r="M66" s="1353">
        <f t="shared" si="18"/>
        <v>130111478.63253565</v>
      </c>
      <c r="N66" s="1353">
        <f t="shared" si="18"/>
        <v>130111075.68333741</v>
      </c>
      <c r="O66" s="1353">
        <f t="shared" si="18"/>
        <v>130110664.67515519</v>
      </c>
      <c r="P66" s="1353">
        <f t="shared" si="18"/>
        <v>130110245.44680932</v>
      </c>
      <c r="Q66" s="1353">
        <f t="shared" si="18"/>
        <v>130109817.83389655</v>
      </c>
      <c r="R66" s="1353">
        <f t="shared" si="18"/>
        <v>130109381.66872552</v>
      </c>
      <c r="S66" s="1353">
        <f t="shared" si="18"/>
        <v>130108936.78025107</v>
      </c>
      <c r="T66" s="1353">
        <f t="shared" si="18"/>
        <v>130108482.99400714</v>
      </c>
      <c r="U66" s="1353">
        <f t="shared" si="18"/>
        <v>130108020.13203831</v>
      </c>
      <c r="V66" s="1353">
        <f t="shared" si="18"/>
        <v>130107548.01283012</v>
      </c>
      <c r="W66" s="1353">
        <f t="shared" si="18"/>
        <v>130107066.45123777</v>
      </c>
      <c r="X66" s="1353">
        <f t="shared" si="18"/>
        <v>130106575.25841355</v>
      </c>
      <c r="Y66" s="1353">
        <f t="shared" si="18"/>
        <v>130106074.24173287</v>
      </c>
      <c r="Z66" s="1353">
        <f t="shared" si="18"/>
        <v>130105563.20471856</v>
      </c>
      <c r="AA66" s="1353">
        <f t="shared" si="18"/>
        <v>130105041.94696397</v>
      </c>
    </row>
    <row r="67" spans="2:27" ht="7.5" customHeight="1" outlineLevel="1" x14ac:dyDescent="0.25">
      <c r="B67" s="541"/>
      <c r="C67" s="542"/>
      <c r="D67" s="542"/>
      <c r="E67" s="210"/>
      <c r="F67" s="210"/>
      <c r="G67" s="1350"/>
      <c r="H67" s="1351"/>
      <c r="I67" s="1351"/>
      <c r="J67" s="1351"/>
      <c r="K67" s="1351"/>
      <c r="L67" s="1351"/>
      <c r="M67" s="1351"/>
      <c r="N67" s="1351"/>
      <c r="O67" s="1351"/>
      <c r="P67" s="1351"/>
      <c r="Q67" s="1351"/>
      <c r="R67" s="1351"/>
      <c r="S67" s="1351"/>
      <c r="T67" s="1351"/>
      <c r="U67" s="1351"/>
      <c r="V67" s="1351"/>
      <c r="W67" s="1351"/>
      <c r="X67" s="1351"/>
      <c r="Y67" s="1351"/>
      <c r="Z67" s="1351"/>
      <c r="AA67" s="1351"/>
    </row>
    <row r="68" spans="2:27" ht="17.25" customHeight="1" outlineLevel="1" x14ac:dyDescent="0.25">
      <c r="B68" s="541" t="s">
        <v>115</v>
      </c>
      <c r="C68" s="542"/>
      <c r="D68" s="542"/>
      <c r="E68" s="210"/>
      <c r="F68" s="210"/>
      <c r="G68" s="1350"/>
      <c r="H68" s="1351">
        <f>-H26</f>
        <v>-41594744.525547437</v>
      </c>
      <c r="I68" s="1351">
        <f t="shared" ref="I68:AA68" si="19">-I26</f>
        <v>-41594744.525547437</v>
      </c>
      <c r="J68" s="1351">
        <f t="shared" si="19"/>
        <v>-41594744.525547437</v>
      </c>
      <c r="K68" s="1351">
        <f t="shared" si="19"/>
        <v>-41594744.525547437</v>
      </c>
      <c r="L68" s="1351">
        <f t="shared" si="19"/>
        <v>-41594744.525547437</v>
      </c>
      <c r="M68" s="1351">
        <f t="shared" si="19"/>
        <v>-41594744.525547437</v>
      </c>
      <c r="N68" s="1351">
        <f t="shared" si="19"/>
        <v>-41594744.525547437</v>
      </c>
      <c r="O68" s="1351">
        <f t="shared" si="19"/>
        <v>-41594744.525547437</v>
      </c>
      <c r="P68" s="1351">
        <f t="shared" si="19"/>
        <v>-41594744.525547437</v>
      </c>
      <c r="Q68" s="1351">
        <f t="shared" si="19"/>
        <v>-41594744.525547437</v>
      </c>
      <c r="R68" s="1351">
        <f t="shared" si="19"/>
        <v>-41594744.525547437</v>
      </c>
      <c r="S68" s="1351">
        <f t="shared" si="19"/>
        <v>-41594744.525547437</v>
      </c>
      <c r="T68" s="1351">
        <f t="shared" si="19"/>
        <v>-41594744.525547437</v>
      </c>
      <c r="U68" s="1351">
        <f t="shared" si="19"/>
        <v>-41594744.525547437</v>
      </c>
      <c r="V68" s="1351">
        <f t="shared" si="19"/>
        <v>-41594744.525547437</v>
      </c>
      <c r="W68" s="1351">
        <f t="shared" si="19"/>
        <v>-41594744.525547437</v>
      </c>
      <c r="X68" s="1351">
        <f t="shared" si="19"/>
        <v>-41594744.525547437</v>
      </c>
      <c r="Y68" s="1351">
        <f t="shared" si="19"/>
        <v>-41594744.525547437</v>
      </c>
      <c r="Z68" s="1351">
        <f t="shared" si="19"/>
        <v>-41594744.525547437</v>
      </c>
      <c r="AA68" s="1351">
        <f t="shared" si="19"/>
        <v>-41594744.525547437</v>
      </c>
    </row>
    <row r="69" spans="2:27" ht="9" customHeight="1" outlineLevel="1" x14ac:dyDescent="0.25">
      <c r="B69" s="541"/>
      <c r="C69" s="542"/>
      <c r="D69" s="542"/>
      <c r="E69" s="210"/>
      <c r="F69" s="210"/>
      <c r="G69" s="1350"/>
      <c r="H69" s="1351"/>
      <c r="I69" s="1351"/>
      <c r="J69" s="1351"/>
      <c r="K69" s="1351"/>
      <c r="L69" s="1351"/>
      <c r="M69" s="1351"/>
      <c r="N69" s="1351"/>
      <c r="O69" s="1351"/>
      <c r="P69" s="1351"/>
      <c r="Q69" s="1351"/>
      <c r="R69" s="1351"/>
      <c r="S69" s="1351"/>
      <c r="T69" s="1351"/>
      <c r="U69" s="1351"/>
      <c r="V69" s="1351"/>
      <c r="W69" s="1351"/>
      <c r="X69" s="1351"/>
      <c r="Y69" s="1351"/>
      <c r="Z69" s="1351"/>
      <c r="AA69" s="1351"/>
    </row>
    <row r="70" spans="2:27" ht="17.25" customHeight="1" outlineLevel="1" x14ac:dyDescent="0.25">
      <c r="B70" s="554" t="s">
        <v>116</v>
      </c>
      <c r="C70" s="570"/>
      <c r="D70" s="570"/>
      <c r="E70" s="571"/>
      <c r="F70" s="571"/>
      <c r="G70" s="1352"/>
      <c r="H70" s="1353">
        <f>H66+H68</f>
        <v>88518633.391718149</v>
      </c>
      <c r="I70" s="1353">
        <f t="shared" ref="I70:AA70" si="20">I66+I68</f>
        <v>88518268.42821449</v>
      </c>
      <c r="J70" s="1353">
        <f t="shared" si="20"/>
        <v>88517896.165440768</v>
      </c>
      <c r="K70" s="1353">
        <f t="shared" si="20"/>
        <v>88517516.457411557</v>
      </c>
      <c r="L70" s="1353">
        <f t="shared" si="20"/>
        <v>88517129.15522179</v>
      </c>
      <c r="M70" s="1353">
        <f t="shared" si="20"/>
        <v>88516734.106988221</v>
      </c>
      <c r="N70" s="1353">
        <f t="shared" si="20"/>
        <v>88516331.157789975</v>
      </c>
      <c r="O70" s="1353">
        <f t="shared" si="20"/>
        <v>88515920.149607748</v>
      </c>
      <c r="P70" s="1353">
        <f t="shared" si="20"/>
        <v>88515500.921261877</v>
      </c>
      <c r="Q70" s="1353">
        <f t="shared" si="20"/>
        <v>88515073.308349103</v>
      </c>
      <c r="R70" s="1353">
        <f t="shared" si="20"/>
        <v>88514637.143178076</v>
      </c>
      <c r="S70" s="1353">
        <f t="shared" si="20"/>
        <v>88514192.254703641</v>
      </c>
      <c r="T70" s="1353">
        <f t="shared" si="20"/>
        <v>88513738.468459696</v>
      </c>
      <c r="U70" s="1353">
        <f t="shared" si="20"/>
        <v>88513275.60649088</v>
      </c>
      <c r="V70" s="1353">
        <f t="shared" si="20"/>
        <v>88512803.487282693</v>
      </c>
      <c r="W70" s="1353">
        <f t="shared" si="20"/>
        <v>88512321.925690323</v>
      </c>
      <c r="X70" s="1353">
        <f t="shared" si="20"/>
        <v>88511830.732866108</v>
      </c>
      <c r="Y70" s="1353">
        <f t="shared" si="20"/>
        <v>88511329.716185421</v>
      </c>
      <c r="Z70" s="1353">
        <f t="shared" si="20"/>
        <v>88510818.679171115</v>
      </c>
      <c r="AA70" s="1353">
        <f t="shared" si="20"/>
        <v>88510297.421416521</v>
      </c>
    </row>
    <row r="71" spans="2:27" ht="6.75" customHeight="1" outlineLevel="1" x14ac:dyDescent="0.25">
      <c r="B71" s="541"/>
      <c r="C71" s="542"/>
      <c r="D71" s="542"/>
      <c r="E71" s="210"/>
      <c r="F71" s="210"/>
      <c r="G71" s="1350"/>
      <c r="H71" s="1351"/>
      <c r="I71" s="1351"/>
      <c r="J71" s="1351"/>
      <c r="K71" s="1351"/>
      <c r="L71" s="1351"/>
      <c r="M71" s="1351"/>
      <c r="N71" s="1351"/>
      <c r="O71" s="1351"/>
      <c r="P71" s="1351"/>
      <c r="Q71" s="1351"/>
      <c r="R71" s="1351"/>
      <c r="S71" s="1351"/>
      <c r="T71" s="1351"/>
      <c r="U71" s="1351"/>
      <c r="V71" s="1351"/>
      <c r="W71" s="1351"/>
      <c r="X71" s="1351"/>
      <c r="Y71" s="1351"/>
      <c r="Z71" s="1351"/>
      <c r="AA71" s="1351"/>
    </row>
    <row r="72" spans="2:27" ht="17.25" customHeight="1" outlineLevel="1" x14ac:dyDescent="0.25">
      <c r="B72" s="541" t="str">
        <f t="shared" ref="B72:B77" si="21">B28</f>
        <v xml:space="preserve">Interest Expense, public loan </v>
      </c>
      <c r="C72" s="542"/>
      <c r="D72" s="542"/>
      <c r="E72" s="210"/>
      <c r="F72" s="210"/>
      <c r="G72" s="1350"/>
      <c r="H72" s="1351">
        <f t="shared" ref="H72:H77" si="22">-H28</f>
        <v>0</v>
      </c>
      <c r="I72" s="1351">
        <f t="shared" ref="I72:AA72" si="23">-I28</f>
        <v>0</v>
      </c>
      <c r="J72" s="1351">
        <f t="shared" si="23"/>
        <v>0</v>
      </c>
      <c r="K72" s="1351">
        <f t="shared" si="23"/>
        <v>0</v>
      </c>
      <c r="L72" s="1351">
        <f t="shared" si="23"/>
        <v>0</v>
      </c>
      <c r="M72" s="1351">
        <f t="shared" si="23"/>
        <v>0</v>
      </c>
      <c r="N72" s="1351">
        <f t="shared" si="23"/>
        <v>0</v>
      </c>
      <c r="O72" s="1351">
        <f t="shared" si="23"/>
        <v>0</v>
      </c>
      <c r="P72" s="1351">
        <f t="shared" si="23"/>
        <v>0</v>
      </c>
      <c r="Q72" s="1351">
        <f t="shared" si="23"/>
        <v>0</v>
      </c>
      <c r="R72" s="1351">
        <f t="shared" si="23"/>
        <v>0</v>
      </c>
      <c r="S72" s="1351">
        <f t="shared" si="23"/>
        <v>0</v>
      </c>
      <c r="T72" s="1351">
        <f t="shared" si="23"/>
        <v>0</v>
      </c>
      <c r="U72" s="1351">
        <f t="shared" si="23"/>
        <v>0</v>
      </c>
      <c r="V72" s="1351">
        <f t="shared" si="23"/>
        <v>0</v>
      </c>
      <c r="W72" s="1351">
        <f t="shared" si="23"/>
        <v>0</v>
      </c>
      <c r="X72" s="1351">
        <f t="shared" si="23"/>
        <v>0</v>
      </c>
      <c r="Y72" s="1351">
        <f t="shared" si="23"/>
        <v>0</v>
      </c>
      <c r="Z72" s="1351">
        <f t="shared" si="23"/>
        <v>0</v>
      </c>
      <c r="AA72" s="1351">
        <f t="shared" si="23"/>
        <v>0</v>
      </c>
    </row>
    <row r="73" spans="2:27" ht="17.25" customHeight="1" outlineLevel="1" x14ac:dyDescent="0.25">
      <c r="B73" s="541" t="str">
        <f t="shared" si="21"/>
        <v>Interest Expense, commercial loan with public guarantees</v>
      </c>
      <c r="C73" s="542"/>
      <c r="D73" s="542"/>
      <c r="E73" s="210"/>
      <c r="F73" s="210"/>
      <c r="G73" s="1350"/>
      <c r="H73" s="1351">
        <f t="shared" si="22"/>
        <v>0</v>
      </c>
      <c r="I73" s="1351">
        <f t="shared" ref="I73:AA73" si="24">-I29</f>
        <v>0</v>
      </c>
      <c r="J73" s="1351">
        <f t="shared" si="24"/>
        <v>0</v>
      </c>
      <c r="K73" s="1351">
        <f t="shared" si="24"/>
        <v>0</v>
      </c>
      <c r="L73" s="1351">
        <f t="shared" si="24"/>
        <v>0</v>
      </c>
      <c r="M73" s="1351">
        <f t="shared" si="24"/>
        <v>0</v>
      </c>
      <c r="N73" s="1351">
        <f t="shared" si="24"/>
        <v>0</v>
      </c>
      <c r="O73" s="1351">
        <f t="shared" si="24"/>
        <v>0</v>
      </c>
      <c r="P73" s="1351">
        <f t="shared" si="24"/>
        <v>0</v>
      </c>
      <c r="Q73" s="1351">
        <f t="shared" si="24"/>
        <v>0</v>
      </c>
      <c r="R73" s="1351">
        <f t="shared" si="24"/>
        <v>0</v>
      </c>
      <c r="S73" s="1351">
        <f t="shared" si="24"/>
        <v>0</v>
      </c>
      <c r="T73" s="1351">
        <f t="shared" si="24"/>
        <v>0</v>
      </c>
      <c r="U73" s="1351">
        <f t="shared" si="24"/>
        <v>0</v>
      </c>
      <c r="V73" s="1351">
        <f t="shared" si="24"/>
        <v>0</v>
      </c>
      <c r="W73" s="1351">
        <f t="shared" si="24"/>
        <v>0</v>
      </c>
      <c r="X73" s="1351">
        <f t="shared" si="24"/>
        <v>0</v>
      </c>
      <c r="Y73" s="1351">
        <f t="shared" si="24"/>
        <v>0</v>
      </c>
      <c r="Z73" s="1351">
        <f t="shared" si="24"/>
        <v>0</v>
      </c>
      <c r="AA73" s="1351">
        <f t="shared" si="24"/>
        <v>0</v>
      </c>
    </row>
    <row r="74" spans="2:27" ht="17.25" customHeight="1" outlineLevel="1" x14ac:dyDescent="0.25">
      <c r="B74" s="541" t="str">
        <f t="shared" si="21"/>
        <v>Interest Expense, commercial loan without public guarantees</v>
      </c>
      <c r="C74" s="542"/>
      <c r="D74" s="542"/>
      <c r="E74" s="210"/>
      <c r="F74" s="210"/>
      <c r="G74" s="1350"/>
      <c r="H74" s="1351">
        <f t="shared" si="22"/>
        <v>-39843386.861313857</v>
      </c>
      <c r="I74" s="1351">
        <f t="shared" ref="I74:AA74" si="25">-I30</f>
        <v>-36890805.027188137</v>
      </c>
      <c r="J74" s="1351">
        <f t="shared" si="25"/>
        <v>-33746305.373844229</v>
      </c>
      <c r="K74" s="1351">
        <f t="shared" si="25"/>
        <v>-30397413.243032977</v>
      </c>
      <c r="L74" s="1351">
        <f t="shared" si="25"/>
        <v>-26830843.123718992</v>
      </c>
      <c r="M74" s="1351">
        <f t="shared" si="25"/>
        <v>-23032445.946649589</v>
      </c>
      <c r="N74" s="1351">
        <f t="shared" si="25"/>
        <v>-18987152.953070685</v>
      </c>
      <c r="O74" s="1351">
        <f t="shared" si="25"/>
        <v>-14678915.91490915</v>
      </c>
      <c r="P74" s="1351">
        <f t="shared" si="25"/>
        <v>-10090643.469267109</v>
      </c>
      <c r="Q74" s="1351">
        <f t="shared" si="25"/>
        <v>-5204133.3146583391</v>
      </c>
      <c r="R74" s="1351">
        <f t="shared" si="25"/>
        <v>0</v>
      </c>
      <c r="S74" s="1351">
        <f t="shared" si="25"/>
        <v>0</v>
      </c>
      <c r="T74" s="1351">
        <f t="shared" si="25"/>
        <v>0</v>
      </c>
      <c r="U74" s="1351">
        <f t="shared" si="25"/>
        <v>0</v>
      </c>
      <c r="V74" s="1351">
        <f t="shared" si="25"/>
        <v>0</v>
      </c>
      <c r="W74" s="1351">
        <f t="shared" si="25"/>
        <v>0</v>
      </c>
      <c r="X74" s="1351">
        <f t="shared" si="25"/>
        <v>0</v>
      </c>
      <c r="Y74" s="1351">
        <f t="shared" si="25"/>
        <v>0</v>
      </c>
      <c r="Z74" s="1351">
        <f t="shared" si="25"/>
        <v>0</v>
      </c>
      <c r="AA74" s="1351">
        <f t="shared" si="25"/>
        <v>0</v>
      </c>
    </row>
    <row r="75" spans="2:27" ht="17.25" customHeight="1" outlineLevel="1" x14ac:dyDescent="0.25">
      <c r="B75" s="541" t="str">
        <f t="shared" si="21"/>
        <v xml:space="preserve">Front-end Fees </v>
      </c>
      <c r="C75" s="542"/>
      <c r="D75" s="542"/>
      <c r="E75" s="210"/>
      <c r="F75" s="210"/>
      <c r="G75" s="1350"/>
      <c r="H75" s="1351">
        <f t="shared" si="22"/>
        <v>0</v>
      </c>
      <c r="I75" s="1351">
        <f t="shared" ref="I75:AA75" si="26">-I31</f>
        <v>0</v>
      </c>
      <c r="J75" s="1351">
        <f t="shared" si="26"/>
        <v>0</v>
      </c>
      <c r="K75" s="1351">
        <f t="shared" si="26"/>
        <v>0</v>
      </c>
      <c r="L75" s="1351">
        <f t="shared" si="26"/>
        <v>0</v>
      </c>
      <c r="M75" s="1351">
        <f t="shared" si="26"/>
        <v>0</v>
      </c>
      <c r="N75" s="1351">
        <f t="shared" si="26"/>
        <v>0</v>
      </c>
      <c r="O75" s="1351">
        <f t="shared" si="26"/>
        <v>0</v>
      </c>
      <c r="P75" s="1351">
        <f t="shared" si="26"/>
        <v>0</v>
      </c>
      <c r="Q75" s="1351">
        <f t="shared" si="26"/>
        <v>0</v>
      </c>
      <c r="R75" s="1351">
        <f t="shared" si="26"/>
        <v>0</v>
      </c>
      <c r="S75" s="1351">
        <f t="shared" si="26"/>
        <v>0</v>
      </c>
      <c r="T75" s="1351">
        <f t="shared" si="26"/>
        <v>0</v>
      </c>
      <c r="U75" s="1351">
        <f t="shared" si="26"/>
        <v>0</v>
      </c>
      <c r="V75" s="1351">
        <f t="shared" si="26"/>
        <v>0</v>
      </c>
      <c r="W75" s="1351">
        <f t="shared" si="26"/>
        <v>0</v>
      </c>
      <c r="X75" s="1351">
        <f t="shared" si="26"/>
        <v>0</v>
      </c>
      <c r="Y75" s="1351">
        <f t="shared" si="26"/>
        <v>0</v>
      </c>
      <c r="Z75" s="1351">
        <f t="shared" si="26"/>
        <v>0</v>
      </c>
      <c r="AA75" s="1351">
        <f t="shared" si="26"/>
        <v>0</v>
      </c>
    </row>
    <row r="76" spans="2:27" ht="17.25" customHeight="1" outlineLevel="1" x14ac:dyDescent="0.25">
      <c r="B76" s="541" t="str">
        <f t="shared" si="21"/>
        <v xml:space="preserve">Public Guarantee Fees </v>
      </c>
      <c r="C76" s="542"/>
      <c r="D76" s="542"/>
      <c r="E76" s="210"/>
      <c r="F76" s="210"/>
      <c r="G76" s="1350"/>
      <c r="H76" s="1351">
        <f t="shared" si="22"/>
        <v>0</v>
      </c>
      <c r="I76" s="1351">
        <f t="shared" ref="I76:AA76" si="27">-I32</f>
        <v>0</v>
      </c>
      <c r="J76" s="1351">
        <f t="shared" si="27"/>
        <v>0</v>
      </c>
      <c r="K76" s="1351">
        <f t="shared" si="27"/>
        <v>0</v>
      </c>
      <c r="L76" s="1351">
        <f t="shared" si="27"/>
        <v>0</v>
      </c>
      <c r="M76" s="1351">
        <f t="shared" si="27"/>
        <v>0</v>
      </c>
      <c r="N76" s="1351">
        <f t="shared" si="27"/>
        <v>0</v>
      </c>
      <c r="O76" s="1351">
        <f t="shared" si="27"/>
        <v>0</v>
      </c>
      <c r="P76" s="1351">
        <f t="shared" si="27"/>
        <v>0</v>
      </c>
      <c r="Q76" s="1351">
        <f t="shared" si="27"/>
        <v>0</v>
      </c>
      <c r="R76" s="1351">
        <f t="shared" si="27"/>
        <v>0</v>
      </c>
      <c r="S76" s="1351">
        <f t="shared" si="27"/>
        <v>0</v>
      </c>
      <c r="T76" s="1351">
        <f t="shared" si="27"/>
        <v>0</v>
      </c>
      <c r="U76" s="1351">
        <f t="shared" si="27"/>
        <v>0</v>
      </c>
      <c r="V76" s="1351">
        <f t="shared" si="27"/>
        <v>0</v>
      </c>
      <c r="W76" s="1351">
        <f t="shared" si="27"/>
        <v>0</v>
      </c>
      <c r="X76" s="1351">
        <f t="shared" si="27"/>
        <v>0</v>
      </c>
      <c r="Y76" s="1351">
        <f t="shared" si="27"/>
        <v>0</v>
      </c>
      <c r="Z76" s="1351">
        <f t="shared" si="27"/>
        <v>0</v>
      </c>
      <c r="AA76" s="1351">
        <f t="shared" si="27"/>
        <v>0</v>
      </c>
    </row>
    <row r="77" spans="2:27" ht="17.25" customHeight="1" outlineLevel="1" x14ac:dyDescent="0.25">
      <c r="B77" s="541" t="str">
        <f t="shared" si="21"/>
        <v>Political Risk Insurance - Fees &amp; Annual Premium Payments</v>
      </c>
      <c r="C77" s="542"/>
      <c r="D77" s="542"/>
      <c r="E77" s="210"/>
      <c r="F77" s="210"/>
      <c r="G77" s="1350"/>
      <c r="H77" s="1351">
        <f t="shared" si="22"/>
        <v>0</v>
      </c>
      <c r="I77" s="1351">
        <f t="shared" ref="I77:AA77" si="28">-I33</f>
        <v>0</v>
      </c>
      <c r="J77" s="1351">
        <f t="shared" si="28"/>
        <v>0</v>
      </c>
      <c r="K77" s="1351">
        <f t="shared" si="28"/>
        <v>0</v>
      </c>
      <c r="L77" s="1351">
        <f t="shared" si="28"/>
        <v>0</v>
      </c>
      <c r="M77" s="1351">
        <f t="shared" si="28"/>
        <v>0</v>
      </c>
      <c r="N77" s="1351">
        <f t="shared" si="28"/>
        <v>0</v>
      </c>
      <c r="O77" s="1351">
        <f t="shared" si="28"/>
        <v>0</v>
      </c>
      <c r="P77" s="1351">
        <f t="shared" si="28"/>
        <v>0</v>
      </c>
      <c r="Q77" s="1351">
        <f t="shared" si="28"/>
        <v>0</v>
      </c>
      <c r="R77" s="1351">
        <f t="shared" si="28"/>
        <v>0</v>
      </c>
      <c r="S77" s="1351">
        <f t="shared" si="28"/>
        <v>0</v>
      </c>
      <c r="T77" s="1351">
        <f t="shared" si="28"/>
        <v>0</v>
      </c>
      <c r="U77" s="1351">
        <f t="shared" si="28"/>
        <v>0</v>
      </c>
      <c r="V77" s="1351">
        <f t="shared" si="28"/>
        <v>0</v>
      </c>
      <c r="W77" s="1351">
        <f t="shared" si="28"/>
        <v>0</v>
      </c>
      <c r="X77" s="1351">
        <f t="shared" si="28"/>
        <v>0</v>
      </c>
      <c r="Y77" s="1351">
        <f t="shared" si="28"/>
        <v>0</v>
      </c>
      <c r="Z77" s="1351">
        <f t="shared" si="28"/>
        <v>0</v>
      </c>
      <c r="AA77" s="1351">
        <f t="shared" si="28"/>
        <v>0</v>
      </c>
    </row>
    <row r="78" spans="2:27" ht="9.75" customHeight="1" outlineLevel="1" x14ac:dyDescent="0.25">
      <c r="B78" s="541"/>
      <c r="C78" s="542"/>
      <c r="D78" s="542"/>
      <c r="E78" s="210"/>
      <c r="F78" s="210"/>
      <c r="G78" s="1350"/>
      <c r="H78" s="1351"/>
      <c r="I78" s="1351"/>
      <c r="J78" s="1351"/>
      <c r="K78" s="1351"/>
      <c r="L78" s="1351"/>
      <c r="M78" s="1351"/>
      <c r="N78" s="1351"/>
      <c r="O78" s="1351"/>
      <c r="P78" s="1351"/>
      <c r="Q78" s="1351"/>
      <c r="R78" s="1351"/>
      <c r="S78" s="1351"/>
      <c r="T78" s="1351"/>
      <c r="U78" s="1351"/>
      <c r="V78" s="1351"/>
      <c r="W78" s="1351"/>
      <c r="X78" s="1351"/>
      <c r="Y78" s="1351"/>
      <c r="Z78" s="1351"/>
      <c r="AA78" s="1351"/>
    </row>
    <row r="79" spans="2:27" ht="17.25" customHeight="1" outlineLevel="1" x14ac:dyDescent="0.25">
      <c r="B79" s="554" t="s">
        <v>117</v>
      </c>
      <c r="C79" s="570"/>
      <c r="D79" s="570"/>
      <c r="E79" s="571"/>
      <c r="F79" s="571"/>
      <c r="G79" s="1352"/>
      <c r="H79" s="1353">
        <f>H70+(SUM(H72:H77))</f>
        <v>48675246.530404292</v>
      </c>
      <c r="I79" s="1353">
        <f t="shared" ref="I79:AA79" si="29">I70+(SUM(I72:I77))</f>
        <v>51627463.401026353</v>
      </c>
      <c r="J79" s="1353">
        <f t="shared" si="29"/>
        <v>54771590.791596539</v>
      </c>
      <c r="K79" s="1353">
        <f t="shared" si="29"/>
        <v>58120103.21437858</v>
      </c>
      <c r="L79" s="1353">
        <f t="shared" si="29"/>
        <v>61686286.031502798</v>
      </c>
      <c r="M79" s="1353">
        <f t="shared" si="29"/>
        <v>65484288.160338633</v>
      </c>
      <c r="N79" s="1353">
        <f t="shared" si="29"/>
        <v>69529178.20471929</v>
      </c>
      <c r="O79" s="1353">
        <f t="shared" si="29"/>
        <v>73837004.234698594</v>
      </c>
      <c r="P79" s="1353">
        <f t="shared" si="29"/>
        <v>78424857.451994762</v>
      </c>
      <c r="Q79" s="1353">
        <f t="shared" si="29"/>
        <v>83310939.993690759</v>
      </c>
      <c r="R79" s="1353">
        <f t="shared" si="29"/>
        <v>88514637.143178076</v>
      </c>
      <c r="S79" s="1353">
        <f t="shared" si="29"/>
        <v>88514192.254703641</v>
      </c>
      <c r="T79" s="1353">
        <f t="shared" si="29"/>
        <v>88513738.468459696</v>
      </c>
      <c r="U79" s="1353">
        <f t="shared" si="29"/>
        <v>88513275.60649088</v>
      </c>
      <c r="V79" s="1353">
        <f t="shared" si="29"/>
        <v>88512803.487282693</v>
      </c>
      <c r="W79" s="1353">
        <f t="shared" si="29"/>
        <v>88512321.925690323</v>
      </c>
      <c r="X79" s="1353">
        <f t="shared" si="29"/>
        <v>88511830.732866108</v>
      </c>
      <c r="Y79" s="1353">
        <f t="shared" si="29"/>
        <v>88511329.716185421</v>
      </c>
      <c r="Z79" s="1353">
        <f t="shared" si="29"/>
        <v>88510818.679171115</v>
      </c>
      <c r="AA79" s="1353">
        <f t="shared" si="29"/>
        <v>88510297.421416521</v>
      </c>
    </row>
    <row r="80" spans="2:27" ht="6.75" customHeight="1" outlineLevel="1" x14ac:dyDescent="0.25">
      <c r="B80" s="541"/>
      <c r="C80" s="542"/>
      <c r="D80" s="542"/>
      <c r="E80" s="210"/>
      <c r="F80" s="210"/>
      <c r="G80" s="1350"/>
      <c r="H80" s="1351"/>
      <c r="I80" s="1351"/>
      <c r="J80" s="1351"/>
      <c r="K80" s="1351"/>
      <c r="L80" s="1351"/>
      <c r="M80" s="1351"/>
      <c r="N80" s="1351"/>
      <c r="O80" s="1351"/>
      <c r="P80" s="1351"/>
      <c r="Q80" s="1351"/>
      <c r="R80" s="1351"/>
      <c r="S80" s="1351"/>
      <c r="T80" s="1351"/>
      <c r="U80" s="1351"/>
      <c r="V80" s="1351"/>
      <c r="W80" s="1351"/>
      <c r="X80" s="1351"/>
      <c r="Y80" s="1351"/>
      <c r="Z80" s="1351"/>
      <c r="AA80" s="1351"/>
    </row>
    <row r="81" spans="2:27" ht="17.25" customHeight="1" outlineLevel="1" x14ac:dyDescent="0.25">
      <c r="B81" s="541" t="s">
        <v>118</v>
      </c>
      <c r="C81" s="542"/>
      <c r="D81" s="542"/>
      <c r="E81" s="210"/>
      <c r="F81" s="210"/>
      <c r="G81" s="1350"/>
      <c r="H81" s="1351">
        <f>IF(H79&lt;0,(-H79*'III. Inputs, Renewable Energy'!$U$17),(-'V. LCOE, Ren. En. Generation'!H79*'III. Inputs, Renewable Energy'!$U$17))</f>
        <v>-14602573.959121287</v>
      </c>
      <c r="I81" s="1351">
        <f>IF(I79&lt;0,(-I79*'III. Inputs, Renewable Energy'!$U$17),(-'V. LCOE, Ren. En. Generation'!I79*'III. Inputs, Renewable Energy'!$U$17))</f>
        <v>-15488239.020307906</v>
      </c>
      <c r="J81" s="1351">
        <f>IF(J79&lt;0,(-J79*'III. Inputs, Renewable Energy'!$U$17),(-'V. LCOE, Ren. En. Generation'!J79*'III. Inputs, Renewable Energy'!$U$17))</f>
        <v>-16431477.23747896</v>
      </c>
      <c r="K81" s="1351">
        <f>IF(K79&lt;0,(-K79*'III. Inputs, Renewable Energy'!$U$17),(-'V. LCOE, Ren. En. Generation'!K79*'III. Inputs, Renewable Energy'!$U$17))</f>
        <v>-17436030.964313574</v>
      </c>
      <c r="L81" s="1351">
        <f>IF(L79&lt;0,(-L79*'III. Inputs, Renewable Energy'!$U$17),(-'V. LCOE, Ren. En. Generation'!L79*'III. Inputs, Renewable Energy'!$U$17))</f>
        <v>-18505885.809450839</v>
      </c>
      <c r="M81" s="1351">
        <f>IF(M79&lt;0,(-M79*'III. Inputs, Renewable Energy'!$U$17),(-'V. LCOE, Ren. En. Generation'!M79*'III. Inputs, Renewable Energy'!$U$17))</f>
        <v>-19645286.448101588</v>
      </c>
      <c r="N81" s="1351">
        <f>IF(N79&lt;0,(-N79*'III. Inputs, Renewable Energy'!$U$17),(-'V. LCOE, Ren. En. Generation'!N79*'III. Inputs, Renewable Energy'!$U$17))</f>
        <v>-20858753.461415786</v>
      </c>
      <c r="O81" s="1351">
        <f>IF(O79&lt;0,(-O79*'III. Inputs, Renewable Energy'!$U$17),(-'V. LCOE, Ren. En. Generation'!O79*'III. Inputs, Renewable Energy'!$U$17))</f>
        <v>-22151101.270409577</v>
      </c>
      <c r="P81" s="1351">
        <f>IF(P79&lt;0,(-P79*'III. Inputs, Renewable Energy'!$U$17),(-'V. LCOE, Ren. En. Generation'!P79*'III. Inputs, Renewable Energy'!$U$17))</f>
        <v>-23527457.235598426</v>
      </c>
      <c r="Q81" s="1351">
        <f>IF(Q79&lt;0,(-Q79*'III. Inputs, Renewable Energy'!$U$17),(-'V. LCOE, Ren. En. Generation'!Q79*'III. Inputs, Renewable Energy'!$U$17))</f>
        <v>-24993281.998107228</v>
      </c>
      <c r="R81" s="1351">
        <f>IF(R79&lt;0,(-R79*'III. Inputs, Renewable Energy'!$U$17),(-'V. LCOE, Ren. En. Generation'!R79*'III. Inputs, Renewable Energy'!$U$17))</f>
        <v>-26554391.142953422</v>
      </c>
      <c r="S81" s="1351">
        <f>IF(S79&lt;0,(-S79*'III. Inputs, Renewable Energy'!$U$17),(-'V. LCOE, Ren. En. Generation'!S79*'III. Inputs, Renewable Energy'!$U$17))</f>
        <v>-26554257.676411092</v>
      </c>
      <c r="T81" s="1351">
        <f>IF(T79&lt;0,(-T79*'III. Inputs, Renewable Energy'!$U$17),(-'V. LCOE, Ren. En. Generation'!T79*'III. Inputs, Renewable Energy'!$U$17))</f>
        <v>-26554121.540537909</v>
      </c>
      <c r="U81" s="1351">
        <f>IF(U79&lt;0,(-U79*'III. Inputs, Renewable Energy'!$U$17),(-'V. LCOE, Ren. En. Generation'!U79*'III. Inputs, Renewable Energy'!$U$17))</f>
        <v>-26553982.681947265</v>
      </c>
      <c r="V81" s="1351">
        <f>IF(V79&lt;0,(-V79*'III. Inputs, Renewable Energy'!$U$17),(-'V. LCOE, Ren. En. Generation'!V79*'III. Inputs, Renewable Energy'!$U$17))</f>
        <v>-26553841.046184808</v>
      </c>
      <c r="W81" s="1351">
        <f>IF(W79&lt;0,(-W79*'III. Inputs, Renewable Energy'!$U$17),(-'V. LCOE, Ren. En. Generation'!W79*'III. Inputs, Renewable Energy'!$U$17))</f>
        <v>-26553696.577707097</v>
      </c>
      <c r="X81" s="1351">
        <f>IF(X79&lt;0,(-X79*'III. Inputs, Renewable Energy'!$U$17),(-'V. LCOE, Ren. En. Generation'!X79*'III. Inputs, Renewable Energy'!$U$17))</f>
        <v>-26553549.219859831</v>
      </c>
      <c r="Y81" s="1351">
        <f>IF(Y79&lt;0,(-Y79*'III. Inputs, Renewable Energy'!$U$17),(-'V. LCOE, Ren. En. Generation'!Y79*'III. Inputs, Renewable Energy'!$U$17))</f>
        <v>-26553398.914855625</v>
      </c>
      <c r="Z81" s="1351">
        <f>IF(Z79&lt;0,(-Z79*'III. Inputs, Renewable Energy'!$U$17),(-'V. LCOE, Ren. En. Generation'!Z79*'III. Inputs, Renewable Energy'!$U$17))</f>
        <v>-26553245.603751335</v>
      </c>
      <c r="AA81" s="1351">
        <f>IF(AA79&lt;0,(-AA79*'III. Inputs, Renewable Energy'!$U$17),(-'V. LCOE, Ren. En. Generation'!AA79*'III. Inputs, Renewable Energy'!$U$17))</f>
        <v>-26553089.226424955</v>
      </c>
    </row>
    <row r="82" spans="2:27" ht="6.75" customHeight="1" outlineLevel="1" x14ac:dyDescent="0.25">
      <c r="B82" s="555"/>
      <c r="C82" s="552"/>
      <c r="D82" s="552"/>
      <c r="E82" s="184"/>
      <c r="F82" s="184"/>
      <c r="G82" s="1354"/>
      <c r="H82" s="1355"/>
      <c r="I82" s="1355"/>
      <c r="J82" s="1355"/>
      <c r="K82" s="1355"/>
      <c r="L82" s="1355"/>
      <c r="M82" s="1355"/>
      <c r="N82" s="1355"/>
      <c r="O82" s="1355"/>
      <c r="P82" s="1355"/>
      <c r="Q82" s="1355"/>
      <c r="R82" s="1355"/>
      <c r="S82" s="1355"/>
      <c r="T82" s="1355"/>
      <c r="U82" s="1355"/>
      <c r="V82" s="1355"/>
      <c r="W82" s="1355"/>
      <c r="X82" s="1355"/>
      <c r="Y82" s="1355"/>
      <c r="Z82" s="1355"/>
      <c r="AA82" s="1355"/>
    </row>
    <row r="83" spans="2:27" ht="17.25" customHeight="1" outlineLevel="1" x14ac:dyDescent="0.25">
      <c r="B83" s="554" t="s">
        <v>119</v>
      </c>
      <c r="C83" s="570"/>
      <c r="D83" s="570"/>
      <c r="E83" s="571"/>
      <c r="F83" s="571"/>
      <c r="G83" s="1352"/>
      <c r="H83" s="1353">
        <f>H79+H81</f>
        <v>34072672.571283005</v>
      </c>
      <c r="I83" s="1353">
        <f t="shared" ref="I83:AA83" si="30">I79+I81</f>
        <v>36139224.380718447</v>
      </c>
      <c r="J83" s="1353">
        <f t="shared" si="30"/>
        <v>38340113.554117575</v>
      </c>
      <c r="K83" s="1353">
        <f t="shared" si="30"/>
        <v>40684072.250065006</v>
      </c>
      <c r="L83" s="1353">
        <f t="shared" si="30"/>
        <v>43180400.222051963</v>
      </c>
      <c r="M83" s="1353">
        <f t="shared" si="30"/>
        <v>45839001.712237045</v>
      </c>
      <c r="N83" s="1353">
        <f t="shared" si="30"/>
        <v>48670424.743303508</v>
      </c>
      <c r="O83" s="1353">
        <f t="shared" si="30"/>
        <v>51685902.964289017</v>
      </c>
      <c r="P83" s="1353">
        <f t="shared" si="30"/>
        <v>54897400.216396332</v>
      </c>
      <c r="Q83" s="1353">
        <f t="shared" si="30"/>
        <v>58317657.995583534</v>
      </c>
      <c r="R83" s="1353">
        <f t="shared" si="30"/>
        <v>61960246.00022465</v>
      </c>
      <c r="S83" s="1353">
        <f t="shared" si="30"/>
        <v>61959934.578292549</v>
      </c>
      <c r="T83" s="1353">
        <f t="shared" si="30"/>
        <v>61959616.927921787</v>
      </c>
      <c r="U83" s="1353">
        <f t="shared" si="30"/>
        <v>61959292.924543619</v>
      </c>
      <c r="V83" s="1353">
        <f t="shared" si="30"/>
        <v>61958962.441097885</v>
      </c>
      <c r="W83" s="1353">
        <f t="shared" si="30"/>
        <v>61958625.347983226</v>
      </c>
      <c r="X83" s="1353">
        <f t="shared" si="30"/>
        <v>61958281.513006277</v>
      </c>
      <c r="Y83" s="1353">
        <f t="shared" si="30"/>
        <v>61957930.801329792</v>
      </c>
      <c r="Z83" s="1353">
        <f t="shared" si="30"/>
        <v>61957573.075419784</v>
      </c>
      <c r="AA83" s="1353">
        <f t="shared" si="30"/>
        <v>61957208.194991566</v>
      </c>
    </row>
    <row r="84" spans="2:27" ht="17.25" customHeight="1" outlineLevel="1" x14ac:dyDescent="0.25">
      <c r="B84" s="541"/>
      <c r="C84" s="542"/>
      <c r="D84" s="542"/>
      <c r="E84" s="210"/>
      <c r="F84" s="210"/>
      <c r="G84" s="1350"/>
      <c r="H84" s="1351"/>
      <c r="I84" s="1351"/>
      <c r="J84" s="1351"/>
      <c r="K84" s="1351"/>
      <c r="L84" s="1351"/>
      <c r="M84" s="1351"/>
      <c r="N84" s="1351"/>
      <c r="O84" s="1351"/>
      <c r="P84" s="1351"/>
      <c r="Q84" s="1351"/>
      <c r="R84" s="1351"/>
      <c r="S84" s="1351"/>
      <c r="T84" s="1351"/>
      <c r="U84" s="1351"/>
      <c r="V84" s="1351"/>
      <c r="W84" s="1351"/>
      <c r="X84" s="1351"/>
      <c r="Y84" s="1351"/>
      <c r="Z84" s="1351"/>
      <c r="AA84" s="1351"/>
    </row>
    <row r="85" spans="2:27" ht="17.25" customHeight="1" outlineLevel="1" x14ac:dyDescent="0.25">
      <c r="B85" s="541" t="s">
        <v>120</v>
      </c>
      <c r="C85" s="542"/>
      <c r="D85" s="542"/>
      <c r="E85" s="210"/>
      <c r="F85" s="210" t="s">
        <v>631</v>
      </c>
      <c r="G85" s="1320">
        <f>-('III. Inputs, Renewable Energy'!$U$14*'III. Inputs, Renewable Energy'!$U$15)</f>
        <v>-875678832.11678815</v>
      </c>
      <c r="H85" s="1351"/>
      <c r="I85" s="1351"/>
      <c r="J85" s="1351"/>
      <c r="K85" s="1351"/>
      <c r="L85" s="1351"/>
      <c r="M85" s="1351"/>
      <c r="N85" s="1351"/>
      <c r="O85" s="1351"/>
      <c r="P85" s="1351"/>
      <c r="Q85" s="1351"/>
      <c r="R85" s="1351"/>
      <c r="S85" s="1351"/>
      <c r="T85" s="1351"/>
      <c r="U85" s="1351"/>
      <c r="V85" s="1351"/>
      <c r="W85" s="1351"/>
      <c r="X85" s="1351"/>
      <c r="Y85" s="1351"/>
      <c r="Z85" s="1351"/>
      <c r="AA85" s="1351"/>
    </row>
    <row r="86" spans="2:27" ht="17.25" customHeight="1" outlineLevel="1" x14ac:dyDescent="0.25">
      <c r="B86" s="555" t="s">
        <v>121</v>
      </c>
      <c r="C86" s="552"/>
      <c r="D86" s="552"/>
      <c r="E86" s="184"/>
      <c r="F86" s="184" t="s">
        <v>631</v>
      </c>
      <c r="G86" s="1324">
        <f>('III. Inputs, Renewable Energy'!U14*'III. Inputs, Renewable Energy'!$U$15*'III. Inputs, Renewable Energy'!$S$28)</f>
        <v>612975182.48175168</v>
      </c>
      <c r="H86" s="1355"/>
      <c r="I86" s="1355"/>
      <c r="J86" s="1355"/>
      <c r="K86" s="1355"/>
      <c r="L86" s="1355"/>
      <c r="M86" s="1355"/>
      <c r="N86" s="1355"/>
      <c r="O86" s="1355"/>
      <c r="P86" s="1355"/>
      <c r="Q86" s="1355"/>
      <c r="R86" s="1355"/>
      <c r="S86" s="1355"/>
      <c r="T86" s="1355"/>
      <c r="U86" s="1355"/>
      <c r="V86" s="1355"/>
      <c r="W86" s="1355"/>
      <c r="X86" s="1355"/>
      <c r="Y86" s="1355"/>
      <c r="Z86" s="1355"/>
      <c r="AA86" s="1355"/>
    </row>
    <row r="87" spans="2:27" ht="17.25" customHeight="1" outlineLevel="1" x14ac:dyDescent="0.25">
      <c r="B87" s="541" t="s">
        <v>122</v>
      </c>
      <c r="C87" s="542"/>
      <c r="D87" s="542"/>
      <c r="E87" s="210"/>
      <c r="F87" s="210" t="s">
        <v>631</v>
      </c>
      <c r="G87" s="1320">
        <f>G85+G86</f>
        <v>-262703649.63503647</v>
      </c>
      <c r="H87" s="1320"/>
      <c r="I87" s="1320"/>
      <c r="J87" s="1320"/>
      <c r="K87" s="1320"/>
      <c r="L87" s="1320"/>
      <c r="M87" s="1320"/>
      <c r="N87" s="1320"/>
      <c r="O87" s="1320"/>
      <c r="P87" s="1320"/>
      <c r="Q87" s="1320"/>
      <c r="R87" s="1320"/>
      <c r="S87" s="1320"/>
      <c r="T87" s="1320"/>
      <c r="U87" s="1320"/>
      <c r="V87" s="1320"/>
      <c r="W87" s="1320"/>
      <c r="X87" s="1320"/>
      <c r="Y87" s="1320"/>
      <c r="Z87" s="1320"/>
      <c r="AA87" s="1320"/>
    </row>
    <row r="88" spans="2:27" ht="10.5" customHeight="1" outlineLevel="1" x14ac:dyDescent="0.25">
      <c r="B88" s="541"/>
      <c r="C88" s="542"/>
      <c r="D88" s="542"/>
      <c r="E88" s="210"/>
      <c r="F88" s="210"/>
      <c r="G88" s="1320"/>
      <c r="H88" s="1320"/>
      <c r="I88" s="1320"/>
      <c r="J88" s="1320"/>
      <c r="K88" s="1320"/>
      <c r="L88" s="1320"/>
      <c r="M88" s="1320"/>
      <c r="N88" s="1320"/>
      <c r="O88" s="1320"/>
      <c r="P88" s="1320"/>
      <c r="Q88" s="1320"/>
      <c r="R88" s="1320"/>
      <c r="S88" s="1320"/>
      <c r="T88" s="1320"/>
      <c r="U88" s="1320"/>
      <c r="V88" s="1320"/>
      <c r="W88" s="1320"/>
      <c r="X88" s="1320"/>
      <c r="Y88" s="1320"/>
      <c r="Z88" s="1320"/>
      <c r="AA88" s="1320"/>
    </row>
    <row r="89" spans="2:27" ht="6.75" customHeight="1" outlineLevel="1" x14ac:dyDescent="0.25">
      <c r="B89" s="541"/>
      <c r="C89" s="542"/>
      <c r="D89" s="542"/>
      <c r="E89" s="210"/>
      <c r="F89" s="210"/>
      <c r="G89" s="1320"/>
      <c r="H89" s="1320"/>
      <c r="I89" s="1320"/>
      <c r="J89" s="1320"/>
      <c r="K89" s="1320"/>
      <c r="L89" s="1320"/>
      <c r="M89" s="1320"/>
      <c r="N89" s="1320"/>
      <c r="O89" s="1320"/>
      <c r="P89" s="1320"/>
      <c r="Q89" s="1320"/>
      <c r="R89" s="1320"/>
      <c r="S89" s="1320"/>
      <c r="T89" s="1320"/>
      <c r="U89" s="1320"/>
      <c r="V89" s="1320"/>
      <c r="W89" s="1320"/>
      <c r="X89" s="1320"/>
      <c r="Y89" s="1320"/>
      <c r="Z89" s="1320"/>
      <c r="AA89" s="1320"/>
    </row>
    <row r="90" spans="2:27" ht="17.25" customHeight="1" outlineLevel="1" x14ac:dyDescent="0.25">
      <c r="B90" s="541" t="s">
        <v>123</v>
      </c>
      <c r="C90" s="542"/>
      <c r="D90" s="542"/>
      <c r="E90" s="210"/>
      <c r="F90" s="210"/>
      <c r="G90" s="1320"/>
      <c r="H90" s="1320">
        <f>H83</f>
        <v>34072672.571283005</v>
      </c>
      <c r="I90" s="1320">
        <f t="shared" ref="I90:AA90" si="31">I83</f>
        <v>36139224.380718447</v>
      </c>
      <c r="J90" s="1320">
        <f t="shared" si="31"/>
        <v>38340113.554117575</v>
      </c>
      <c r="K90" s="1320">
        <f t="shared" si="31"/>
        <v>40684072.250065006</v>
      </c>
      <c r="L90" s="1320">
        <f t="shared" si="31"/>
        <v>43180400.222051963</v>
      </c>
      <c r="M90" s="1320">
        <f t="shared" si="31"/>
        <v>45839001.712237045</v>
      </c>
      <c r="N90" s="1320">
        <f t="shared" si="31"/>
        <v>48670424.743303508</v>
      </c>
      <c r="O90" s="1320">
        <f t="shared" si="31"/>
        <v>51685902.964289017</v>
      </c>
      <c r="P90" s="1320">
        <f t="shared" si="31"/>
        <v>54897400.216396332</v>
      </c>
      <c r="Q90" s="1320">
        <f t="shared" si="31"/>
        <v>58317657.995583534</v>
      </c>
      <c r="R90" s="1320">
        <f t="shared" si="31"/>
        <v>61960246.00022465</v>
      </c>
      <c r="S90" s="1320">
        <f t="shared" si="31"/>
        <v>61959934.578292549</v>
      </c>
      <c r="T90" s="1320">
        <f t="shared" si="31"/>
        <v>61959616.927921787</v>
      </c>
      <c r="U90" s="1320">
        <f t="shared" si="31"/>
        <v>61959292.924543619</v>
      </c>
      <c r="V90" s="1320">
        <f t="shared" si="31"/>
        <v>61958962.441097885</v>
      </c>
      <c r="W90" s="1320">
        <f t="shared" si="31"/>
        <v>61958625.347983226</v>
      </c>
      <c r="X90" s="1320">
        <f t="shared" si="31"/>
        <v>61958281.513006277</v>
      </c>
      <c r="Y90" s="1320">
        <f t="shared" si="31"/>
        <v>61957930.801329792</v>
      </c>
      <c r="Z90" s="1320">
        <f t="shared" si="31"/>
        <v>61957573.075419784</v>
      </c>
      <c r="AA90" s="1320">
        <f t="shared" si="31"/>
        <v>61957208.194991566</v>
      </c>
    </row>
    <row r="91" spans="2:27" ht="17.25" customHeight="1" outlineLevel="1" x14ac:dyDescent="0.25">
      <c r="B91" s="541" t="s">
        <v>124</v>
      </c>
      <c r="C91" s="542"/>
      <c r="D91" s="542"/>
      <c r="E91" s="210"/>
      <c r="F91" s="210" t="s">
        <v>631</v>
      </c>
      <c r="G91" s="1320"/>
      <c r="H91" s="1320">
        <f t="shared" ref="H91:AA91" si="32">-H68</f>
        <v>41594744.525547437</v>
      </c>
      <c r="I91" s="1320">
        <f t="shared" si="32"/>
        <v>41594744.525547437</v>
      </c>
      <c r="J91" s="1320">
        <f t="shared" si="32"/>
        <v>41594744.525547437</v>
      </c>
      <c r="K91" s="1320">
        <f t="shared" si="32"/>
        <v>41594744.525547437</v>
      </c>
      <c r="L91" s="1320">
        <f t="shared" si="32"/>
        <v>41594744.525547437</v>
      </c>
      <c r="M91" s="1320">
        <f t="shared" si="32"/>
        <v>41594744.525547437</v>
      </c>
      <c r="N91" s="1320">
        <f t="shared" si="32"/>
        <v>41594744.525547437</v>
      </c>
      <c r="O91" s="1320">
        <f t="shared" si="32"/>
        <v>41594744.525547437</v>
      </c>
      <c r="P91" s="1320">
        <f t="shared" si="32"/>
        <v>41594744.525547437</v>
      </c>
      <c r="Q91" s="1320">
        <f t="shared" si="32"/>
        <v>41594744.525547437</v>
      </c>
      <c r="R91" s="1320">
        <f t="shared" si="32"/>
        <v>41594744.525547437</v>
      </c>
      <c r="S91" s="1320">
        <f t="shared" si="32"/>
        <v>41594744.525547437</v>
      </c>
      <c r="T91" s="1320">
        <f t="shared" si="32"/>
        <v>41594744.525547437</v>
      </c>
      <c r="U91" s="1320">
        <f t="shared" si="32"/>
        <v>41594744.525547437</v>
      </c>
      <c r="V91" s="1320">
        <f t="shared" si="32"/>
        <v>41594744.525547437</v>
      </c>
      <c r="W91" s="1320">
        <f t="shared" si="32"/>
        <v>41594744.525547437</v>
      </c>
      <c r="X91" s="1320">
        <f t="shared" si="32"/>
        <v>41594744.525547437</v>
      </c>
      <c r="Y91" s="1320">
        <f t="shared" si="32"/>
        <v>41594744.525547437</v>
      </c>
      <c r="Z91" s="1320">
        <f t="shared" si="32"/>
        <v>41594744.525547437</v>
      </c>
      <c r="AA91" s="1320">
        <f t="shared" si="32"/>
        <v>41594744.525547437</v>
      </c>
    </row>
    <row r="92" spans="2:27" ht="17.25" customHeight="1" outlineLevel="1" x14ac:dyDescent="0.25">
      <c r="B92" s="541"/>
      <c r="C92" s="542"/>
      <c r="D92" s="542"/>
      <c r="E92" s="210"/>
      <c r="F92" s="210"/>
      <c r="G92" s="1320"/>
      <c r="H92" s="1320"/>
      <c r="I92" s="1320"/>
      <c r="J92" s="1320"/>
      <c r="K92" s="1320"/>
      <c r="L92" s="1320"/>
      <c r="M92" s="1320"/>
      <c r="N92" s="1320"/>
      <c r="O92" s="1320"/>
      <c r="P92" s="1320"/>
      <c r="Q92" s="1320"/>
      <c r="R92" s="1320"/>
      <c r="S92" s="1320"/>
      <c r="T92" s="1320"/>
      <c r="U92" s="1320"/>
      <c r="V92" s="1320"/>
      <c r="W92" s="1320"/>
      <c r="X92" s="1320"/>
      <c r="Y92" s="1320"/>
      <c r="Z92" s="1320"/>
      <c r="AA92" s="1320"/>
    </row>
    <row r="93" spans="2:27" ht="17.25" customHeight="1" outlineLevel="1" x14ac:dyDescent="0.25">
      <c r="B93" s="541" t="s">
        <v>125</v>
      </c>
      <c r="C93" s="542"/>
      <c r="D93" s="542"/>
      <c r="E93" s="210"/>
      <c r="F93" s="210" t="s">
        <v>631</v>
      </c>
      <c r="G93" s="1320"/>
      <c r="H93" s="1320"/>
      <c r="I93" s="1320"/>
      <c r="J93" s="1320"/>
      <c r="K93" s="1320"/>
      <c r="L93" s="1320"/>
      <c r="M93" s="1320"/>
      <c r="N93" s="1320"/>
      <c r="O93" s="1320"/>
      <c r="P93" s="1320"/>
      <c r="Q93" s="1320"/>
      <c r="R93" s="1320"/>
      <c r="S93" s="1320"/>
      <c r="T93" s="1320"/>
      <c r="U93" s="1320"/>
      <c r="V93" s="1320"/>
      <c r="W93" s="1320"/>
      <c r="X93" s="1320"/>
      <c r="Y93" s="1320"/>
      <c r="Z93" s="1320"/>
      <c r="AA93" s="1320"/>
    </row>
    <row r="94" spans="2:27" ht="17.25" customHeight="1" outlineLevel="1" x14ac:dyDescent="0.25">
      <c r="B94" s="541" t="s">
        <v>126</v>
      </c>
      <c r="C94" s="542"/>
      <c r="D94" s="542"/>
      <c r="E94" s="210"/>
      <c r="F94" s="210" t="s">
        <v>631</v>
      </c>
      <c r="G94" s="1320"/>
      <c r="H94" s="1320"/>
      <c r="I94" s="1320"/>
      <c r="J94" s="1320"/>
      <c r="K94" s="1320"/>
      <c r="L94" s="1320"/>
      <c r="M94" s="1320"/>
      <c r="N94" s="1320"/>
      <c r="O94" s="1320"/>
      <c r="P94" s="1320"/>
      <c r="Q94" s="1320"/>
      <c r="R94" s="1320"/>
      <c r="S94" s="1320"/>
      <c r="T94" s="1320"/>
      <c r="U94" s="1320"/>
      <c r="V94" s="1320"/>
      <c r="W94" s="1320"/>
      <c r="X94" s="1320"/>
      <c r="Y94" s="1320"/>
      <c r="Z94" s="1320"/>
      <c r="AA94" s="1320"/>
    </row>
    <row r="95" spans="2:27" ht="17.25" customHeight="1" outlineLevel="1" x14ac:dyDescent="0.25">
      <c r="B95" s="541" t="s">
        <v>127</v>
      </c>
      <c r="C95" s="542"/>
      <c r="D95" s="542"/>
      <c r="E95" s="210"/>
      <c r="F95" s="210" t="s">
        <v>631</v>
      </c>
      <c r="G95" s="1320"/>
      <c r="H95" s="1320">
        <f>-(H207+H228+H249)</f>
        <v>-45424335.909626611</v>
      </c>
      <c r="I95" s="1320">
        <f t="shared" ref="I95:AA95" si="33">-(I207+I228+I249)</f>
        <v>-48376917.743752338</v>
      </c>
      <c r="J95" s="1320">
        <f t="shared" si="33"/>
        <v>-51521417.397096246</v>
      </c>
      <c r="K95" s="1320">
        <f t="shared" si="33"/>
        <v>-54870309.527907506</v>
      </c>
      <c r="L95" s="1320">
        <f t="shared" si="33"/>
        <v>-58436879.647221483</v>
      </c>
      <c r="M95" s="1320">
        <f t="shared" si="33"/>
        <v>-62235276.824290879</v>
      </c>
      <c r="N95" s="1320">
        <f t="shared" si="33"/>
        <v>-66280569.817869797</v>
      </c>
      <c r="O95" s="1320">
        <f t="shared" si="33"/>
        <v>-70588806.856031328</v>
      </c>
      <c r="P95" s="1320">
        <f t="shared" si="33"/>
        <v>-75177079.301673368</v>
      </c>
      <c r="Q95" s="1320">
        <f t="shared" si="33"/>
        <v>-80063589.456282139</v>
      </c>
      <c r="R95" s="1320">
        <f t="shared" si="33"/>
        <v>0</v>
      </c>
      <c r="S95" s="1320">
        <f t="shared" si="33"/>
        <v>0</v>
      </c>
      <c r="T95" s="1320">
        <f t="shared" si="33"/>
        <v>0</v>
      </c>
      <c r="U95" s="1320">
        <f t="shared" si="33"/>
        <v>0</v>
      </c>
      <c r="V95" s="1320">
        <f t="shared" si="33"/>
        <v>0</v>
      </c>
      <c r="W95" s="1320">
        <f t="shared" si="33"/>
        <v>0</v>
      </c>
      <c r="X95" s="1320">
        <f t="shared" si="33"/>
        <v>0</v>
      </c>
      <c r="Y95" s="1320">
        <f t="shared" si="33"/>
        <v>0</v>
      </c>
      <c r="Z95" s="1320">
        <f t="shared" si="33"/>
        <v>0</v>
      </c>
      <c r="AA95" s="1320">
        <f t="shared" si="33"/>
        <v>0</v>
      </c>
    </row>
    <row r="96" spans="2:27" ht="17.25" customHeight="1" outlineLevel="1" x14ac:dyDescent="0.25">
      <c r="B96" s="555" t="s">
        <v>128</v>
      </c>
      <c r="C96" s="552"/>
      <c r="D96" s="552"/>
      <c r="E96" s="184"/>
      <c r="F96" s="184" t="s">
        <v>631</v>
      </c>
      <c r="G96" s="1324"/>
      <c r="H96" s="1324"/>
      <c r="I96" s="1324"/>
      <c r="J96" s="1324"/>
      <c r="K96" s="1324"/>
      <c r="L96" s="1324"/>
      <c r="M96" s="1324"/>
      <c r="N96" s="1324"/>
      <c r="O96" s="1324"/>
      <c r="P96" s="1324"/>
      <c r="Q96" s="1324"/>
      <c r="R96" s="1324"/>
      <c r="S96" s="1324"/>
      <c r="T96" s="1324"/>
      <c r="U96" s="1324"/>
      <c r="V96" s="1324"/>
      <c r="W96" s="1324"/>
      <c r="X96" s="1324"/>
      <c r="Y96" s="1324"/>
      <c r="Z96" s="1324"/>
      <c r="AA96" s="1324"/>
    </row>
    <row r="97" spans="1:27" ht="17.25" customHeight="1" outlineLevel="1" x14ac:dyDescent="0.25">
      <c r="B97" s="541" t="s">
        <v>129</v>
      </c>
      <c r="C97" s="542"/>
      <c r="D97" s="542"/>
      <c r="E97" s="210"/>
      <c r="F97" s="210" t="s">
        <v>631</v>
      </c>
      <c r="G97" s="1320">
        <f>G87</f>
        <v>-262703649.63503647</v>
      </c>
      <c r="H97" s="1320">
        <f>H90+H91+H95</f>
        <v>30243081.187203832</v>
      </c>
      <c r="I97" s="1320">
        <f t="shared" ref="I97:AA97" si="34">I90+I91+I95</f>
        <v>29357051.162513547</v>
      </c>
      <c r="J97" s="1320">
        <f t="shared" si="34"/>
        <v>28413440.682568759</v>
      </c>
      <c r="K97" s="1320">
        <f t="shared" si="34"/>
        <v>27408507.247704938</v>
      </c>
      <c r="L97" s="1320">
        <f t="shared" si="34"/>
        <v>26338265.10037791</v>
      </c>
      <c r="M97" s="1320">
        <f t="shared" si="34"/>
        <v>25198469.413493596</v>
      </c>
      <c r="N97" s="1320">
        <f t="shared" si="34"/>
        <v>23984599.450981155</v>
      </c>
      <c r="O97" s="1320">
        <f t="shared" si="34"/>
        <v>22691840.633805126</v>
      </c>
      <c r="P97" s="1320">
        <f t="shared" si="34"/>
        <v>21315065.440270409</v>
      </c>
      <c r="Q97" s="1320">
        <f t="shared" si="34"/>
        <v>19848813.06484884</v>
      </c>
      <c r="R97" s="1320">
        <f t="shared" si="34"/>
        <v>103554990.52577209</v>
      </c>
      <c r="S97" s="1320">
        <f t="shared" si="34"/>
        <v>103554679.10383999</v>
      </c>
      <c r="T97" s="1320">
        <f t="shared" si="34"/>
        <v>103554361.45346922</v>
      </c>
      <c r="U97" s="1320">
        <f t="shared" si="34"/>
        <v>103554037.45009106</v>
      </c>
      <c r="V97" s="1320">
        <f t="shared" si="34"/>
        <v>103553706.96664533</v>
      </c>
      <c r="W97" s="1320">
        <f t="shared" si="34"/>
        <v>103553369.87353066</v>
      </c>
      <c r="X97" s="1320">
        <f t="shared" si="34"/>
        <v>103553026.03855371</v>
      </c>
      <c r="Y97" s="1320">
        <f t="shared" si="34"/>
        <v>103552675.32687724</v>
      </c>
      <c r="Z97" s="1320">
        <f t="shared" si="34"/>
        <v>103552317.60096723</v>
      </c>
      <c r="AA97" s="1320">
        <f t="shared" si="34"/>
        <v>103551952.720539</v>
      </c>
    </row>
    <row r="98" spans="1:27" ht="7.5" customHeight="1" outlineLevel="1" x14ac:dyDescent="0.25">
      <c r="B98" s="541"/>
      <c r="C98" s="542"/>
      <c r="D98" s="542"/>
      <c r="E98" s="210"/>
      <c r="F98" s="210"/>
      <c r="G98" s="542"/>
      <c r="H98" s="542"/>
      <c r="I98" s="542"/>
      <c r="J98" s="542"/>
      <c r="K98" s="542"/>
      <c r="L98" s="542"/>
      <c r="M98" s="542"/>
      <c r="N98" s="542"/>
      <c r="O98" s="542"/>
      <c r="P98" s="542"/>
      <c r="Q98" s="542"/>
      <c r="R98" s="542"/>
      <c r="S98" s="542"/>
      <c r="T98" s="542"/>
      <c r="U98" s="542"/>
      <c r="V98" s="542"/>
      <c r="W98" s="542"/>
      <c r="X98" s="542"/>
      <c r="Y98" s="542"/>
      <c r="Z98" s="542"/>
      <c r="AA98" s="542"/>
    </row>
    <row r="99" spans="1:27" ht="17.25" customHeight="1" outlineLevel="1" x14ac:dyDescent="0.25">
      <c r="B99" s="541" t="s">
        <v>130</v>
      </c>
      <c r="C99" s="542"/>
      <c r="D99" s="542"/>
      <c r="E99" s="542"/>
      <c r="F99" s="542"/>
      <c r="G99" s="1320">
        <f>NPV($G$46,G97:AA97)</f>
        <v>1.4010330905085025E-7</v>
      </c>
      <c r="H99" s="542"/>
      <c r="I99" s="542"/>
      <c r="J99" s="542"/>
      <c r="K99" s="542"/>
      <c r="L99" s="542"/>
      <c r="M99" s="542"/>
      <c r="N99" s="542"/>
      <c r="O99" s="542"/>
      <c r="P99" s="542"/>
      <c r="Q99" s="542"/>
      <c r="R99" s="542"/>
      <c r="S99" s="542"/>
      <c r="T99" s="542"/>
      <c r="U99" s="542"/>
      <c r="V99" s="542"/>
      <c r="W99" s="542"/>
      <c r="X99" s="542"/>
      <c r="Y99" s="542"/>
      <c r="Z99" s="542"/>
      <c r="AA99" s="542"/>
    </row>
    <row r="100" spans="1:27" ht="17.25" customHeight="1" outlineLevel="1" thickBot="1" x14ac:dyDescent="0.3">
      <c r="B100" s="572"/>
      <c r="C100" s="564"/>
      <c r="D100" s="564"/>
      <c r="E100" s="564"/>
      <c r="F100" s="564"/>
      <c r="G100" s="564"/>
      <c r="H100" s="564"/>
      <c r="I100" s="564"/>
      <c r="J100" s="564"/>
      <c r="K100" s="564"/>
      <c r="L100" s="564"/>
      <c r="M100" s="564"/>
      <c r="N100" s="564"/>
      <c r="O100" s="564"/>
      <c r="P100" s="564"/>
      <c r="Q100" s="564"/>
      <c r="R100" s="564"/>
      <c r="S100" s="564"/>
      <c r="T100" s="564"/>
      <c r="U100" s="564"/>
      <c r="V100" s="564"/>
      <c r="W100" s="564"/>
      <c r="X100" s="564"/>
      <c r="Y100" s="564"/>
      <c r="Z100" s="564"/>
      <c r="AA100" s="564"/>
    </row>
    <row r="101" spans="1:27" ht="17.25" customHeight="1" x14ac:dyDescent="0.25"/>
    <row r="102" spans="1:27" s="8" customFormat="1" ht="12.75" customHeight="1" x14ac:dyDescent="0.25">
      <c r="A102" s="44" t="s">
        <v>502</v>
      </c>
      <c r="B102" s="44"/>
      <c r="C102" s="44"/>
      <c r="D102" s="44"/>
      <c r="E102" s="44"/>
      <c r="F102" s="44"/>
      <c r="G102" s="44"/>
      <c r="H102" s="44"/>
      <c r="I102" s="44"/>
      <c r="J102" s="45"/>
      <c r="K102" s="46"/>
      <c r="L102" s="46"/>
      <c r="M102" s="46"/>
      <c r="N102" s="46"/>
      <c r="O102" s="46"/>
      <c r="P102" s="46"/>
      <c r="Q102" s="46"/>
      <c r="R102" s="46"/>
      <c r="S102" s="46"/>
      <c r="T102" s="46"/>
      <c r="U102" s="46"/>
      <c r="V102" s="46"/>
      <c r="W102" s="46"/>
      <c r="X102" s="46"/>
      <c r="Y102" s="46"/>
      <c r="Z102" s="46"/>
      <c r="AA102" s="46"/>
    </row>
    <row r="103" spans="1:27" ht="17.25" customHeight="1" thickBot="1" x14ac:dyDescent="0.3"/>
    <row r="104" spans="1:27" ht="17.25" customHeight="1" x14ac:dyDescent="0.25">
      <c r="B104" s="573" t="s">
        <v>503</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5"/>
    </row>
    <row r="105" spans="1:27" ht="17.25" customHeight="1" x14ac:dyDescent="0.25">
      <c r="B105" s="576"/>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577"/>
    </row>
    <row r="106" spans="1:27" x14ac:dyDescent="0.25">
      <c r="B106" s="578" t="s">
        <v>58</v>
      </c>
      <c r="C106" s="579"/>
      <c r="D106" s="579"/>
      <c r="E106" s="580"/>
      <c r="F106" s="579"/>
      <c r="G106" s="580">
        <v>0</v>
      </c>
      <c r="H106" s="580">
        <v>1</v>
      </c>
      <c r="I106" s="580">
        <v>2</v>
      </c>
      <c r="J106" s="580">
        <v>3</v>
      </c>
      <c r="K106" s="580">
        <v>4</v>
      </c>
      <c r="L106" s="580">
        <v>5</v>
      </c>
      <c r="M106" s="580">
        <v>6</v>
      </c>
      <c r="N106" s="580">
        <v>7</v>
      </c>
      <c r="O106" s="580">
        <v>8</v>
      </c>
      <c r="P106" s="580">
        <v>9</v>
      </c>
      <c r="Q106" s="580">
        <v>10</v>
      </c>
      <c r="R106" s="580">
        <v>11</v>
      </c>
      <c r="S106" s="580">
        <v>12</v>
      </c>
      <c r="T106" s="580">
        <v>13</v>
      </c>
      <c r="U106" s="580">
        <v>14</v>
      </c>
      <c r="V106" s="580">
        <v>15</v>
      </c>
      <c r="W106" s="580">
        <v>16</v>
      </c>
      <c r="X106" s="580">
        <v>17</v>
      </c>
      <c r="Y106" s="580">
        <v>18</v>
      </c>
      <c r="Z106" s="580">
        <v>19</v>
      </c>
      <c r="AA106" s="1067">
        <v>20</v>
      </c>
    </row>
    <row r="107" spans="1:27" x14ac:dyDescent="0.25">
      <c r="B107" s="576"/>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577"/>
    </row>
    <row r="108" spans="1:27" x14ac:dyDescent="0.25">
      <c r="B108" s="576" t="s">
        <v>13</v>
      </c>
      <c r="C108" s="38"/>
      <c r="D108" s="38"/>
      <c r="E108" s="211"/>
      <c r="F108" s="38"/>
      <c r="G108" s="38"/>
      <c r="H108" s="581">
        <f>IF(H$16&gt;'III. Inputs, Renewable Energy'!$U$16,0, 'III. Inputs, Renewable Energy'!$U$216)</f>
        <v>1</v>
      </c>
      <c r="I108" s="581">
        <f>IF(I$16&gt;'III. Inputs, Renewable Energy'!$U$16,0, 'III. Inputs, Renewable Energy'!$U$216)</f>
        <v>1</v>
      </c>
      <c r="J108" s="581">
        <f>IF(J$16&gt;'III. Inputs, Renewable Energy'!$U$16,0, 'III. Inputs, Renewable Energy'!$U$216)</f>
        <v>1</v>
      </c>
      <c r="K108" s="581">
        <f>IF(K$16&gt;'III. Inputs, Renewable Energy'!$U$16,0, 'III. Inputs, Renewable Energy'!$U$216)</f>
        <v>1</v>
      </c>
      <c r="L108" s="581">
        <f>IF(L$16&gt;'III. Inputs, Renewable Energy'!$U$16,0, 'III. Inputs, Renewable Energy'!$U$216)</f>
        <v>1</v>
      </c>
      <c r="M108" s="581">
        <f>IF(M$16&gt;'III. Inputs, Renewable Energy'!$U$16,0, 'III. Inputs, Renewable Energy'!$U$216)</f>
        <v>1</v>
      </c>
      <c r="N108" s="581">
        <f>IF(N$16&gt;'III. Inputs, Renewable Energy'!$U$16,0, 'III. Inputs, Renewable Energy'!$U$216)</f>
        <v>1</v>
      </c>
      <c r="O108" s="581">
        <f>IF(O$16&gt;'III. Inputs, Renewable Energy'!$U$16,0, 'III. Inputs, Renewable Energy'!$U$216)</f>
        <v>1</v>
      </c>
      <c r="P108" s="581">
        <f>IF(P$16&gt;'III. Inputs, Renewable Energy'!$U$16,0, 'III. Inputs, Renewable Energy'!$U$216)</f>
        <v>1</v>
      </c>
      <c r="Q108" s="581">
        <f>IF(Q$16&gt;'III. Inputs, Renewable Energy'!$U$16,0, 'III. Inputs, Renewable Energy'!$U$216)</f>
        <v>1</v>
      </c>
      <c r="R108" s="581">
        <f>IF(R$16&gt;'III. Inputs, Renewable Energy'!$U$16,0, 'III. Inputs, Renewable Energy'!$U$216)</f>
        <v>1</v>
      </c>
      <c r="S108" s="581">
        <f>IF(S$16&gt;'III. Inputs, Renewable Energy'!$U$16,0, 'III. Inputs, Renewable Energy'!$U$216)</f>
        <v>1</v>
      </c>
      <c r="T108" s="581">
        <f>IF(T$16&gt;'III. Inputs, Renewable Energy'!$U$16,0, 'III. Inputs, Renewable Energy'!$U$216)</f>
        <v>1</v>
      </c>
      <c r="U108" s="581">
        <f>IF(U$16&gt;'III. Inputs, Renewable Energy'!$U$16,0, 'III. Inputs, Renewable Energy'!$U$216)</f>
        <v>1</v>
      </c>
      <c r="V108" s="581">
        <f>IF(V$16&gt;'III. Inputs, Renewable Energy'!$U$16,0, 'III. Inputs, Renewable Energy'!$U$216)</f>
        <v>1</v>
      </c>
      <c r="W108" s="581">
        <f>IF(W$16&gt;'III. Inputs, Renewable Energy'!$U$16,0, 'III. Inputs, Renewable Energy'!$U$216)</f>
        <v>1</v>
      </c>
      <c r="X108" s="581">
        <f>IF(X$16&gt;'III. Inputs, Renewable Energy'!$U$16,0, 'III. Inputs, Renewable Energy'!$U$216)</f>
        <v>1</v>
      </c>
      <c r="Y108" s="581">
        <f>IF(Y$16&gt;'III. Inputs, Renewable Energy'!$U$16,0, 'III. Inputs, Renewable Energy'!$U$216)</f>
        <v>1</v>
      </c>
      <c r="Z108" s="581">
        <f>IF(Z$16&gt;'III. Inputs, Renewable Energy'!$U$16,0, 'III. Inputs, Renewable Energy'!$U$216)</f>
        <v>1</v>
      </c>
      <c r="AA108" s="649">
        <f>IF(AA$16&gt;'III. Inputs, Renewable Energy'!$U$16,0, 'III. Inputs, Renewable Energy'!$U$216)</f>
        <v>1</v>
      </c>
    </row>
    <row r="109" spans="1:27" ht="4.5" customHeight="1" x14ac:dyDescent="0.25">
      <c r="B109" s="576"/>
      <c r="C109" s="38"/>
      <c r="D109" s="38"/>
      <c r="E109" s="211"/>
      <c r="F109" s="38"/>
      <c r="G109" s="38"/>
      <c r="H109" s="38"/>
      <c r="I109" s="38"/>
      <c r="J109" s="38"/>
      <c r="K109" s="38"/>
      <c r="L109" s="38"/>
      <c r="M109" s="38"/>
      <c r="N109" s="38"/>
      <c r="O109" s="38"/>
      <c r="P109" s="38"/>
      <c r="Q109" s="38"/>
      <c r="R109" s="38"/>
      <c r="S109" s="38"/>
      <c r="T109" s="38"/>
      <c r="U109" s="38"/>
      <c r="V109" s="38"/>
      <c r="W109" s="38"/>
      <c r="X109" s="38"/>
      <c r="Y109" s="38"/>
      <c r="Z109" s="38"/>
      <c r="AA109" s="577"/>
    </row>
    <row r="110" spans="1:27" x14ac:dyDescent="0.25">
      <c r="B110" s="576" t="s">
        <v>97</v>
      </c>
      <c r="C110" s="38"/>
      <c r="D110" s="38"/>
      <c r="E110" s="38"/>
      <c r="F110" s="211" t="s">
        <v>98</v>
      </c>
      <c r="G110" s="38"/>
      <c r="H110" s="582">
        <f>IF(H$16&gt;'III. Inputs, Renewable Energy'!$U$16,0, 'III. Inputs, Renewable Energy'!$U$14*'III. Inputs, Renewable Energy'!$U$214*'V. LCOE, Ren. En. Generation'!$H$108)</f>
        <v>1404288</v>
      </c>
      <c r="I110" s="582">
        <f>IF(I$16&gt;'III. Inputs, Renewable Energy'!$U$16,0, 'III. Inputs, Renewable Energy'!$U$14*'III. Inputs, Renewable Energy'!$U$214*'V. LCOE, Ren. En. Generation'!$H$108)</f>
        <v>1404288</v>
      </c>
      <c r="J110" s="582">
        <f>IF(J$16&gt;'III. Inputs, Renewable Energy'!$U$16,0, 'III. Inputs, Renewable Energy'!$U$14*'III. Inputs, Renewable Energy'!$U$214*'V. LCOE, Ren. En. Generation'!$H$108)</f>
        <v>1404288</v>
      </c>
      <c r="K110" s="582">
        <f>IF(K$16&gt;'III. Inputs, Renewable Energy'!$U$16,0, 'III. Inputs, Renewable Energy'!$U$14*'III. Inputs, Renewable Energy'!$U$214*'V. LCOE, Ren. En. Generation'!$H$108)</f>
        <v>1404288</v>
      </c>
      <c r="L110" s="582">
        <f>IF(L$16&gt;'III. Inputs, Renewable Energy'!$U$16,0, 'III. Inputs, Renewable Energy'!$U$14*'III. Inputs, Renewable Energy'!$U$214*'V. LCOE, Ren. En. Generation'!$H$108)</f>
        <v>1404288</v>
      </c>
      <c r="M110" s="582">
        <f>IF(M$16&gt;'III. Inputs, Renewable Energy'!$U$16,0, 'III. Inputs, Renewable Energy'!$U$14*'III. Inputs, Renewable Energy'!$U$214*'V. LCOE, Ren. En. Generation'!$H$108)</f>
        <v>1404288</v>
      </c>
      <c r="N110" s="582">
        <f>IF(N$16&gt;'III. Inputs, Renewable Energy'!$U$16,0, 'III. Inputs, Renewable Energy'!$U$14*'III. Inputs, Renewable Energy'!$U$214*'V. LCOE, Ren. En. Generation'!$H$108)</f>
        <v>1404288</v>
      </c>
      <c r="O110" s="582">
        <f>IF(O$16&gt;'III. Inputs, Renewable Energy'!$U$16,0, 'III. Inputs, Renewable Energy'!$U$14*'III. Inputs, Renewable Energy'!$U$214*'V. LCOE, Ren. En. Generation'!$H$108)</f>
        <v>1404288</v>
      </c>
      <c r="P110" s="582">
        <f>IF(P$16&gt;'III. Inputs, Renewable Energy'!$U$16,0, 'III. Inputs, Renewable Energy'!$U$14*'III. Inputs, Renewable Energy'!$U$214*'V. LCOE, Ren. En. Generation'!$H$108)</f>
        <v>1404288</v>
      </c>
      <c r="Q110" s="582">
        <f>IF(Q$16&gt;'III. Inputs, Renewable Energy'!$U$16,0, 'III. Inputs, Renewable Energy'!$U$14*'III. Inputs, Renewable Energy'!$U$214*'V. LCOE, Ren. En. Generation'!$H$108)</f>
        <v>1404288</v>
      </c>
      <c r="R110" s="582">
        <f>IF(R$16&gt;'III. Inputs, Renewable Energy'!$U$16,0, 'III. Inputs, Renewable Energy'!$U$14*'III. Inputs, Renewable Energy'!$U$214*'V. LCOE, Ren. En. Generation'!$H$108)</f>
        <v>1404288</v>
      </c>
      <c r="S110" s="582">
        <f>IF(S$16&gt;'III. Inputs, Renewable Energy'!$U$16,0, 'III. Inputs, Renewable Energy'!$U$14*'III. Inputs, Renewable Energy'!$U$214*'V. LCOE, Ren. En. Generation'!$H$108)</f>
        <v>1404288</v>
      </c>
      <c r="T110" s="582">
        <f>IF(T$16&gt;'III. Inputs, Renewable Energy'!$U$16,0, 'III. Inputs, Renewable Energy'!$U$14*'III. Inputs, Renewable Energy'!$U$214*'V. LCOE, Ren. En. Generation'!$H$108)</f>
        <v>1404288</v>
      </c>
      <c r="U110" s="582">
        <f>IF(U$16&gt;'III. Inputs, Renewable Energy'!$U$16,0, 'III. Inputs, Renewable Energy'!$U$14*'III. Inputs, Renewable Energy'!$U$214*'V. LCOE, Ren. En. Generation'!$H$108)</f>
        <v>1404288</v>
      </c>
      <c r="V110" s="582">
        <f>IF(V$16&gt;'III. Inputs, Renewable Energy'!$U$16,0, 'III. Inputs, Renewable Energy'!$U$14*'III. Inputs, Renewable Energy'!$U$214*'V. LCOE, Ren. En. Generation'!$H$108)</f>
        <v>1404288</v>
      </c>
      <c r="W110" s="582">
        <f>IF(W$16&gt;'III. Inputs, Renewable Energy'!$U$16,0, 'III. Inputs, Renewable Energy'!$U$14*'III. Inputs, Renewable Energy'!$U$214*'V. LCOE, Ren. En. Generation'!$H$108)</f>
        <v>1404288</v>
      </c>
      <c r="X110" s="582">
        <f>IF(X$16&gt;'III. Inputs, Renewable Energy'!$U$16,0, 'III. Inputs, Renewable Energy'!$U$14*'III. Inputs, Renewable Energy'!$U$214*'V. LCOE, Ren. En. Generation'!$H$108)</f>
        <v>1404288</v>
      </c>
      <c r="Y110" s="582">
        <f>IF(Y$16&gt;'III. Inputs, Renewable Energy'!$U$16,0, 'III. Inputs, Renewable Energy'!$U$14*'III. Inputs, Renewable Energy'!$U$214*'V. LCOE, Ren. En. Generation'!$H$108)</f>
        <v>1404288</v>
      </c>
      <c r="Z110" s="582">
        <f>IF(Z$16&gt;'III. Inputs, Renewable Energy'!$U$16,0, 'III. Inputs, Renewable Energy'!$U$14*'III. Inputs, Renewable Energy'!$U$214*'V. LCOE, Ren. En. Generation'!$H$108)</f>
        <v>1404288</v>
      </c>
      <c r="AA110" s="1068">
        <f>IF(AA$16&gt;'III. Inputs, Renewable Energy'!$U$16,0, 'III. Inputs, Renewable Energy'!$U$14*'III. Inputs, Renewable Energy'!$U$214*'V. LCOE, Ren. En. Generation'!$H$108)</f>
        <v>1404288</v>
      </c>
    </row>
    <row r="111" spans="1:27" ht="7.5" customHeight="1" x14ac:dyDescent="0.25">
      <c r="B111" s="576"/>
      <c r="C111" s="38"/>
      <c r="D111" s="38"/>
      <c r="E111" s="211"/>
      <c r="F111" s="38"/>
      <c r="G111" s="38"/>
      <c r="H111" s="38"/>
      <c r="I111" s="38"/>
      <c r="J111" s="38"/>
      <c r="K111" s="38"/>
      <c r="L111" s="38"/>
      <c r="M111" s="38"/>
      <c r="N111" s="38"/>
      <c r="O111" s="38"/>
      <c r="P111" s="38"/>
      <c r="Q111" s="38"/>
      <c r="R111" s="38"/>
      <c r="S111" s="38"/>
      <c r="T111" s="38"/>
      <c r="U111" s="38"/>
      <c r="V111" s="38"/>
      <c r="W111" s="38"/>
      <c r="X111" s="38"/>
      <c r="Y111" s="38"/>
      <c r="Z111" s="38"/>
      <c r="AA111" s="577"/>
    </row>
    <row r="112" spans="1:27" x14ac:dyDescent="0.25">
      <c r="B112" s="578" t="s">
        <v>99</v>
      </c>
      <c r="C112" s="39"/>
      <c r="D112" s="39"/>
      <c r="E112" s="213"/>
      <c r="F112" s="213"/>
      <c r="G112" s="213"/>
      <c r="H112" s="213"/>
      <c r="I112" s="213"/>
      <c r="J112" s="213"/>
      <c r="K112" s="213"/>
      <c r="L112" s="213"/>
      <c r="M112" s="213"/>
      <c r="N112" s="213"/>
      <c r="O112" s="213"/>
      <c r="P112" s="213"/>
      <c r="Q112" s="213"/>
      <c r="R112" s="213"/>
      <c r="S112" s="213"/>
      <c r="T112" s="213"/>
      <c r="U112" s="213"/>
      <c r="V112" s="213"/>
      <c r="W112" s="213"/>
      <c r="X112" s="213"/>
      <c r="Y112" s="213"/>
      <c r="Z112" s="213"/>
      <c r="AA112" s="1069"/>
    </row>
    <row r="113" spans="2:27" x14ac:dyDescent="0.25">
      <c r="B113" s="576"/>
      <c r="C113" s="38"/>
      <c r="D113" s="38"/>
      <c r="E113" s="211"/>
      <c r="F113" s="38"/>
      <c r="G113" s="38"/>
      <c r="H113" s="38"/>
      <c r="I113" s="38"/>
      <c r="J113" s="38"/>
      <c r="K113" s="38"/>
      <c r="L113" s="38"/>
      <c r="M113" s="38"/>
      <c r="N113" s="38"/>
      <c r="O113" s="38"/>
      <c r="P113" s="38"/>
      <c r="Q113" s="38"/>
      <c r="R113" s="38"/>
      <c r="S113" s="38"/>
      <c r="T113" s="38"/>
      <c r="U113" s="38"/>
      <c r="V113" s="38"/>
      <c r="W113" s="38"/>
      <c r="X113" s="38"/>
      <c r="Y113" s="38"/>
      <c r="Z113" s="38"/>
      <c r="AA113" s="577"/>
    </row>
    <row r="114" spans="2:27" x14ac:dyDescent="0.25">
      <c r="B114" s="576" t="s">
        <v>100</v>
      </c>
      <c r="C114" s="38"/>
      <c r="D114" s="38"/>
      <c r="E114" s="211"/>
      <c r="F114" s="211" t="s">
        <v>631</v>
      </c>
      <c r="G114" s="1328"/>
      <c r="H114" s="1329">
        <f>IF(H$16&gt;'III. Inputs, Renewable Energy'!$U$16,0,IF('III. Inputs, Renewable Energy'!$V$223="Model Default",VLOOKUP('V. LCOE, Ren. En. Generation'!H$16,'IX. Additional Data'!$C$75:$D$94,2,FALSE)*'III. Inputs, Renewable Energy'!$U$14,'III. Inputs, Renewable Energy'!$V$226)*(1+'III. Inputs, Renewable Energy'!$V$227)^('V. LCOE, Ren. En. Generation'!H$16-1))</f>
        <v>18248.175182481751</v>
      </c>
      <c r="I114" s="1329">
        <f>IF(I$16&gt;'III. Inputs, Renewable Energy'!$U$16,0,IF('III. Inputs, Renewable Energy'!$V$223="Model Default",VLOOKUP('V. LCOE, Ren. En. Generation'!I$16,'IX. Additional Data'!$C$75:$D$94,2,FALSE)*'III. Inputs, Renewable Energy'!$U$14,('III. Inputs, Renewable Energy'!$V$226)*(1+'III. Inputs, Renewable Energy'!$V$227)^('V. LCOE, Ren. En. Generation'!I$16-1)))</f>
        <v>18613.138686131388</v>
      </c>
      <c r="J114" s="1329">
        <f>IF(J$16&gt;'III. Inputs, Renewable Energy'!$U$16,0,IF('III. Inputs, Renewable Energy'!$V$223="Model Default",VLOOKUP('V. LCOE, Ren. En. Generation'!J$16,'IX. Additional Data'!$C$75:$D$94,2,FALSE)*'III. Inputs, Renewable Energy'!$U$14,('III. Inputs, Renewable Energy'!$V$226)*(1+'III. Inputs, Renewable Energy'!$V$227)^('V. LCOE, Ren. En. Generation'!J$16-1)))</f>
        <v>18985.401459854013</v>
      </c>
      <c r="K114" s="1329">
        <f>IF(K$16&gt;'III. Inputs, Renewable Energy'!$U$16,0,IF('III. Inputs, Renewable Energy'!$V$223="Model Default",VLOOKUP('V. LCOE, Ren. En. Generation'!K$16,'IX. Additional Data'!$C$75:$D$94,2,FALSE)*'III. Inputs, Renewable Energy'!$U$14,('III. Inputs, Renewable Energy'!$V$226)*(1+'III. Inputs, Renewable Energy'!$V$227)^('V. LCOE, Ren. En. Generation'!K$16-1)))</f>
        <v>19365.109489051094</v>
      </c>
      <c r="L114" s="1329">
        <f>IF(L$16&gt;'III. Inputs, Renewable Energy'!$U$16,0,IF('III. Inputs, Renewable Energy'!$V$223="Model Default",VLOOKUP('V. LCOE, Ren. En. Generation'!L$16,'IX. Additional Data'!$C$75:$D$94,2,FALSE)*'III. Inputs, Renewable Energy'!$U$14,('III. Inputs, Renewable Energy'!$V$226)*(1+'III. Inputs, Renewable Energy'!$V$227)^('V. LCOE, Ren. En. Generation'!L$16-1)))</f>
        <v>19752.411678832115</v>
      </c>
      <c r="M114" s="1329">
        <f>IF(M$16&gt;'III. Inputs, Renewable Energy'!$U$16,0,IF('III. Inputs, Renewable Energy'!$V$223="Model Default",VLOOKUP('V. LCOE, Ren. En. Generation'!M$16,'IX. Additional Data'!$C$75:$D$94,2,FALSE)*'III. Inputs, Renewable Energy'!$U$14,('III. Inputs, Renewable Energy'!$V$226)*(1+'III. Inputs, Renewable Energy'!$V$227)^('V. LCOE, Ren. En. Generation'!M$16-1)))</f>
        <v>20147.459912408758</v>
      </c>
      <c r="N114" s="1329">
        <f>IF(N$16&gt;'III. Inputs, Renewable Energy'!$U$16,0,IF('III. Inputs, Renewable Energy'!$V$223="Model Default",VLOOKUP('V. LCOE, Ren. En. Generation'!N$16,'IX. Additional Data'!$C$75:$D$94,2,FALSE)*'III. Inputs, Renewable Energy'!$U$14,('III. Inputs, Renewable Energy'!$V$226)*(1+'III. Inputs, Renewable Energy'!$V$227)^('V. LCOE, Ren. En. Generation'!N$16-1)))</f>
        <v>20550.409110656936</v>
      </c>
      <c r="O114" s="1329">
        <f>IF(O$16&gt;'III. Inputs, Renewable Energy'!$U$16,0,IF('III. Inputs, Renewable Energy'!$V$223="Model Default",VLOOKUP('V. LCOE, Ren. En. Generation'!O$16,'IX. Additional Data'!$C$75:$D$94,2,FALSE)*'III. Inputs, Renewable Energy'!$U$14,('III. Inputs, Renewable Energy'!$V$226)*(1+'III. Inputs, Renewable Energy'!$V$227)^('V. LCOE, Ren. En. Generation'!O$16-1)))</f>
        <v>20961.417292870068</v>
      </c>
      <c r="P114" s="1329">
        <f>IF(P$16&gt;'III. Inputs, Renewable Energy'!$U$16,0,IF('III. Inputs, Renewable Energy'!$V$223="Model Default",VLOOKUP('V. LCOE, Ren. En. Generation'!P$16,'IX. Additional Data'!$C$75:$D$94,2,FALSE)*'III. Inputs, Renewable Energy'!$U$14,('III. Inputs, Renewable Energy'!$V$226)*(1+'III. Inputs, Renewable Energy'!$V$227)^('V. LCOE, Ren. En. Generation'!P$16-1)))</f>
        <v>21380.645638727474</v>
      </c>
      <c r="Q114" s="1329">
        <f>IF(Q$16&gt;'III. Inputs, Renewable Energy'!$U$16,0,IF('III. Inputs, Renewable Energy'!$V$223="Model Default",VLOOKUP('V. LCOE, Ren. En. Generation'!Q$16,'IX. Additional Data'!$C$75:$D$94,2,FALSE)*'III. Inputs, Renewable Energy'!$U$14,('III. Inputs, Renewable Energy'!$V$226)*(1+'III. Inputs, Renewable Energy'!$V$227)^('V. LCOE, Ren. En. Generation'!Q$16-1)))</f>
        <v>21808.258551502022</v>
      </c>
      <c r="R114" s="1329">
        <f>IF(R$16&gt;'III. Inputs, Renewable Energy'!$U$16,0,IF('III. Inputs, Renewable Energy'!$V$223="Model Default",VLOOKUP('V. LCOE, Ren. En. Generation'!R$16,'IX. Additional Data'!$C$75:$D$94,2,FALSE)*'III. Inputs, Renewable Energy'!$U$14,('III. Inputs, Renewable Energy'!$V$226)*(1+'III. Inputs, Renewable Energy'!$V$227)^('V. LCOE, Ren. En. Generation'!R$16-1)))</f>
        <v>22244.423722532065</v>
      </c>
      <c r="S114" s="1329">
        <f>IF(S$16&gt;'III. Inputs, Renewable Energy'!$U$16,0,IF('III. Inputs, Renewable Energy'!$V$223="Model Default",VLOOKUP('V. LCOE, Ren. En. Generation'!S$16,'IX. Additional Data'!$C$75:$D$94,2,FALSE)*'III. Inputs, Renewable Energy'!$U$14,('III. Inputs, Renewable Energy'!$V$226)*(1+'III. Inputs, Renewable Energy'!$V$227)^('V. LCOE, Ren. En. Generation'!S$16-1)))</f>
        <v>22689.312196982701</v>
      </c>
      <c r="T114" s="1329">
        <f>IF(T$16&gt;'III. Inputs, Renewable Energy'!$U$16,0,IF('III. Inputs, Renewable Energy'!$V$223="Model Default",VLOOKUP('V. LCOE, Ren. En. Generation'!T$16,'IX. Additional Data'!$C$75:$D$94,2,FALSE)*'III. Inputs, Renewable Energy'!$U$14,('III. Inputs, Renewable Energy'!$V$226)*(1+'III. Inputs, Renewable Energy'!$V$227)^('V. LCOE, Ren. En. Generation'!T$16-1)))</f>
        <v>23143.098440922357</v>
      </c>
      <c r="U114" s="1329">
        <f>IF(U$16&gt;'III. Inputs, Renewable Energy'!$U$16,0,IF('III. Inputs, Renewable Energy'!$V$223="Model Default",VLOOKUP('V. LCOE, Ren. En. Generation'!U$16,'IX. Additional Data'!$C$75:$D$94,2,FALSE)*'III. Inputs, Renewable Energy'!$U$14,('III. Inputs, Renewable Energy'!$V$226)*(1+'III. Inputs, Renewable Energy'!$V$227)^('V. LCOE, Ren. En. Generation'!U$16-1)))</f>
        <v>23605.960409740805</v>
      </c>
      <c r="V114" s="1329">
        <f>IF(V$16&gt;'III. Inputs, Renewable Energy'!$U$16,0,IF('III. Inputs, Renewable Energy'!$V$223="Model Default",VLOOKUP('V. LCOE, Ren. En. Generation'!V$16,'IX. Additional Data'!$C$75:$D$94,2,FALSE)*'III. Inputs, Renewable Energy'!$U$14,('III. Inputs, Renewable Energy'!$V$226)*(1+'III. Inputs, Renewable Energy'!$V$227)^('V. LCOE, Ren. En. Generation'!V$16-1)))</f>
        <v>24078.079617935622</v>
      </c>
      <c r="W114" s="1329">
        <f>IF(W$16&gt;'III. Inputs, Renewable Energy'!$U$16,0,IF('III. Inputs, Renewable Energy'!$V$223="Model Default",VLOOKUP('V. LCOE, Ren. En. Generation'!W$16,'IX. Additional Data'!$C$75:$D$94,2,FALSE)*'III. Inputs, Renewable Energy'!$U$14,('III. Inputs, Renewable Energy'!$V$226)*(1+'III. Inputs, Renewable Energy'!$V$227)^('V. LCOE, Ren. En. Generation'!W$16-1)))</f>
        <v>24559.641210294329</v>
      </c>
      <c r="X114" s="1329">
        <f>IF(X$16&gt;'III. Inputs, Renewable Energy'!$U$16,0,IF('III. Inputs, Renewable Energy'!$V$223="Model Default",VLOOKUP('V. LCOE, Ren. En. Generation'!X$16,'IX. Additional Data'!$C$75:$D$94,2,FALSE)*'III. Inputs, Renewable Energy'!$U$14,('III. Inputs, Renewable Energy'!$V$226)*(1+'III. Inputs, Renewable Energy'!$V$227)^('V. LCOE, Ren. En. Generation'!X$16-1)))</f>
        <v>25050.834034500218</v>
      </c>
      <c r="Y114" s="1329">
        <f>IF(Y$16&gt;'III. Inputs, Renewable Energy'!$U$16,0,IF('III. Inputs, Renewable Energy'!$V$223="Model Default",VLOOKUP('V. LCOE, Ren. En. Generation'!Y$16,'IX. Additional Data'!$C$75:$D$94,2,FALSE)*'III. Inputs, Renewable Energy'!$U$14,('III. Inputs, Renewable Energy'!$V$226)*(1+'III. Inputs, Renewable Energy'!$V$227)^('V. LCOE, Ren. En. Generation'!Y$16-1)))</f>
        <v>25551.850715190227</v>
      </c>
      <c r="Z114" s="1329">
        <f>IF(Z$16&gt;'III. Inputs, Renewable Energy'!$U$16,0,IF('III. Inputs, Renewable Energy'!$V$223="Model Default",VLOOKUP('V. LCOE, Ren. En. Generation'!Z$16,'IX. Additional Data'!$C$75:$D$94,2,FALSE)*'III. Inputs, Renewable Energy'!$U$14,('III. Inputs, Renewable Energy'!$V$226)*(1+'III. Inputs, Renewable Energy'!$V$227)^('V. LCOE, Ren. En. Generation'!Z$16-1)))</f>
        <v>26062.887729494028</v>
      </c>
      <c r="AA114" s="1330">
        <f>IF(AA$16&gt;'III. Inputs, Renewable Energy'!$U$16,0,IF('III. Inputs, Renewable Energy'!$V$223="Model Default",VLOOKUP('V. LCOE, Ren. En. Generation'!AA$16,'IX. Additional Data'!$C$75:$D$94,2,FALSE)*'III. Inputs, Renewable Energy'!$U$14,('III. Inputs, Renewable Energy'!$V$226)*(1+'III. Inputs, Renewable Energy'!$V$227)^('V. LCOE, Ren. En. Generation'!AA$16-1)))</f>
        <v>26584.145484083907</v>
      </c>
    </row>
    <row r="115" spans="2:27" x14ac:dyDescent="0.25">
      <c r="B115" s="576"/>
      <c r="C115" s="38"/>
      <c r="D115" s="38"/>
      <c r="E115" s="211"/>
      <c r="F115" s="211"/>
      <c r="G115" s="1328"/>
      <c r="H115" s="1329"/>
      <c r="I115" s="1329"/>
      <c r="J115" s="1329"/>
      <c r="K115" s="1329"/>
      <c r="L115" s="1329"/>
      <c r="M115" s="1329"/>
      <c r="N115" s="1329"/>
      <c r="O115" s="1329"/>
      <c r="P115" s="1329"/>
      <c r="Q115" s="1329"/>
      <c r="R115" s="1329"/>
      <c r="S115" s="1329"/>
      <c r="T115" s="1329"/>
      <c r="U115" s="1329"/>
      <c r="V115" s="1329"/>
      <c r="W115" s="1329"/>
      <c r="X115" s="1329"/>
      <c r="Y115" s="1329"/>
      <c r="Z115" s="1329"/>
      <c r="AA115" s="1330"/>
    </row>
    <row r="116" spans="2:27" x14ac:dyDescent="0.25">
      <c r="B116" s="576" t="s">
        <v>101</v>
      </c>
      <c r="C116" s="38"/>
      <c r="D116" s="38"/>
      <c r="E116" s="211"/>
      <c r="F116" s="211" t="s">
        <v>631</v>
      </c>
      <c r="G116" s="1328"/>
      <c r="H116" s="1328">
        <f>H379</f>
        <v>41594744.525547437</v>
      </c>
      <c r="I116" s="1328">
        <f>I379</f>
        <v>41594744.525547437</v>
      </c>
      <c r="J116" s="1328">
        <f t="shared" ref="J116:AA116" si="35">J379</f>
        <v>41594744.525547437</v>
      </c>
      <c r="K116" s="1328">
        <f t="shared" si="35"/>
        <v>41594744.525547437</v>
      </c>
      <c r="L116" s="1328">
        <f t="shared" si="35"/>
        <v>41594744.525547437</v>
      </c>
      <c r="M116" s="1328">
        <f t="shared" si="35"/>
        <v>41594744.525547437</v>
      </c>
      <c r="N116" s="1328">
        <f t="shared" si="35"/>
        <v>41594744.525547437</v>
      </c>
      <c r="O116" s="1328">
        <f t="shared" si="35"/>
        <v>41594744.525547437</v>
      </c>
      <c r="P116" s="1328">
        <f t="shared" si="35"/>
        <v>41594744.525547437</v>
      </c>
      <c r="Q116" s="1328">
        <f t="shared" si="35"/>
        <v>41594744.525547437</v>
      </c>
      <c r="R116" s="1328">
        <f t="shared" si="35"/>
        <v>41594744.525547437</v>
      </c>
      <c r="S116" s="1328">
        <f t="shared" si="35"/>
        <v>41594744.525547437</v>
      </c>
      <c r="T116" s="1328">
        <f t="shared" si="35"/>
        <v>41594744.525547437</v>
      </c>
      <c r="U116" s="1328">
        <f t="shared" si="35"/>
        <v>41594744.525547437</v>
      </c>
      <c r="V116" s="1328">
        <f t="shared" si="35"/>
        <v>41594744.525547437</v>
      </c>
      <c r="W116" s="1328">
        <f t="shared" si="35"/>
        <v>41594744.525547437</v>
      </c>
      <c r="X116" s="1328">
        <f t="shared" si="35"/>
        <v>41594744.525547437</v>
      </c>
      <c r="Y116" s="1328">
        <f t="shared" si="35"/>
        <v>41594744.525547437</v>
      </c>
      <c r="Z116" s="1328">
        <f t="shared" si="35"/>
        <v>41594744.525547437</v>
      </c>
      <c r="AA116" s="1331">
        <f t="shared" si="35"/>
        <v>41594744.525547437</v>
      </c>
    </row>
    <row r="117" spans="2:27" x14ac:dyDescent="0.25">
      <c r="B117" s="576"/>
      <c r="C117" s="38"/>
      <c r="D117" s="38"/>
      <c r="E117" s="211"/>
      <c r="F117" s="211"/>
      <c r="G117" s="1328"/>
      <c r="H117" s="1328"/>
      <c r="I117" s="1328"/>
      <c r="J117" s="1328"/>
      <c r="K117" s="1328"/>
      <c r="L117" s="1328"/>
      <c r="M117" s="1328"/>
      <c r="N117" s="1328"/>
      <c r="O117" s="1328"/>
      <c r="P117" s="1328"/>
      <c r="Q117" s="1328"/>
      <c r="R117" s="1328"/>
      <c r="S117" s="1328"/>
      <c r="T117" s="1328"/>
      <c r="U117" s="1328"/>
      <c r="V117" s="1328"/>
      <c r="W117" s="1328"/>
      <c r="X117" s="1328"/>
      <c r="Y117" s="1328"/>
      <c r="Z117" s="1328"/>
      <c r="AA117" s="1331"/>
    </row>
    <row r="118" spans="2:27" x14ac:dyDescent="0.25">
      <c r="B118" s="576" t="s">
        <v>257</v>
      </c>
      <c r="C118" s="38"/>
      <c r="D118" s="38"/>
      <c r="E118" s="211"/>
      <c r="F118" s="211" t="s">
        <v>631</v>
      </c>
      <c r="G118" s="1328"/>
      <c r="H118" s="1328">
        <f>H282</f>
        <v>12697343.065693429</v>
      </c>
      <c r="I118" s="1328">
        <f>I282</f>
        <v>12270944.061024366</v>
      </c>
      <c r="J118" s="1328">
        <f t="shared" ref="J118:AA118" si="36">J282</f>
        <v>11827489.09616854</v>
      </c>
      <c r="K118" s="1328">
        <f t="shared" si="36"/>
        <v>11366295.932718478</v>
      </c>
      <c r="L118" s="1328">
        <f t="shared" si="36"/>
        <v>10886655.042730417</v>
      </c>
      <c r="M118" s="1328">
        <f t="shared" si="36"/>
        <v>10387828.517142834</v>
      </c>
      <c r="N118" s="1328">
        <f t="shared" si="36"/>
        <v>9869048.9305317439</v>
      </c>
      <c r="O118" s="1328">
        <f t="shared" si="36"/>
        <v>9329518.1604562141</v>
      </c>
      <c r="P118" s="1328">
        <f t="shared" si="36"/>
        <v>8768406.1595776603</v>
      </c>
      <c r="Q118" s="1328">
        <f t="shared" si="36"/>
        <v>8184849.6786639672</v>
      </c>
      <c r="R118" s="1328">
        <f t="shared" si="36"/>
        <v>7577950.9385137223</v>
      </c>
      <c r="S118" s="1328">
        <f t="shared" si="36"/>
        <v>6946776.2487574713</v>
      </c>
      <c r="T118" s="1328">
        <f t="shared" si="36"/>
        <v>6290354.5714109689</v>
      </c>
      <c r="U118" s="1328">
        <f t="shared" si="36"/>
        <v>5607676.0269706063</v>
      </c>
      <c r="V118" s="1328">
        <f t="shared" si="36"/>
        <v>4897690.3407526296</v>
      </c>
      <c r="W118" s="1328">
        <f t="shared" si="36"/>
        <v>4159305.2270859331</v>
      </c>
      <c r="X118" s="1328">
        <f t="shared" si="36"/>
        <v>3391384.7088725697</v>
      </c>
      <c r="Y118" s="1328">
        <f t="shared" si="36"/>
        <v>2592747.3699306715</v>
      </c>
      <c r="Z118" s="1328">
        <f t="shared" si="36"/>
        <v>1762164.5374310967</v>
      </c>
      <c r="AA118" s="1331">
        <f t="shared" si="36"/>
        <v>898358.39163153968</v>
      </c>
    </row>
    <row r="119" spans="2:27" x14ac:dyDescent="0.25">
      <c r="B119" s="576" t="s">
        <v>189</v>
      </c>
      <c r="C119" s="38"/>
      <c r="D119" s="38"/>
      <c r="E119" s="211"/>
      <c r="F119" s="211" t="s">
        <v>631</v>
      </c>
      <c r="G119" s="1328"/>
      <c r="H119" s="1328">
        <f>H303</f>
        <v>0</v>
      </c>
      <c r="I119" s="1328">
        <f>I303</f>
        <v>0</v>
      </c>
      <c r="J119" s="1328">
        <f t="shared" ref="J119:AA119" si="37">J303</f>
        <v>0</v>
      </c>
      <c r="K119" s="1328">
        <f t="shared" si="37"/>
        <v>0</v>
      </c>
      <c r="L119" s="1328">
        <f t="shared" si="37"/>
        <v>0</v>
      </c>
      <c r="M119" s="1328">
        <f t="shared" si="37"/>
        <v>0</v>
      </c>
      <c r="N119" s="1328">
        <f t="shared" si="37"/>
        <v>0</v>
      </c>
      <c r="O119" s="1328">
        <f t="shared" si="37"/>
        <v>0</v>
      </c>
      <c r="P119" s="1328">
        <f t="shared" si="37"/>
        <v>0</v>
      </c>
      <c r="Q119" s="1328">
        <f t="shared" si="37"/>
        <v>0</v>
      </c>
      <c r="R119" s="1328">
        <f t="shared" si="37"/>
        <v>0</v>
      </c>
      <c r="S119" s="1328">
        <f t="shared" si="37"/>
        <v>0</v>
      </c>
      <c r="T119" s="1328">
        <f t="shared" si="37"/>
        <v>0</v>
      </c>
      <c r="U119" s="1328">
        <f t="shared" si="37"/>
        <v>0</v>
      </c>
      <c r="V119" s="1328">
        <f t="shared" si="37"/>
        <v>0</v>
      </c>
      <c r="W119" s="1328">
        <f t="shared" si="37"/>
        <v>0</v>
      </c>
      <c r="X119" s="1328">
        <f t="shared" si="37"/>
        <v>0</v>
      </c>
      <c r="Y119" s="1328">
        <f t="shared" si="37"/>
        <v>0</v>
      </c>
      <c r="Z119" s="1328">
        <f t="shared" si="37"/>
        <v>0</v>
      </c>
      <c r="AA119" s="1331">
        <f t="shared" si="37"/>
        <v>0</v>
      </c>
    </row>
    <row r="120" spans="2:27" x14ac:dyDescent="0.25">
      <c r="B120" s="576" t="s">
        <v>190</v>
      </c>
      <c r="C120" s="38"/>
      <c r="D120" s="38"/>
      <c r="E120" s="211"/>
      <c r="F120" s="211" t="s">
        <v>631</v>
      </c>
      <c r="G120" s="1328"/>
      <c r="H120" s="1328">
        <f>H324</f>
        <v>17853164.387298841</v>
      </c>
      <c r="I120" s="1328">
        <f>I324</f>
        <v>16636913.397795193</v>
      </c>
      <c r="J120" s="1328">
        <f t="shared" ref="J120:AA120" si="38">J324</f>
        <v>15352257.770440994</v>
      </c>
      <c r="K120" s="1328">
        <f t="shared" si="38"/>
        <v>13995350.277550636</v>
      </c>
      <c r="L120" s="1328">
        <f t="shared" si="38"/>
        <v>12562127.314869186</v>
      </c>
      <c r="M120" s="1328">
        <f t="shared" si="38"/>
        <v>11048296.732076913</v>
      </c>
      <c r="N120" s="1328">
        <f t="shared" si="38"/>
        <v>9449324.9788546376</v>
      </c>
      <c r="O120" s="1328">
        <f t="shared" si="38"/>
        <v>7760423.5280153733</v>
      </c>
      <c r="P120" s="1328">
        <f t="shared" si="38"/>
        <v>5976534.5350429881</v>
      </c>
      <c r="Q120" s="1328">
        <f t="shared" si="38"/>
        <v>4092315.6910916883</v>
      </c>
      <c r="R120" s="1328">
        <f t="shared" si="38"/>
        <v>2102124.2240847913</v>
      </c>
      <c r="S120" s="1328">
        <f t="shared" si="38"/>
        <v>0</v>
      </c>
      <c r="T120" s="1328">
        <f t="shared" si="38"/>
        <v>0</v>
      </c>
      <c r="U120" s="1328">
        <f t="shared" si="38"/>
        <v>0</v>
      </c>
      <c r="V120" s="1328">
        <f t="shared" si="38"/>
        <v>0</v>
      </c>
      <c r="W120" s="1328">
        <f t="shared" si="38"/>
        <v>0</v>
      </c>
      <c r="X120" s="1328">
        <f t="shared" si="38"/>
        <v>0</v>
      </c>
      <c r="Y120" s="1328">
        <f t="shared" si="38"/>
        <v>0</v>
      </c>
      <c r="Z120" s="1328">
        <f t="shared" si="38"/>
        <v>0</v>
      </c>
      <c r="AA120" s="1331">
        <f t="shared" si="38"/>
        <v>0</v>
      </c>
    </row>
    <row r="121" spans="2:27" x14ac:dyDescent="0.25">
      <c r="B121" s="576" t="s">
        <v>132</v>
      </c>
      <c r="C121" s="38"/>
      <c r="D121" s="38"/>
      <c r="E121" s="211"/>
      <c r="F121" s="211" t="s">
        <v>631</v>
      </c>
      <c r="G121" s="1328"/>
      <c r="H121" s="1328">
        <f>(H293+H314+H335)</f>
        <v>0</v>
      </c>
      <c r="I121" s="1328">
        <f>(I293+I314+I335)</f>
        <v>0</v>
      </c>
      <c r="J121" s="1328">
        <f t="shared" ref="J121:AA121" si="39">(J293+J314+J335)</f>
        <v>0</v>
      </c>
      <c r="K121" s="1328">
        <f t="shared" si="39"/>
        <v>0</v>
      </c>
      <c r="L121" s="1328">
        <f t="shared" si="39"/>
        <v>0</v>
      </c>
      <c r="M121" s="1328">
        <f t="shared" si="39"/>
        <v>0</v>
      </c>
      <c r="N121" s="1328">
        <f t="shared" si="39"/>
        <v>0</v>
      </c>
      <c r="O121" s="1328">
        <f t="shared" si="39"/>
        <v>0</v>
      </c>
      <c r="P121" s="1328">
        <f t="shared" si="39"/>
        <v>0</v>
      </c>
      <c r="Q121" s="1328">
        <f t="shared" si="39"/>
        <v>0</v>
      </c>
      <c r="R121" s="1328">
        <f t="shared" si="39"/>
        <v>0</v>
      </c>
      <c r="S121" s="1328">
        <f t="shared" si="39"/>
        <v>0</v>
      </c>
      <c r="T121" s="1328">
        <f t="shared" si="39"/>
        <v>0</v>
      </c>
      <c r="U121" s="1328">
        <f t="shared" si="39"/>
        <v>0</v>
      </c>
      <c r="V121" s="1328">
        <f t="shared" si="39"/>
        <v>0</v>
      </c>
      <c r="W121" s="1328">
        <f t="shared" si="39"/>
        <v>0</v>
      </c>
      <c r="X121" s="1328">
        <f t="shared" si="39"/>
        <v>0</v>
      </c>
      <c r="Y121" s="1328">
        <f t="shared" si="39"/>
        <v>0</v>
      </c>
      <c r="Z121" s="1328">
        <f t="shared" si="39"/>
        <v>0</v>
      </c>
      <c r="AA121" s="1331">
        <f t="shared" si="39"/>
        <v>0</v>
      </c>
    </row>
    <row r="122" spans="2:27" x14ac:dyDescent="0.25">
      <c r="B122" s="576" t="s">
        <v>191</v>
      </c>
      <c r="C122" s="38"/>
      <c r="D122" s="38"/>
      <c r="E122" s="211"/>
      <c r="F122" s="211" t="s">
        <v>631</v>
      </c>
      <c r="G122" s="1328"/>
      <c r="H122" s="1328">
        <f>(H315+H316)</f>
        <v>0</v>
      </c>
      <c r="I122" s="1328">
        <f>I316</f>
        <v>0</v>
      </c>
      <c r="J122" s="1328">
        <f t="shared" ref="J122:AA122" si="40">J316</f>
        <v>0</v>
      </c>
      <c r="K122" s="1328">
        <f t="shared" si="40"/>
        <v>0</v>
      </c>
      <c r="L122" s="1328">
        <f t="shared" si="40"/>
        <v>0</v>
      </c>
      <c r="M122" s="1328">
        <f t="shared" si="40"/>
        <v>0</v>
      </c>
      <c r="N122" s="1328">
        <f t="shared" si="40"/>
        <v>0</v>
      </c>
      <c r="O122" s="1328">
        <f t="shared" si="40"/>
        <v>0</v>
      </c>
      <c r="P122" s="1328">
        <f t="shared" si="40"/>
        <v>0</v>
      </c>
      <c r="Q122" s="1328">
        <f t="shared" si="40"/>
        <v>0</v>
      </c>
      <c r="R122" s="1328">
        <f t="shared" si="40"/>
        <v>0</v>
      </c>
      <c r="S122" s="1328">
        <f t="shared" si="40"/>
        <v>0</v>
      </c>
      <c r="T122" s="1328">
        <f t="shared" si="40"/>
        <v>0</v>
      </c>
      <c r="U122" s="1328">
        <f t="shared" si="40"/>
        <v>0</v>
      </c>
      <c r="V122" s="1328">
        <f t="shared" si="40"/>
        <v>0</v>
      </c>
      <c r="W122" s="1328">
        <f t="shared" si="40"/>
        <v>0</v>
      </c>
      <c r="X122" s="1328">
        <f t="shared" si="40"/>
        <v>0</v>
      </c>
      <c r="Y122" s="1328">
        <f t="shared" si="40"/>
        <v>0</v>
      </c>
      <c r="Z122" s="1328">
        <f t="shared" si="40"/>
        <v>0</v>
      </c>
      <c r="AA122" s="1331">
        <f t="shared" si="40"/>
        <v>0</v>
      </c>
    </row>
    <row r="123" spans="2:27" x14ac:dyDescent="0.25">
      <c r="B123" s="576" t="s">
        <v>134</v>
      </c>
      <c r="C123" s="38"/>
      <c r="D123" s="38"/>
      <c r="E123" s="211"/>
      <c r="F123" s="211" t="s">
        <v>631</v>
      </c>
      <c r="G123" s="1328"/>
      <c r="H123" s="1328">
        <f>(H345+H346)</f>
        <v>0</v>
      </c>
      <c r="I123" s="1328">
        <f>I346</f>
        <v>0</v>
      </c>
      <c r="J123" s="1328">
        <f t="shared" ref="J123:AA123" si="41">J346</f>
        <v>0</v>
      </c>
      <c r="K123" s="1328">
        <f t="shared" si="41"/>
        <v>0</v>
      </c>
      <c r="L123" s="1328">
        <f t="shared" si="41"/>
        <v>0</v>
      </c>
      <c r="M123" s="1328">
        <f t="shared" si="41"/>
        <v>0</v>
      </c>
      <c r="N123" s="1328">
        <f t="shared" si="41"/>
        <v>0</v>
      </c>
      <c r="O123" s="1328">
        <f t="shared" si="41"/>
        <v>0</v>
      </c>
      <c r="P123" s="1328">
        <f t="shared" si="41"/>
        <v>0</v>
      </c>
      <c r="Q123" s="1328">
        <f t="shared" si="41"/>
        <v>0</v>
      </c>
      <c r="R123" s="1328">
        <f t="shared" si="41"/>
        <v>0</v>
      </c>
      <c r="S123" s="1328">
        <f t="shared" si="41"/>
        <v>0</v>
      </c>
      <c r="T123" s="1328">
        <f t="shared" si="41"/>
        <v>0</v>
      </c>
      <c r="U123" s="1328">
        <f t="shared" si="41"/>
        <v>0</v>
      </c>
      <c r="V123" s="1328">
        <f t="shared" si="41"/>
        <v>0</v>
      </c>
      <c r="W123" s="1328">
        <f t="shared" si="41"/>
        <v>0</v>
      </c>
      <c r="X123" s="1328">
        <f t="shared" si="41"/>
        <v>0</v>
      </c>
      <c r="Y123" s="1328">
        <f t="shared" si="41"/>
        <v>0</v>
      </c>
      <c r="Z123" s="1328">
        <f t="shared" si="41"/>
        <v>0</v>
      </c>
      <c r="AA123" s="1331">
        <f t="shared" si="41"/>
        <v>0</v>
      </c>
    </row>
    <row r="124" spans="2:27" x14ac:dyDescent="0.25">
      <c r="B124" s="576"/>
      <c r="C124" s="38"/>
      <c r="D124" s="38"/>
      <c r="E124" s="211"/>
      <c r="F124" s="211"/>
      <c r="G124" s="1328"/>
      <c r="H124" s="1328"/>
      <c r="I124" s="1328"/>
      <c r="J124" s="1328"/>
      <c r="K124" s="1328"/>
      <c r="L124" s="1328"/>
      <c r="M124" s="1328"/>
      <c r="N124" s="1328"/>
      <c r="O124" s="1328"/>
      <c r="P124" s="1328"/>
      <c r="Q124" s="1328"/>
      <c r="R124" s="1328"/>
      <c r="S124" s="1328"/>
      <c r="T124" s="1328"/>
      <c r="U124" s="1328"/>
      <c r="V124" s="1328"/>
      <c r="W124" s="1328"/>
      <c r="X124" s="1328"/>
      <c r="Y124" s="1328"/>
      <c r="Z124" s="1328"/>
      <c r="AA124" s="1331"/>
    </row>
    <row r="125" spans="2:27" x14ac:dyDescent="0.25">
      <c r="B125" s="576"/>
      <c r="C125" s="38"/>
      <c r="D125" s="38"/>
      <c r="E125" s="211"/>
      <c r="F125" s="211"/>
      <c r="G125" s="1328"/>
      <c r="H125" s="1328"/>
      <c r="I125" s="1328"/>
      <c r="J125" s="1328"/>
      <c r="K125" s="1328"/>
      <c r="L125" s="1328"/>
      <c r="M125" s="1328"/>
      <c r="N125" s="1328"/>
      <c r="O125" s="1328"/>
      <c r="P125" s="1328"/>
      <c r="Q125" s="1328"/>
      <c r="R125" s="1328"/>
      <c r="S125" s="1328"/>
      <c r="T125" s="1328"/>
      <c r="U125" s="1328"/>
      <c r="V125" s="1328"/>
      <c r="W125" s="1328"/>
      <c r="X125" s="1328"/>
      <c r="Y125" s="1328"/>
      <c r="Z125" s="1328"/>
      <c r="AA125" s="1331"/>
    </row>
    <row r="126" spans="2:27" x14ac:dyDescent="0.25">
      <c r="B126" s="583" t="s">
        <v>518</v>
      </c>
      <c r="C126" s="38"/>
      <c r="D126" s="38"/>
      <c r="E126" s="211"/>
      <c r="F126" s="211"/>
      <c r="G126" s="1328"/>
      <c r="H126" s="1328"/>
      <c r="I126" s="1328"/>
      <c r="J126" s="1328"/>
      <c r="K126" s="1328"/>
      <c r="L126" s="1328"/>
      <c r="M126" s="1328"/>
      <c r="N126" s="1328"/>
      <c r="O126" s="1328"/>
      <c r="P126" s="1328"/>
      <c r="Q126" s="1328"/>
      <c r="R126" s="1328"/>
      <c r="S126" s="1328"/>
      <c r="T126" s="1328"/>
      <c r="U126" s="1328"/>
      <c r="V126" s="1328"/>
      <c r="W126" s="1328"/>
      <c r="X126" s="1328"/>
      <c r="Y126" s="1328"/>
      <c r="Z126" s="1328"/>
      <c r="AA126" s="1331"/>
    </row>
    <row r="127" spans="2:27" x14ac:dyDescent="0.25">
      <c r="B127" s="576"/>
      <c r="C127" s="38"/>
      <c r="D127" s="38"/>
      <c r="E127" s="211"/>
      <c r="F127" s="211"/>
      <c r="G127" s="1328"/>
      <c r="H127" s="1328"/>
      <c r="I127" s="1328"/>
      <c r="J127" s="1328"/>
      <c r="K127" s="1328"/>
      <c r="L127" s="1328"/>
      <c r="M127" s="1328"/>
      <c r="N127" s="1328"/>
      <c r="O127" s="1328"/>
      <c r="P127" s="1328"/>
      <c r="Q127" s="1328"/>
      <c r="R127" s="1328"/>
      <c r="S127" s="1328"/>
      <c r="T127" s="1328"/>
      <c r="U127" s="1328"/>
      <c r="V127" s="1328"/>
      <c r="W127" s="1328"/>
      <c r="X127" s="1328"/>
      <c r="Y127" s="1328"/>
      <c r="Z127" s="1328"/>
      <c r="AA127" s="1331"/>
    </row>
    <row r="128" spans="2:27" x14ac:dyDescent="0.25">
      <c r="B128" s="576" t="str">
        <f>B114</f>
        <v>Operations &amp; Maintenance Expenses</v>
      </c>
      <c r="C128" s="38"/>
      <c r="D128" s="38"/>
      <c r="E128" s="211"/>
      <c r="F128" s="211" t="s">
        <v>631</v>
      </c>
      <c r="G128" s="1328"/>
      <c r="H128" s="1328">
        <f>-H114</f>
        <v>-18248.175182481751</v>
      </c>
      <c r="I128" s="1328">
        <f>-I114</f>
        <v>-18613.138686131388</v>
      </c>
      <c r="J128" s="1328">
        <f t="shared" ref="J128:AA128" si="42">-J114</f>
        <v>-18985.401459854013</v>
      </c>
      <c r="K128" s="1328">
        <f t="shared" si="42"/>
        <v>-19365.109489051094</v>
      </c>
      <c r="L128" s="1328">
        <f t="shared" si="42"/>
        <v>-19752.411678832115</v>
      </c>
      <c r="M128" s="1328">
        <f t="shared" si="42"/>
        <v>-20147.459912408758</v>
      </c>
      <c r="N128" s="1328">
        <f t="shared" si="42"/>
        <v>-20550.409110656936</v>
      </c>
      <c r="O128" s="1328">
        <f t="shared" si="42"/>
        <v>-20961.417292870068</v>
      </c>
      <c r="P128" s="1328">
        <f t="shared" si="42"/>
        <v>-21380.645638727474</v>
      </c>
      <c r="Q128" s="1328">
        <f t="shared" si="42"/>
        <v>-21808.258551502022</v>
      </c>
      <c r="R128" s="1328">
        <f t="shared" si="42"/>
        <v>-22244.423722532065</v>
      </c>
      <c r="S128" s="1328">
        <f t="shared" si="42"/>
        <v>-22689.312196982701</v>
      </c>
      <c r="T128" s="1328">
        <f t="shared" si="42"/>
        <v>-23143.098440922357</v>
      </c>
      <c r="U128" s="1328">
        <f t="shared" si="42"/>
        <v>-23605.960409740805</v>
      </c>
      <c r="V128" s="1328">
        <f t="shared" si="42"/>
        <v>-24078.079617935622</v>
      </c>
      <c r="W128" s="1328">
        <f t="shared" si="42"/>
        <v>-24559.641210294329</v>
      </c>
      <c r="X128" s="1328">
        <f t="shared" si="42"/>
        <v>-25050.834034500218</v>
      </c>
      <c r="Y128" s="1328">
        <f t="shared" si="42"/>
        <v>-25551.850715190227</v>
      </c>
      <c r="Z128" s="1328">
        <f t="shared" si="42"/>
        <v>-26062.887729494028</v>
      </c>
      <c r="AA128" s="1331">
        <f t="shared" si="42"/>
        <v>-26584.145484083907</v>
      </c>
    </row>
    <row r="129" spans="2:27" x14ac:dyDescent="0.25">
      <c r="B129" s="576" t="str">
        <f>B121</f>
        <v xml:space="preserve">Front-end Fees </v>
      </c>
      <c r="C129" s="38"/>
      <c r="D129" s="38"/>
      <c r="E129" s="211"/>
      <c r="F129" s="211" t="s">
        <v>631</v>
      </c>
      <c r="G129" s="1328"/>
      <c r="H129" s="1328">
        <f t="shared" ref="H129:I131" si="43">-H121</f>
        <v>0</v>
      </c>
      <c r="I129" s="1328">
        <f t="shared" si="43"/>
        <v>0</v>
      </c>
      <c r="J129" s="1328">
        <f t="shared" ref="J129:AA129" si="44">-J121</f>
        <v>0</v>
      </c>
      <c r="K129" s="1328">
        <f t="shared" si="44"/>
        <v>0</v>
      </c>
      <c r="L129" s="1328">
        <f t="shared" si="44"/>
        <v>0</v>
      </c>
      <c r="M129" s="1328">
        <f t="shared" si="44"/>
        <v>0</v>
      </c>
      <c r="N129" s="1328">
        <f t="shared" si="44"/>
        <v>0</v>
      </c>
      <c r="O129" s="1328">
        <f t="shared" si="44"/>
        <v>0</v>
      </c>
      <c r="P129" s="1328">
        <f t="shared" si="44"/>
        <v>0</v>
      </c>
      <c r="Q129" s="1328">
        <f t="shared" si="44"/>
        <v>0</v>
      </c>
      <c r="R129" s="1328">
        <f t="shared" si="44"/>
        <v>0</v>
      </c>
      <c r="S129" s="1328">
        <f t="shared" si="44"/>
        <v>0</v>
      </c>
      <c r="T129" s="1328">
        <f t="shared" si="44"/>
        <v>0</v>
      </c>
      <c r="U129" s="1328">
        <f t="shared" si="44"/>
        <v>0</v>
      </c>
      <c r="V129" s="1328">
        <f t="shared" si="44"/>
        <v>0</v>
      </c>
      <c r="W129" s="1328">
        <f t="shared" si="44"/>
        <v>0</v>
      </c>
      <c r="X129" s="1328">
        <f t="shared" si="44"/>
        <v>0</v>
      </c>
      <c r="Y129" s="1328">
        <f t="shared" si="44"/>
        <v>0</v>
      </c>
      <c r="Z129" s="1328">
        <f t="shared" si="44"/>
        <v>0</v>
      </c>
      <c r="AA129" s="1331">
        <f t="shared" si="44"/>
        <v>0</v>
      </c>
    </row>
    <row r="130" spans="2:27" x14ac:dyDescent="0.25">
      <c r="B130" s="576" t="str">
        <f>B122</f>
        <v xml:space="preserve">Public Guarantee Fees </v>
      </c>
      <c r="C130" s="38"/>
      <c r="D130" s="38"/>
      <c r="E130" s="211"/>
      <c r="F130" s="211" t="s">
        <v>631</v>
      </c>
      <c r="G130" s="1328"/>
      <c r="H130" s="1328">
        <f t="shared" si="43"/>
        <v>0</v>
      </c>
      <c r="I130" s="1328">
        <f t="shared" si="43"/>
        <v>0</v>
      </c>
      <c r="J130" s="1328">
        <f t="shared" ref="J130:AA130" si="45">-J122</f>
        <v>0</v>
      </c>
      <c r="K130" s="1328">
        <f t="shared" si="45"/>
        <v>0</v>
      </c>
      <c r="L130" s="1328">
        <f t="shared" si="45"/>
        <v>0</v>
      </c>
      <c r="M130" s="1328">
        <f t="shared" si="45"/>
        <v>0</v>
      </c>
      <c r="N130" s="1328">
        <f t="shared" si="45"/>
        <v>0</v>
      </c>
      <c r="O130" s="1328">
        <f t="shared" si="45"/>
        <v>0</v>
      </c>
      <c r="P130" s="1328">
        <f t="shared" si="45"/>
        <v>0</v>
      </c>
      <c r="Q130" s="1328">
        <f t="shared" si="45"/>
        <v>0</v>
      </c>
      <c r="R130" s="1328">
        <f t="shared" si="45"/>
        <v>0</v>
      </c>
      <c r="S130" s="1328">
        <f t="shared" si="45"/>
        <v>0</v>
      </c>
      <c r="T130" s="1328">
        <f t="shared" si="45"/>
        <v>0</v>
      </c>
      <c r="U130" s="1328">
        <f t="shared" si="45"/>
        <v>0</v>
      </c>
      <c r="V130" s="1328">
        <f t="shared" si="45"/>
        <v>0</v>
      </c>
      <c r="W130" s="1328">
        <f t="shared" si="45"/>
        <v>0</v>
      </c>
      <c r="X130" s="1328">
        <f t="shared" si="45"/>
        <v>0</v>
      </c>
      <c r="Y130" s="1328">
        <f t="shared" si="45"/>
        <v>0</v>
      </c>
      <c r="Z130" s="1328">
        <f t="shared" si="45"/>
        <v>0</v>
      </c>
      <c r="AA130" s="1331">
        <f t="shared" si="45"/>
        <v>0</v>
      </c>
    </row>
    <row r="131" spans="2:27" x14ac:dyDescent="0.25">
      <c r="B131" s="576" t="str">
        <f>B123</f>
        <v>Political Risk Insurance - Fees &amp; Annual Premium Payments</v>
      </c>
      <c r="C131" s="38"/>
      <c r="D131" s="38"/>
      <c r="E131" s="211"/>
      <c r="F131" s="211" t="s">
        <v>631</v>
      </c>
      <c r="G131" s="1328"/>
      <c r="H131" s="1328">
        <f t="shared" si="43"/>
        <v>0</v>
      </c>
      <c r="I131" s="1328">
        <f t="shared" si="43"/>
        <v>0</v>
      </c>
      <c r="J131" s="1328">
        <f t="shared" ref="J131:AA131" si="46">-J123</f>
        <v>0</v>
      </c>
      <c r="K131" s="1328">
        <f t="shared" si="46"/>
        <v>0</v>
      </c>
      <c r="L131" s="1328">
        <f t="shared" si="46"/>
        <v>0</v>
      </c>
      <c r="M131" s="1328">
        <f t="shared" si="46"/>
        <v>0</v>
      </c>
      <c r="N131" s="1328">
        <f t="shared" si="46"/>
        <v>0</v>
      </c>
      <c r="O131" s="1328">
        <f t="shared" si="46"/>
        <v>0</v>
      </c>
      <c r="P131" s="1328">
        <f t="shared" si="46"/>
        <v>0</v>
      </c>
      <c r="Q131" s="1328">
        <f t="shared" si="46"/>
        <v>0</v>
      </c>
      <c r="R131" s="1328">
        <f t="shared" si="46"/>
        <v>0</v>
      </c>
      <c r="S131" s="1328">
        <f t="shared" si="46"/>
        <v>0</v>
      </c>
      <c r="T131" s="1328">
        <f t="shared" si="46"/>
        <v>0</v>
      </c>
      <c r="U131" s="1328">
        <f t="shared" si="46"/>
        <v>0</v>
      </c>
      <c r="V131" s="1328">
        <f t="shared" si="46"/>
        <v>0</v>
      </c>
      <c r="W131" s="1328">
        <f t="shared" si="46"/>
        <v>0</v>
      </c>
      <c r="X131" s="1328">
        <f t="shared" si="46"/>
        <v>0</v>
      </c>
      <c r="Y131" s="1328">
        <f t="shared" si="46"/>
        <v>0</v>
      </c>
      <c r="Z131" s="1328">
        <f t="shared" si="46"/>
        <v>0</v>
      </c>
      <c r="AA131" s="1331">
        <f t="shared" si="46"/>
        <v>0</v>
      </c>
    </row>
    <row r="132" spans="2:27" x14ac:dyDescent="0.25">
      <c r="B132" s="576" t="s">
        <v>102</v>
      </c>
      <c r="C132" s="38"/>
      <c r="D132" s="38"/>
      <c r="E132" s="211"/>
      <c r="F132" s="211" t="s">
        <v>631</v>
      </c>
      <c r="G132" s="1328"/>
      <c r="H132" s="1328">
        <f>-(H284+H305+H326)</f>
        <v>-62835719.044188842</v>
      </c>
      <c r="I132" s="1328">
        <f t="shared" ref="I132:AA132" si="47">-(I284+I305+I326)</f>
        <v>-62835719.044188842</v>
      </c>
      <c r="J132" s="1328">
        <f t="shared" si="47"/>
        <v>-62835719.044188842</v>
      </c>
      <c r="K132" s="1328">
        <f t="shared" si="47"/>
        <v>-62835719.044188835</v>
      </c>
      <c r="L132" s="1328">
        <f t="shared" si="47"/>
        <v>-62835719.044188842</v>
      </c>
      <c r="M132" s="1328">
        <f t="shared" si="47"/>
        <v>-62835719.044188842</v>
      </c>
      <c r="N132" s="1328">
        <f t="shared" si="47"/>
        <v>-62835719.044188842</v>
      </c>
      <c r="O132" s="1328">
        <f t="shared" si="47"/>
        <v>-62835719.044188842</v>
      </c>
      <c r="P132" s="1328">
        <f t="shared" si="47"/>
        <v>-62835719.044188842</v>
      </c>
      <c r="Q132" s="1328">
        <f t="shared" si="47"/>
        <v>-62835719.044188842</v>
      </c>
      <c r="R132" s="1328">
        <f t="shared" si="47"/>
        <v>-62835719.044188842</v>
      </c>
      <c r="S132" s="1328">
        <f t="shared" si="47"/>
        <v>-23357318.18242003</v>
      </c>
      <c r="T132" s="1328">
        <f t="shared" si="47"/>
        <v>-23357318.182420027</v>
      </c>
      <c r="U132" s="1328">
        <f t="shared" si="47"/>
        <v>-23357318.18242003</v>
      </c>
      <c r="V132" s="1328">
        <f t="shared" si="47"/>
        <v>-23357318.18242003</v>
      </c>
      <c r="W132" s="1328">
        <f t="shared" si="47"/>
        <v>-23357318.18242003</v>
      </c>
      <c r="X132" s="1328">
        <f t="shared" si="47"/>
        <v>-23357318.18242003</v>
      </c>
      <c r="Y132" s="1328">
        <f t="shared" si="47"/>
        <v>-23357318.18242003</v>
      </c>
      <c r="Z132" s="1328">
        <f t="shared" si="47"/>
        <v>-23357318.18242003</v>
      </c>
      <c r="AA132" s="1331">
        <f t="shared" si="47"/>
        <v>-23357318.18242003</v>
      </c>
    </row>
    <row r="133" spans="2:27" x14ac:dyDescent="0.25">
      <c r="B133" s="584" t="s">
        <v>103</v>
      </c>
      <c r="C133" s="39"/>
      <c r="D133" s="39"/>
      <c r="E133" s="213"/>
      <c r="F133" s="213" t="s">
        <v>631</v>
      </c>
      <c r="G133" s="1332"/>
      <c r="H133" s="1332">
        <f>(H114+H116+H121+H122+H123+H118+H119+H120)*'III. Inputs, Renewable Energy'!$U$17</f>
        <v>21649050.046116658</v>
      </c>
      <c r="I133" s="1332">
        <f>(I114+I116+I121+I122+I123+I118+I119+I120)*'III. Inputs, Renewable Energy'!$U$17</f>
        <v>21156364.536915939</v>
      </c>
      <c r="J133" s="1332">
        <f>(J114+J116+J121+J122+J123+J118+J119+J120)*'III. Inputs, Renewable Energy'!$U$17</f>
        <v>20638043.038085043</v>
      </c>
      <c r="K133" s="1332">
        <f>(K114+K116+K121+K122+K123+K118+K119+K120)*'III. Inputs, Renewable Energy'!$U$17</f>
        <v>20092726.753591683</v>
      </c>
      <c r="L133" s="1332">
        <f>(L114+L116+L121+L122+L123+L118+L119+L120)*'III. Inputs, Renewable Energy'!$U$17</f>
        <v>19518983.78844776</v>
      </c>
      <c r="M133" s="1332">
        <f>(M114+M116+M121+M122+M123+M118+M119+M120)*'III. Inputs, Renewable Energy'!$U$17</f>
        <v>18915305.170403879</v>
      </c>
      <c r="N133" s="1332">
        <f>(N114+N116+N121+N122+N123+N118+N119+N120)*'III. Inputs, Renewable Energy'!$U$17</f>
        <v>18280100.653213341</v>
      </c>
      <c r="O133" s="1332">
        <f>(O114+O116+O121+O122+O123+O118+O119+O120)*'III. Inputs, Renewable Energy'!$U$17</f>
        <v>17611694.289393567</v>
      </c>
      <c r="P133" s="1332">
        <f>(P114+P116+P121+P122+P123+P118+P119+P120)*'III. Inputs, Renewable Energy'!$U$17</f>
        <v>16908319.759742044</v>
      </c>
      <c r="Q133" s="1332">
        <f>(Q114+Q116+Q121+Q122+Q123+Q118+Q119+Q120)*'III. Inputs, Renewable Energy'!$U$17</f>
        <v>16168115.446156377</v>
      </c>
      <c r="R133" s="1332">
        <f>(R114+R116+R121+R122+R123+R118+R119+R120)*'III. Inputs, Renewable Energy'!$U$17</f>
        <v>15389119.233560545</v>
      </c>
      <c r="S133" s="1332">
        <f>(S114+S116+S121+S122+S123+S118+S119+S120)*'III. Inputs, Renewable Energy'!$U$17</f>
        <v>14569263.025950568</v>
      </c>
      <c r="T133" s="1332">
        <f>(T114+T116+T121+T122+T123+T118+T119+T120)*'III. Inputs, Renewable Energy'!$U$17</f>
        <v>14372472.658619799</v>
      </c>
      <c r="U133" s="1332">
        <f>(U114+U116+U121+U122+U123+U118+U119+U120)*'III. Inputs, Renewable Energy'!$U$17</f>
        <v>14167807.953878336</v>
      </c>
      <c r="V133" s="1332">
        <f>(V114+V116+V121+V122+V123+V118+V119+V120)*'III. Inputs, Renewable Energy'!$U$17</f>
        <v>13954953.8837754</v>
      </c>
      <c r="W133" s="1332">
        <f>(W114+W116+W121+W122+W123+W118+W119+W120)*'III. Inputs, Renewable Energy'!$U$17</f>
        <v>13733582.8181531</v>
      </c>
      <c r="X133" s="1332">
        <f>(X114+X116+X121+X122+X123+X118+X119+X120)*'III. Inputs, Renewable Energy'!$U$17</f>
        <v>13503354.020536354</v>
      </c>
      <c r="Y133" s="1332">
        <f>(Y114+Y116+Y121+Y122+Y123+Y118+Y119+Y120)*'III. Inputs, Renewable Energy'!$U$17</f>
        <v>13263913.123857988</v>
      </c>
      <c r="Z133" s="1332">
        <f>(Z114+Z116+Z121+Z122+Z123+Z118+Z119+Z120)*'III. Inputs, Renewable Energy'!$U$17</f>
        <v>13014891.585212409</v>
      </c>
      <c r="AA133" s="1333">
        <f>(AA114+AA116+AA121+AA122+AA123+AA118+AA119+AA120)*'III. Inputs, Renewable Energy'!$U$17</f>
        <v>12755906.118798917</v>
      </c>
    </row>
    <row r="134" spans="2:27" x14ac:dyDescent="0.25">
      <c r="B134" s="576" t="s">
        <v>104</v>
      </c>
      <c r="C134" s="38"/>
      <c r="D134" s="38"/>
      <c r="E134" s="211"/>
      <c r="F134" s="211" t="s">
        <v>631</v>
      </c>
      <c r="G134" s="1328">
        <f>-'III. Inputs, Renewable Energy'!$U$14*'III. Inputs, Renewable Energy'!$U$15*'III. Inputs, Renewable Energy'!$V$27</f>
        <v>-240811678.83211675</v>
      </c>
      <c r="H134" s="1328">
        <f>SUM(H128:H133)</f>
        <v>-41204917.173254669</v>
      </c>
      <c r="I134" s="1328">
        <f>SUM(I128:I133)</f>
        <v>-41697967.645959035</v>
      </c>
      <c r="J134" s="1328">
        <f t="shared" ref="J134:AA134" si="48">SUM(J128:J133)</f>
        <v>-42216661.407563649</v>
      </c>
      <c r="K134" s="1328">
        <f t="shared" si="48"/>
        <v>-42762357.400086209</v>
      </c>
      <c r="L134" s="1328">
        <f t="shared" si="48"/>
        <v>-43336487.667419918</v>
      </c>
      <c r="M134" s="1328">
        <f t="shared" si="48"/>
        <v>-43940561.333697379</v>
      </c>
      <c r="N134" s="1328">
        <f t="shared" si="48"/>
        <v>-44576168.800086156</v>
      </c>
      <c r="O134" s="1328">
        <f t="shared" si="48"/>
        <v>-45244986.172088146</v>
      </c>
      <c r="P134" s="1328">
        <f t="shared" si="48"/>
        <v>-45948779.930085525</v>
      </c>
      <c r="Q134" s="1328">
        <f t="shared" si="48"/>
        <v>-46689411.856583968</v>
      </c>
      <c r="R134" s="1328">
        <f t="shared" si="48"/>
        <v>-47468844.23435083</v>
      </c>
      <c r="S134" s="1328">
        <f t="shared" si="48"/>
        <v>-8810744.4686664436</v>
      </c>
      <c r="T134" s="1328">
        <f t="shared" si="48"/>
        <v>-9007988.6222411506</v>
      </c>
      <c r="U134" s="1328">
        <f t="shared" si="48"/>
        <v>-9213116.1889514364</v>
      </c>
      <c r="V134" s="1328">
        <f t="shared" si="48"/>
        <v>-9426442.3782625664</v>
      </c>
      <c r="W134" s="1328">
        <f t="shared" si="48"/>
        <v>-9648295.0054772254</v>
      </c>
      <c r="X134" s="1328">
        <f t="shared" si="48"/>
        <v>-9879014.9959181752</v>
      </c>
      <c r="Y134" s="1328">
        <f t="shared" si="48"/>
        <v>-10118956.909277232</v>
      </c>
      <c r="Z134" s="1328">
        <f t="shared" si="48"/>
        <v>-10368489.484937117</v>
      </c>
      <c r="AA134" s="1331">
        <f t="shared" si="48"/>
        <v>-10627996.209105195</v>
      </c>
    </row>
    <row r="135" spans="2:27" x14ac:dyDescent="0.25">
      <c r="B135" s="576"/>
      <c r="C135" s="38"/>
      <c r="D135" s="38"/>
      <c r="E135" s="211"/>
      <c r="F135" s="38"/>
      <c r="G135" s="38"/>
      <c r="H135" s="38"/>
      <c r="I135" s="38"/>
      <c r="J135" s="38"/>
      <c r="K135" s="38"/>
      <c r="L135" s="38"/>
      <c r="M135" s="38"/>
      <c r="N135" s="38"/>
      <c r="O135" s="38"/>
      <c r="P135" s="38"/>
      <c r="Q135" s="38"/>
      <c r="R135" s="38"/>
      <c r="S135" s="38"/>
      <c r="T135" s="38"/>
      <c r="U135" s="38"/>
      <c r="V135" s="38"/>
      <c r="W135" s="38"/>
      <c r="X135" s="38"/>
      <c r="Y135" s="38"/>
      <c r="Z135" s="38"/>
      <c r="AA135" s="577"/>
    </row>
    <row r="136" spans="2:27" x14ac:dyDescent="0.25">
      <c r="B136" s="576" t="s">
        <v>105</v>
      </c>
      <c r="C136" s="38"/>
      <c r="D136" s="38"/>
      <c r="E136" s="211"/>
      <c r="F136" s="38"/>
      <c r="G136" s="1127">
        <f>SUM('III. Inputs, Renewable Energy'!$V$35)</f>
        <v>0.12748463872437021</v>
      </c>
      <c r="H136" s="38"/>
      <c r="I136" s="38"/>
      <c r="J136" s="38"/>
      <c r="K136" s="38"/>
      <c r="L136" s="38"/>
      <c r="M136" s="38"/>
      <c r="N136" s="38"/>
      <c r="O136" s="38"/>
      <c r="P136" s="38"/>
      <c r="Q136" s="38"/>
      <c r="R136" s="38"/>
      <c r="S136" s="38"/>
      <c r="T136" s="38"/>
      <c r="U136" s="38"/>
      <c r="V136" s="38"/>
      <c r="W136" s="38"/>
      <c r="X136" s="38"/>
      <c r="Y136" s="38"/>
      <c r="Z136" s="38"/>
      <c r="AA136" s="577"/>
    </row>
    <row r="137" spans="2:27" x14ac:dyDescent="0.25">
      <c r="B137" s="576" t="s">
        <v>106</v>
      </c>
      <c r="C137" s="38"/>
      <c r="D137" s="38"/>
      <c r="E137" s="211"/>
      <c r="F137" s="38"/>
      <c r="G137" s="1328">
        <f>NPV(G136,H134:AA134)+G134</f>
        <v>-503321038.82207</v>
      </c>
      <c r="H137" s="38"/>
      <c r="I137" s="38"/>
      <c r="J137" s="38"/>
      <c r="K137" s="38"/>
      <c r="L137" s="38"/>
      <c r="M137" s="38"/>
      <c r="N137" s="38"/>
      <c r="O137" s="38"/>
      <c r="P137" s="38"/>
      <c r="Q137" s="38"/>
      <c r="R137" s="38"/>
      <c r="S137" s="38"/>
      <c r="T137" s="38"/>
      <c r="U137" s="38"/>
      <c r="V137" s="38"/>
      <c r="W137" s="38"/>
      <c r="X137" s="38"/>
      <c r="Y137" s="38"/>
      <c r="Z137" s="38"/>
      <c r="AA137" s="577"/>
    </row>
    <row r="138" spans="2:27" ht="17.25" customHeight="1" x14ac:dyDescent="0.25">
      <c r="B138" s="576" t="s">
        <v>107</v>
      </c>
      <c r="C138" s="38"/>
      <c r="D138" s="38"/>
      <c r="E138" s="211"/>
      <c r="F138" s="38"/>
      <c r="G138" s="1328">
        <f>-NPV($G$136,H110:AA110)</f>
        <v>-10015844.090824345</v>
      </c>
      <c r="H138" s="38"/>
      <c r="I138" s="38"/>
      <c r="J138" s="38"/>
      <c r="K138" s="38"/>
      <c r="L138" s="38"/>
      <c r="M138" s="38"/>
      <c r="N138" s="38"/>
      <c r="O138" s="38"/>
      <c r="P138" s="38"/>
      <c r="Q138" s="38"/>
      <c r="R138" s="38"/>
      <c r="S138" s="38"/>
      <c r="T138" s="38"/>
      <c r="U138" s="38"/>
      <c r="V138" s="38"/>
      <c r="W138" s="38"/>
      <c r="X138" s="38"/>
      <c r="Y138" s="38"/>
      <c r="Z138" s="38"/>
      <c r="AA138" s="577"/>
    </row>
    <row r="139" spans="2:27" ht="17.25" customHeight="1" thickBot="1" x14ac:dyDescent="0.3">
      <c r="B139" s="576" t="s">
        <v>108</v>
      </c>
      <c r="C139" s="38"/>
      <c r="D139" s="38"/>
      <c r="E139" s="211"/>
      <c r="F139" s="211" t="s">
        <v>633</v>
      </c>
      <c r="G139" s="1334">
        <f>IF(OR(G137=0, G138=0), 0, G137/G138)</f>
        <v>50.252483391107241</v>
      </c>
      <c r="H139" s="38"/>
      <c r="I139" s="38"/>
      <c r="J139" s="38"/>
      <c r="K139" s="38"/>
      <c r="L139" s="38"/>
      <c r="M139" s="38"/>
      <c r="N139" s="38"/>
      <c r="O139" s="38"/>
      <c r="P139" s="38"/>
      <c r="Q139" s="38"/>
      <c r="R139" s="38"/>
      <c r="S139" s="38"/>
      <c r="T139" s="38"/>
      <c r="U139" s="38"/>
      <c r="V139" s="38"/>
      <c r="W139" s="38"/>
      <c r="X139" s="38"/>
      <c r="Y139" s="38"/>
      <c r="Z139" s="38"/>
      <c r="AA139" s="577"/>
    </row>
    <row r="140" spans="2:27" ht="17.25" customHeight="1" thickBot="1" x14ac:dyDescent="0.3">
      <c r="B140" s="585" t="s">
        <v>109</v>
      </c>
      <c r="C140" s="586"/>
      <c r="D140" s="586"/>
      <c r="E140" s="587"/>
      <c r="F140" s="587" t="s">
        <v>632</v>
      </c>
      <c r="G140" s="1335">
        <f>$G$139/(1-'III. Inputs, Renewable Energy'!$U$17)</f>
        <v>71.789261987296058</v>
      </c>
      <c r="H140" s="38"/>
      <c r="I140" s="38"/>
      <c r="J140" s="38"/>
      <c r="K140" s="38"/>
      <c r="L140" s="38"/>
      <c r="M140" s="38"/>
      <c r="N140" s="38"/>
      <c r="O140" s="38"/>
      <c r="P140" s="38"/>
      <c r="Q140" s="38"/>
      <c r="R140" s="38"/>
      <c r="S140" s="38"/>
      <c r="T140" s="38"/>
      <c r="U140" s="38"/>
      <c r="V140" s="38"/>
      <c r="W140" s="38"/>
      <c r="X140" s="38"/>
      <c r="Y140" s="38"/>
      <c r="Z140" s="38"/>
      <c r="AA140" s="577"/>
    </row>
    <row r="141" spans="2:27" ht="17.25" customHeight="1" thickBot="1" x14ac:dyDescent="0.3">
      <c r="B141" s="588"/>
      <c r="C141" s="589"/>
      <c r="D141" s="589"/>
      <c r="E141" s="590"/>
      <c r="F141" s="590"/>
      <c r="G141" s="591"/>
      <c r="H141" s="592"/>
      <c r="I141" s="592"/>
      <c r="J141" s="592"/>
      <c r="K141" s="592"/>
      <c r="L141" s="592"/>
      <c r="M141" s="592"/>
      <c r="N141" s="592"/>
      <c r="O141" s="592"/>
      <c r="P141" s="592"/>
      <c r="Q141" s="592"/>
      <c r="R141" s="592"/>
      <c r="S141" s="592"/>
      <c r="T141" s="592"/>
      <c r="U141" s="592"/>
      <c r="V141" s="592"/>
      <c r="W141" s="592"/>
      <c r="X141" s="592"/>
      <c r="Y141" s="592"/>
      <c r="Z141" s="592"/>
      <c r="AA141" s="593"/>
    </row>
    <row r="142" spans="2:27" ht="17.25" customHeight="1" thickBot="1" x14ac:dyDescent="0.3"/>
    <row r="143" spans="2:27" ht="10.5" customHeight="1" outlineLevel="1" x14ac:dyDescent="0.25">
      <c r="B143" s="594"/>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row>
    <row r="144" spans="2:27" ht="17.25" customHeight="1" outlineLevel="1" x14ac:dyDescent="0.25">
      <c r="B144" s="583" t="s">
        <v>110</v>
      </c>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row>
    <row r="145" spans="2:28" ht="6.75" customHeight="1" outlineLevel="1" x14ac:dyDescent="0.25">
      <c r="B145" s="576"/>
      <c r="C145" s="38"/>
      <c r="D145" s="38"/>
      <c r="E145" s="211"/>
      <c r="F145" s="38"/>
      <c r="G145" s="38"/>
      <c r="H145" s="38"/>
      <c r="I145" s="38"/>
      <c r="J145" s="38"/>
      <c r="K145" s="38"/>
      <c r="L145" s="38"/>
      <c r="M145" s="38"/>
      <c r="N145" s="38"/>
      <c r="O145" s="38"/>
      <c r="P145" s="38"/>
      <c r="Q145" s="38"/>
      <c r="R145" s="38"/>
      <c r="S145" s="38"/>
      <c r="T145" s="38"/>
      <c r="U145" s="38"/>
      <c r="V145" s="38"/>
      <c r="W145" s="38"/>
      <c r="X145" s="38"/>
      <c r="Y145" s="38"/>
      <c r="Z145" s="38"/>
      <c r="AA145" s="38"/>
    </row>
    <row r="146" spans="2:28" ht="17.25" customHeight="1" outlineLevel="1" x14ac:dyDescent="0.25">
      <c r="B146" s="578" t="s">
        <v>58</v>
      </c>
      <c r="C146" s="579"/>
      <c r="D146" s="579"/>
      <c r="E146" s="580"/>
      <c r="F146" s="579"/>
      <c r="G146" s="580">
        <f>G106</f>
        <v>0</v>
      </c>
      <c r="H146" s="580">
        <f t="shared" ref="H146:AA146" si="49">H106</f>
        <v>1</v>
      </c>
      <c r="I146" s="580">
        <f t="shared" si="49"/>
        <v>2</v>
      </c>
      <c r="J146" s="580">
        <f t="shared" si="49"/>
        <v>3</v>
      </c>
      <c r="K146" s="580">
        <f t="shared" si="49"/>
        <v>4</v>
      </c>
      <c r="L146" s="580">
        <f t="shared" si="49"/>
        <v>5</v>
      </c>
      <c r="M146" s="580">
        <f t="shared" si="49"/>
        <v>6</v>
      </c>
      <c r="N146" s="580">
        <f t="shared" si="49"/>
        <v>7</v>
      </c>
      <c r="O146" s="580">
        <f t="shared" si="49"/>
        <v>8</v>
      </c>
      <c r="P146" s="580">
        <f t="shared" si="49"/>
        <v>9</v>
      </c>
      <c r="Q146" s="580">
        <f t="shared" si="49"/>
        <v>10</v>
      </c>
      <c r="R146" s="580">
        <f t="shared" si="49"/>
        <v>11</v>
      </c>
      <c r="S146" s="580">
        <f t="shared" si="49"/>
        <v>12</v>
      </c>
      <c r="T146" s="580">
        <f t="shared" si="49"/>
        <v>13</v>
      </c>
      <c r="U146" s="580">
        <f t="shared" si="49"/>
        <v>14</v>
      </c>
      <c r="V146" s="580">
        <f t="shared" si="49"/>
        <v>15</v>
      </c>
      <c r="W146" s="580">
        <f t="shared" si="49"/>
        <v>16</v>
      </c>
      <c r="X146" s="580">
        <f t="shared" si="49"/>
        <v>17</v>
      </c>
      <c r="Y146" s="580">
        <f t="shared" si="49"/>
        <v>18</v>
      </c>
      <c r="Z146" s="580">
        <f t="shared" si="49"/>
        <v>19</v>
      </c>
      <c r="AA146" s="580">
        <f t="shared" si="49"/>
        <v>20</v>
      </c>
    </row>
    <row r="147" spans="2:28" ht="17.25" customHeight="1" outlineLevel="1" x14ac:dyDescent="0.25">
      <c r="B147" s="576"/>
      <c r="C147" s="38"/>
      <c r="D147" s="38"/>
      <c r="E147" s="211"/>
      <c r="F147" s="38"/>
      <c r="G147" s="211"/>
      <c r="H147" s="211"/>
      <c r="I147" s="38"/>
      <c r="J147" s="38"/>
      <c r="K147" s="38"/>
      <c r="L147" s="38"/>
      <c r="M147" s="38"/>
      <c r="N147" s="38"/>
      <c r="O147" s="38"/>
      <c r="P147" s="38"/>
      <c r="Q147" s="38"/>
      <c r="R147" s="38"/>
      <c r="S147" s="38"/>
      <c r="T147" s="38"/>
      <c r="U147" s="38"/>
      <c r="V147" s="38"/>
      <c r="W147" s="38"/>
      <c r="X147" s="38"/>
      <c r="Y147" s="38"/>
      <c r="Z147" s="38"/>
      <c r="AA147" s="38"/>
    </row>
    <row r="148" spans="2:28" ht="17.25" customHeight="1" outlineLevel="1" x14ac:dyDescent="0.25">
      <c r="B148" s="576" t="s">
        <v>97</v>
      </c>
      <c r="C148" s="38"/>
      <c r="D148" s="38"/>
      <c r="E148" s="211"/>
      <c r="F148" s="211" t="s">
        <v>98</v>
      </c>
      <c r="G148" s="211"/>
      <c r="H148" s="595">
        <f>H110</f>
        <v>1404288</v>
      </c>
      <c r="I148" s="595">
        <f t="shared" ref="I148:AA148" si="50">I110</f>
        <v>1404288</v>
      </c>
      <c r="J148" s="595">
        <f t="shared" si="50"/>
        <v>1404288</v>
      </c>
      <c r="K148" s="595">
        <f t="shared" si="50"/>
        <v>1404288</v>
      </c>
      <c r="L148" s="595">
        <f t="shared" si="50"/>
        <v>1404288</v>
      </c>
      <c r="M148" s="595">
        <f t="shared" si="50"/>
        <v>1404288</v>
      </c>
      <c r="N148" s="595">
        <f t="shared" si="50"/>
        <v>1404288</v>
      </c>
      <c r="O148" s="595">
        <f t="shared" si="50"/>
        <v>1404288</v>
      </c>
      <c r="P148" s="595">
        <f t="shared" si="50"/>
        <v>1404288</v>
      </c>
      <c r="Q148" s="595">
        <f t="shared" si="50"/>
        <v>1404288</v>
      </c>
      <c r="R148" s="595">
        <f t="shared" si="50"/>
        <v>1404288</v>
      </c>
      <c r="S148" s="595">
        <f t="shared" si="50"/>
        <v>1404288</v>
      </c>
      <c r="T148" s="595">
        <f t="shared" si="50"/>
        <v>1404288</v>
      </c>
      <c r="U148" s="595">
        <f t="shared" si="50"/>
        <v>1404288</v>
      </c>
      <c r="V148" s="595">
        <f t="shared" si="50"/>
        <v>1404288</v>
      </c>
      <c r="W148" s="595">
        <f t="shared" si="50"/>
        <v>1404288</v>
      </c>
      <c r="X148" s="595">
        <f t="shared" si="50"/>
        <v>1404288</v>
      </c>
      <c r="Y148" s="595">
        <f t="shared" si="50"/>
        <v>1404288</v>
      </c>
      <c r="Z148" s="595">
        <f t="shared" si="50"/>
        <v>1404288</v>
      </c>
      <c r="AA148" s="595">
        <f t="shared" si="50"/>
        <v>1404288</v>
      </c>
    </row>
    <row r="149" spans="2:28" ht="17.25" customHeight="1" outlineLevel="1" x14ac:dyDescent="0.25">
      <c r="B149" s="576"/>
      <c r="C149" s="38"/>
      <c r="D149" s="38"/>
      <c r="E149" s="211"/>
      <c r="F149" s="211"/>
      <c r="G149" s="211"/>
      <c r="H149" s="596"/>
      <c r="I149" s="596"/>
      <c r="J149" s="596"/>
      <c r="K149" s="596"/>
      <c r="L149" s="596"/>
      <c r="M149" s="596"/>
      <c r="N149" s="596"/>
      <c r="O149" s="596"/>
      <c r="P149" s="596"/>
      <c r="Q149" s="596"/>
      <c r="R149" s="596"/>
      <c r="S149" s="596"/>
      <c r="T149" s="596"/>
      <c r="U149" s="596"/>
      <c r="V149" s="596"/>
      <c r="W149" s="596"/>
      <c r="X149" s="596"/>
      <c r="Y149" s="596"/>
      <c r="Z149" s="596"/>
      <c r="AA149" s="596"/>
    </row>
    <row r="150" spans="2:28" ht="17.25" customHeight="1" outlineLevel="1" x14ac:dyDescent="0.25">
      <c r="B150" s="576" t="s">
        <v>111</v>
      </c>
      <c r="C150" s="38"/>
      <c r="D150" s="38"/>
      <c r="E150" s="211"/>
      <c r="F150" s="211" t="s">
        <v>632</v>
      </c>
      <c r="G150" s="1357"/>
      <c r="H150" s="1363">
        <f>$G$140</f>
        <v>71.789261987296058</v>
      </c>
      <c r="I150" s="1363">
        <f t="shared" ref="I150:AA150" si="51">$G$140</f>
        <v>71.789261987296058</v>
      </c>
      <c r="J150" s="1363">
        <f t="shared" si="51"/>
        <v>71.789261987296058</v>
      </c>
      <c r="K150" s="1363">
        <f t="shared" si="51"/>
        <v>71.789261987296058</v>
      </c>
      <c r="L150" s="1363">
        <f t="shared" si="51"/>
        <v>71.789261987296058</v>
      </c>
      <c r="M150" s="1363">
        <f t="shared" si="51"/>
        <v>71.789261987296058</v>
      </c>
      <c r="N150" s="1363">
        <f t="shared" si="51"/>
        <v>71.789261987296058</v>
      </c>
      <c r="O150" s="1363">
        <f t="shared" si="51"/>
        <v>71.789261987296058</v>
      </c>
      <c r="P150" s="1363">
        <f t="shared" si="51"/>
        <v>71.789261987296058</v>
      </c>
      <c r="Q150" s="1363">
        <f t="shared" si="51"/>
        <v>71.789261987296058</v>
      </c>
      <c r="R150" s="1363">
        <f t="shared" si="51"/>
        <v>71.789261987296058</v>
      </c>
      <c r="S150" s="1363">
        <f t="shared" si="51"/>
        <v>71.789261987296058</v>
      </c>
      <c r="T150" s="1363">
        <f t="shared" si="51"/>
        <v>71.789261987296058</v>
      </c>
      <c r="U150" s="1363">
        <f t="shared" si="51"/>
        <v>71.789261987296058</v>
      </c>
      <c r="V150" s="1363">
        <f t="shared" si="51"/>
        <v>71.789261987296058</v>
      </c>
      <c r="W150" s="1363">
        <f t="shared" si="51"/>
        <v>71.789261987296058</v>
      </c>
      <c r="X150" s="1363">
        <f t="shared" si="51"/>
        <v>71.789261987296058</v>
      </c>
      <c r="Y150" s="1363">
        <f t="shared" si="51"/>
        <v>71.789261987296058</v>
      </c>
      <c r="Z150" s="1363">
        <f t="shared" si="51"/>
        <v>71.789261987296058</v>
      </c>
      <c r="AA150" s="1363">
        <f t="shared" si="51"/>
        <v>71.789261987296058</v>
      </c>
      <c r="AB150" s="1299"/>
    </row>
    <row r="151" spans="2:28" ht="17.25" customHeight="1" outlineLevel="1" x14ac:dyDescent="0.25">
      <c r="B151" s="584"/>
      <c r="C151" s="39"/>
      <c r="D151" s="39"/>
      <c r="E151" s="213"/>
      <c r="F151" s="213"/>
      <c r="G151" s="1359"/>
      <c r="H151" s="1360"/>
      <c r="I151" s="1360"/>
      <c r="J151" s="1360"/>
      <c r="K151" s="1360"/>
      <c r="L151" s="1360"/>
      <c r="M151" s="1360"/>
      <c r="N151" s="1360"/>
      <c r="O151" s="1360"/>
      <c r="P151" s="1360"/>
      <c r="Q151" s="1360"/>
      <c r="R151" s="1360"/>
      <c r="S151" s="1360"/>
      <c r="T151" s="1360"/>
      <c r="U151" s="1360"/>
      <c r="V151" s="1360"/>
      <c r="W151" s="1360"/>
      <c r="X151" s="1360"/>
      <c r="Y151" s="1360"/>
      <c r="Z151" s="1360"/>
      <c r="AA151" s="1360"/>
      <c r="AB151" s="1299"/>
    </row>
    <row r="152" spans="2:28" ht="17.25" customHeight="1" outlineLevel="1" x14ac:dyDescent="0.25">
      <c r="B152" s="576" t="s">
        <v>112</v>
      </c>
      <c r="C152" s="38"/>
      <c r="D152" s="38"/>
      <c r="E152" s="211"/>
      <c r="F152" s="211" t="s">
        <v>631</v>
      </c>
      <c r="G152" s="1357"/>
      <c r="H152" s="1358">
        <f>H148*H150</f>
        <v>100812799.13761601</v>
      </c>
      <c r="I152" s="1358">
        <f t="shared" ref="I152:AA152" si="52">I148*I150</f>
        <v>100812799.13761601</v>
      </c>
      <c r="J152" s="1358">
        <f t="shared" si="52"/>
        <v>100812799.13761601</v>
      </c>
      <c r="K152" s="1358">
        <f t="shared" si="52"/>
        <v>100812799.13761601</v>
      </c>
      <c r="L152" s="1358">
        <f t="shared" si="52"/>
        <v>100812799.13761601</v>
      </c>
      <c r="M152" s="1358">
        <f t="shared" si="52"/>
        <v>100812799.13761601</v>
      </c>
      <c r="N152" s="1358">
        <f t="shared" si="52"/>
        <v>100812799.13761601</v>
      </c>
      <c r="O152" s="1358">
        <f t="shared" si="52"/>
        <v>100812799.13761601</v>
      </c>
      <c r="P152" s="1358">
        <f t="shared" si="52"/>
        <v>100812799.13761601</v>
      </c>
      <c r="Q152" s="1358">
        <f t="shared" si="52"/>
        <v>100812799.13761601</v>
      </c>
      <c r="R152" s="1358">
        <f t="shared" si="52"/>
        <v>100812799.13761601</v>
      </c>
      <c r="S152" s="1358">
        <f t="shared" si="52"/>
        <v>100812799.13761601</v>
      </c>
      <c r="T152" s="1358">
        <f t="shared" si="52"/>
        <v>100812799.13761601</v>
      </c>
      <c r="U152" s="1358">
        <f t="shared" si="52"/>
        <v>100812799.13761601</v>
      </c>
      <c r="V152" s="1358">
        <f t="shared" si="52"/>
        <v>100812799.13761601</v>
      </c>
      <c r="W152" s="1358">
        <f t="shared" si="52"/>
        <v>100812799.13761601</v>
      </c>
      <c r="X152" s="1358">
        <f t="shared" si="52"/>
        <v>100812799.13761601</v>
      </c>
      <c r="Y152" s="1358">
        <f t="shared" si="52"/>
        <v>100812799.13761601</v>
      </c>
      <c r="Z152" s="1358">
        <f t="shared" si="52"/>
        <v>100812799.13761601</v>
      </c>
      <c r="AA152" s="1358">
        <f t="shared" si="52"/>
        <v>100812799.13761601</v>
      </c>
      <c r="AB152" s="1299"/>
    </row>
    <row r="153" spans="2:28" ht="6.75" customHeight="1" outlineLevel="1" x14ac:dyDescent="0.25">
      <c r="B153" s="576"/>
      <c r="C153" s="38"/>
      <c r="D153" s="38"/>
      <c r="E153" s="211"/>
      <c r="F153" s="211"/>
      <c r="G153" s="1357"/>
      <c r="H153" s="1358"/>
      <c r="I153" s="1358"/>
      <c r="J153" s="1358"/>
      <c r="K153" s="1358"/>
      <c r="L153" s="1358"/>
      <c r="M153" s="1358"/>
      <c r="N153" s="1358"/>
      <c r="O153" s="1358"/>
      <c r="P153" s="1358"/>
      <c r="Q153" s="1358"/>
      <c r="R153" s="1358"/>
      <c r="S153" s="1358"/>
      <c r="T153" s="1358"/>
      <c r="U153" s="1358"/>
      <c r="V153" s="1358"/>
      <c r="W153" s="1358"/>
      <c r="X153" s="1358"/>
      <c r="Y153" s="1358"/>
      <c r="Z153" s="1358"/>
      <c r="AA153" s="1358"/>
      <c r="AB153" s="1299"/>
    </row>
    <row r="154" spans="2:28" ht="17.25" customHeight="1" outlineLevel="1" x14ac:dyDescent="0.25">
      <c r="B154" s="576" t="s">
        <v>113</v>
      </c>
      <c r="C154" s="38"/>
      <c r="D154" s="38"/>
      <c r="E154" s="211"/>
      <c r="F154" s="211" t="s">
        <v>631</v>
      </c>
      <c r="G154" s="1357"/>
      <c r="H154" s="1358">
        <f>-H114</f>
        <v>-18248.175182481751</v>
      </c>
      <c r="I154" s="1358">
        <f t="shared" ref="I154:AA154" si="53">-I114</f>
        <v>-18613.138686131388</v>
      </c>
      <c r="J154" s="1358">
        <f t="shared" si="53"/>
        <v>-18985.401459854013</v>
      </c>
      <c r="K154" s="1358">
        <f t="shared" si="53"/>
        <v>-19365.109489051094</v>
      </c>
      <c r="L154" s="1358">
        <f t="shared" si="53"/>
        <v>-19752.411678832115</v>
      </c>
      <c r="M154" s="1358">
        <f t="shared" si="53"/>
        <v>-20147.459912408758</v>
      </c>
      <c r="N154" s="1358">
        <f t="shared" si="53"/>
        <v>-20550.409110656936</v>
      </c>
      <c r="O154" s="1358">
        <f t="shared" si="53"/>
        <v>-20961.417292870068</v>
      </c>
      <c r="P154" s="1358">
        <f t="shared" si="53"/>
        <v>-21380.645638727474</v>
      </c>
      <c r="Q154" s="1358">
        <f t="shared" si="53"/>
        <v>-21808.258551502022</v>
      </c>
      <c r="R154" s="1358">
        <f t="shared" si="53"/>
        <v>-22244.423722532065</v>
      </c>
      <c r="S154" s="1358">
        <f t="shared" si="53"/>
        <v>-22689.312196982701</v>
      </c>
      <c r="T154" s="1358">
        <f t="shared" si="53"/>
        <v>-23143.098440922357</v>
      </c>
      <c r="U154" s="1358">
        <f t="shared" si="53"/>
        <v>-23605.960409740805</v>
      </c>
      <c r="V154" s="1358">
        <f t="shared" si="53"/>
        <v>-24078.079617935622</v>
      </c>
      <c r="W154" s="1358">
        <f t="shared" si="53"/>
        <v>-24559.641210294329</v>
      </c>
      <c r="X154" s="1358">
        <f t="shared" si="53"/>
        <v>-25050.834034500218</v>
      </c>
      <c r="Y154" s="1358">
        <f t="shared" si="53"/>
        <v>-25551.850715190227</v>
      </c>
      <c r="Z154" s="1358">
        <f t="shared" si="53"/>
        <v>-26062.887729494028</v>
      </c>
      <c r="AA154" s="1358">
        <f t="shared" si="53"/>
        <v>-26584.145484083907</v>
      </c>
      <c r="AB154" s="1299"/>
    </row>
    <row r="155" spans="2:28" ht="4.5" customHeight="1" outlineLevel="1" x14ac:dyDescent="0.25">
      <c r="B155" s="576"/>
      <c r="C155" s="38"/>
      <c r="D155" s="38"/>
      <c r="E155" s="211"/>
      <c r="F155" s="211"/>
      <c r="G155" s="1357"/>
      <c r="H155" s="1358"/>
      <c r="I155" s="1358"/>
      <c r="J155" s="1358"/>
      <c r="K155" s="1358"/>
      <c r="L155" s="1358"/>
      <c r="M155" s="1358"/>
      <c r="N155" s="1358"/>
      <c r="O155" s="1358"/>
      <c r="P155" s="1358"/>
      <c r="Q155" s="1358"/>
      <c r="R155" s="1358"/>
      <c r="S155" s="1358"/>
      <c r="T155" s="1358"/>
      <c r="U155" s="1358"/>
      <c r="V155" s="1358"/>
      <c r="W155" s="1358"/>
      <c r="X155" s="1358"/>
      <c r="Y155" s="1358"/>
      <c r="Z155" s="1358"/>
      <c r="AA155" s="1358"/>
      <c r="AB155" s="1299"/>
    </row>
    <row r="156" spans="2:28" ht="17.25" customHeight="1" outlineLevel="1" x14ac:dyDescent="0.25">
      <c r="B156" s="583" t="s">
        <v>114</v>
      </c>
      <c r="C156" s="597"/>
      <c r="D156" s="597"/>
      <c r="E156" s="598"/>
      <c r="F156" s="598"/>
      <c r="G156" s="1361"/>
      <c r="H156" s="1362">
        <f>H152+H154</f>
        <v>100794550.96243353</v>
      </c>
      <c r="I156" s="1362">
        <f t="shared" ref="I156:AA156" si="54">I152+I154</f>
        <v>100794185.99892987</v>
      </c>
      <c r="J156" s="1362">
        <f t="shared" si="54"/>
        <v>100793813.73615615</v>
      </c>
      <c r="K156" s="1362">
        <f t="shared" si="54"/>
        <v>100793434.02812696</v>
      </c>
      <c r="L156" s="1362">
        <f t="shared" si="54"/>
        <v>100793046.72593717</v>
      </c>
      <c r="M156" s="1362">
        <f t="shared" si="54"/>
        <v>100792651.6777036</v>
      </c>
      <c r="N156" s="1362">
        <f t="shared" si="54"/>
        <v>100792248.72850536</v>
      </c>
      <c r="O156" s="1362">
        <f t="shared" si="54"/>
        <v>100791837.72032315</v>
      </c>
      <c r="P156" s="1362">
        <f t="shared" si="54"/>
        <v>100791418.49197727</v>
      </c>
      <c r="Q156" s="1362">
        <f t="shared" si="54"/>
        <v>100790990.8790645</v>
      </c>
      <c r="R156" s="1362">
        <f t="shared" si="54"/>
        <v>100790554.71389347</v>
      </c>
      <c r="S156" s="1362">
        <f t="shared" si="54"/>
        <v>100790109.82541902</v>
      </c>
      <c r="T156" s="1362">
        <f t="shared" si="54"/>
        <v>100789656.03917509</v>
      </c>
      <c r="U156" s="1362">
        <f t="shared" si="54"/>
        <v>100789193.17720626</v>
      </c>
      <c r="V156" s="1362">
        <f t="shared" si="54"/>
        <v>100788721.05799808</v>
      </c>
      <c r="W156" s="1362">
        <f t="shared" si="54"/>
        <v>100788239.49640572</v>
      </c>
      <c r="X156" s="1362">
        <f t="shared" si="54"/>
        <v>100787748.30358151</v>
      </c>
      <c r="Y156" s="1362">
        <f t="shared" si="54"/>
        <v>100787247.28690082</v>
      </c>
      <c r="Z156" s="1362">
        <f t="shared" si="54"/>
        <v>100786736.24988651</v>
      </c>
      <c r="AA156" s="1362">
        <f t="shared" si="54"/>
        <v>100786214.99213192</v>
      </c>
      <c r="AB156" s="1299"/>
    </row>
    <row r="157" spans="2:28" ht="7.5" customHeight="1" outlineLevel="1" x14ac:dyDescent="0.25">
      <c r="B157" s="576"/>
      <c r="C157" s="38"/>
      <c r="D157" s="38"/>
      <c r="E157" s="211"/>
      <c r="F157" s="211"/>
      <c r="G157" s="1357"/>
      <c r="H157" s="1358"/>
      <c r="I157" s="1358"/>
      <c r="J157" s="1358"/>
      <c r="K157" s="1358"/>
      <c r="L157" s="1358"/>
      <c r="M157" s="1358"/>
      <c r="N157" s="1358"/>
      <c r="O157" s="1358"/>
      <c r="P157" s="1358"/>
      <c r="Q157" s="1358"/>
      <c r="R157" s="1358"/>
      <c r="S157" s="1358"/>
      <c r="T157" s="1358"/>
      <c r="U157" s="1358"/>
      <c r="V157" s="1358"/>
      <c r="W157" s="1358"/>
      <c r="X157" s="1358"/>
      <c r="Y157" s="1358"/>
      <c r="Z157" s="1358"/>
      <c r="AA157" s="1358"/>
      <c r="AB157" s="1299"/>
    </row>
    <row r="158" spans="2:28" ht="17.25" customHeight="1" outlineLevel="1" x14ac:dyDescent="0.25">
      <c r="B158" s="576" t="s">
        <v>115</v>
      </c>
      <c r="C158" s="38"/>
      <c r="D158" s="38"/>
      <c r="E158" s="211"/>
      <c r="F158" s="211"/>
      <c r="G158" s="1357"/>
      <c r="H158" s="1358">
        <f>-H116</f>
        <v>-41594744.525547437</v>
      </c>
      <c r="I158" s="1358">
        <f t="shared" ref="I158:AA158" si="55">-I116</f>
        <v>-41594744.525547437</v>
      </c>
      <c r="J158" s="1358">
        <f t="shared" si="55"/>
        <v>-41594744.525547437</v>
      </c>
      <c r="K158" s="1358">
        <f t="shared" si="55"/>
        <v>-41594744.525547437</v>
      </c>
      <c r="L158" s="1358">
        <f t="shared" si="55"/>
        <v>-41594744.525547437</v>
      </c>
      <c r="M158" s="1358">
        <f t="shared" si="55"/>
        <v>-41594744.525547437</v>
      </c>
      <c r="N158" s="1358">
        <f t="shared" si="55"/>
        <v>-41594744.525547437</v>
      </c>
      <c r="O158" s="1358">
        <f t="shared" si="55"/>
        <v>-41594744.525547437</v>
      </c>
      <c r="P158" s="1358">
        <f t="shared" si="55"/>
        <v>-41594744.525547437</v>
      </c>
      <c r="Q158" s="1358">
        <f t="shared" si="55"/>
        <v>-41594744.525547437</v>
      </c>
      <c r="R158" s="1358">
        <f t="shared" si="55"/>
        <v>-41594744.525547437</v>
      </c>
      <c r="S158" s="1358">
        <f t="shared" si="55"/>
        <v>-41594744.525547437</v>
      </c>
      <c r="T158" s="1358">
        <f t="shared" si="55"/>
        <v>-41594744.525547437</v>
      </c>
      <c r="U158" s="1358">
        <f t="shared" si="55"/>
        <v>-41594744.525547437</v>
      </c>
      <c r="V158" s="1358">
        <f t="shared" si="55"/>
        <v>-41594744.525547437</v>
      </c>
      <c r="W158" s="1358">
        <f t="shared" si="55"/>
        <v>-41594744.525547437</v>
      </c>
      <c r="X158" s="1358">
        <f t="shared" si="55"/>
        <v>-41594744.525547437</v>
      </c>
      <c r="Y158" s="1358">
        <f t="shared" si="55"/>
        <v>-41594744.525547437</v>
      </c>
      <c r="Z158" s="1358">
        <f t="shared" si="55"/>
        <v>-41594744.525547437</v>
      </c>
      <c r="AA158" s="1358">
        <f t="shared" si="55"/>
        <v>-41594744.525547437</v>
      </c>
      <c r="AB158" s="1299"/>
    </row>
    <row r="159" spans="2:28" ht="9" customHeight="1" outlineLevel="1" x14ac:dyDescent="0.25">
      <c r="B159" s="576"/>
      <c r="C159" s="38"/>
      <c r="D159" s="38"/>
      <c r="E159" s="211"/>
      <c r="F159" s="211"/>
      <c r="G159" s="1357"/>
      <c r="H159" s="1358"/>
      <c r="I159" s="1358"/>
      <c r="J159" s="1358"/>
      <c r="K159" s="1358"/>
      <c r="L159" s="1358"/>
      <c r="M159" s="1358"/>
      <c r="N159" s="1358"/>
      <c r="O159" s="1358"/>
      <c r="P159" s="1358"/>
      <c r="Q159" s="1358"/>
      <c r="R159" s="1358"/>
      <c r="S159" s="1358"/>
      <c r="T159" s="1358"/>
      <c r="U159" s="1358"/>
      <c r="V159" s="1358"/>
      <c r="W159" s="1358"/>
      <c r="X159" s="1358"/>
      <c r="Y159" s="1358"/>
      <c r="Z159" s="1358"/>
      <c r="AA159" s="1358"/>
      <c r="AB159" s="1299"/>
    </row>
    <row r="160" spans="2:28" ht="17.25" customHeight="1" outlineLevel="1" x14ac:dyDescent="0.25">
      <c r="B160" s="583" t="s">
        <v>116</v>
      </c>
      <c r="C160" s="597"/>
      <c r="D160" s="597"/>
      <c r="E160" s="598"/>
      <c r="F160" s="598"/>
      <c r="G160" s="1361"/>
      <c r="H160" s="1362">
        <f>H156+H158</f>
        <v>59199806.436886095</v>
      </c>
      <c r="I160" s="1362">
        <f t="shared" ref="I160:AA160" si="56">I156+I158</f>
        <v>59199441.473382436</v>
      </c>
      <c r="J160" s="1362">
        <f t="shared" si="56"/>
        <v>59199069.210608713</v>
      </c>
      <c r="K160" s="1362">
        <f t="shared" si="56"/>
        <v>59198689.502579518</v>
      </c>
      <c r="L160" s="1362">
        <f t="shared" si="56"/>
        <v>59198302.200389735</v>
      </c>
      <c r="M160" s="1362">
        <f t="shared" si="56"/>
        <v>59197907.152156167</v>
      </c>
      <c r="N160" s="1362">
        <f t="shared" si="56"/>
        <v>59197504.202957921</v>
      </c>
      <c r="O160" s="1362">
        <f t="shared" si="56"/>
        <v>59197093.194775708</v>
      </c>
      <c r="P160" s="1362">
        <f t="shared" si="56"/>
        <v>59196673.966429837</v>
      </c>
      <c r="Q160" s="1362">
        <f t="shared" si="56"/>
        <v>59196246.353517063</v>
      </c>
      <c r="R160" s="1362">
        <f t="shared" si="56"/>
        <v>59195810.188346036</v>
      </c>
      <c r="S160" s="1362">
        <f t="shared" si="56"/>
        <v>59195365.299871586</v>
      </c>
      <c r="T160" s="1362">
        <f t="shared" si="56"/>
        <v>59194911.513627656</v>
      </c>
      <c r="U160" s="1362">
        <f t="shared" si="56"/>
        <v>59194448.651658826</v>
      </c>
      <c r="V160" s="1362">
        <f t="shared" si="56"/>
        <v>59193976.532450639</v>
      </c>
      <c r="W160" s="1362">
        <f t="shared" si="56"/>
        <v>59193494.970858283</v>
      </c>
      <c r="X160" s="1362">
        <f t="shared" si="56"/>
        <v>59193003.778034069</v>
      </c>
      <c r="Y160" s="1362">
        <f t="shared" si="56"/>
        <v>59192502.761353381</v>
      </c>
      <c r="Z160" s="1362">
        <f t="shared" si="56"/>
        <v>59191991.724339075</v>
      </c>
      <c r="AA160" s="1362">
        <f t="shared" si="56"/>
        <v>59191470.466584481</v>
      </c>
      <c r="AB160" s="1299"/>
    </row>
    <row r="161" spans="2:28" ht="6.75" customHeight="1" outlineLevel="1" x14ac:dyDescent="0.25">
      <c r="B161" s="576"/>
      <c r="C161" s="38"/>
      <c r="D161" s="38"/>
      <c r="E161" s="211"/>
      <c r="F161" s="211"/>
      <c r="G161" s="1357"/>
      <c r="H161" s="1358"/>
      <c r="I161" s="1358"/>
      <c r="J161" s="1358"/>
      <c r="K161" s="1358"/>
      <c r="L161" s="1358"/>
      <c r="M161" s="1358"/>
      <c r="N161" s="1358"/>
      <c r="O161" s="1358"/>
      <c r="P161" s="1358"/>
      <c r="Q161" s="1358"/>
      <c r="R161" s="1358"/>
      <c r="S161" s="1358"/>
      <c r="T161" s="1358"/>
      <c r="U161" s="1358"/>
      <c r="V161" s="1358"/>
      <c r="W161" s="1358"/>
      <c r="X161" s="1358"/>
      <c r="Y161" s="1358"/>
      <c r="Z161" s="1358"/>
      <c r="AA161" s="1358"/>
      <c r="AB161" s="1299"/>
    </row>
    <row r="162" spans="2:28" ht="17.25" customHeight="1" outlineLevel="1" x14ac:dyDescent="0.25">
      <c r="B162" s="576" t="str">
        <f t="shared" ref="B162:B167" si="57">B118</f>
        <v xml:space="preserve">Interest Expense, public loan </v>
      </c>
      <c r="C162" s="38"/>
      <c r="D162" s="38"/>
      <c r="E162" s="211"/>
      <c r="F162" s="211"/>
      <c r="G162" s="1357"/>
      <c r="H162" s="1358">
        <f t="shared" ref="H162:H167" si="58">-H118</f>
        <v>-12697343.065693429</v>
      </c>
      <c r="I162" s="1358">
        <f t="shared" ref="I162:AA162" si="59">-I118</f>
        <v>-12270944.061024366</v>
      </c>
      <c r="J162" s="1358">
        <f t="shared" si="59"/>
        <v>-11827489.09616854</v>
      </c>
      <c r="K162" s="1358">
        <f t="shared" si="59"/>
        <v>-11366295.932718478</v>
      </c>
      <c r="L162" s="1358">
        <f t="shared" si="59"/>
        <v>-10886655.042730417</v>
      </c>
      <c r="M162" s="1358">
        <f t="shared" si="59"/>
        <v>-10387828.517142834</v>
      </c>
      <c r="N162" s="1358">
        <f t="shared" si="59"/>
        <v>-9869048.9305317439</v>
      </c>
      <c r="O162" s="1358">
        <f t="shared" si="59"/>
        <v>-9329518.1604562141</v>
      </c>
      <c r="P162" s="1358">
        <f t="shared" si="59"/>
        <v>-8768406.1595776603</v>
      </c>
      <c r="Q162" s="1358">
        <f t="shared" si="59"/>
        <v>-8184849.6786639672</v>
      </c>
      <c r="R162" s="1358">
        <f t="shared" si="59"/>
        <v>-7577950.9385137223</v>
      </c>
      <c r="S162" s="1358">
        <f t="shared" si="59"/>
        <v>-6946776.2487574713</v>
      </c>
      <c r="T162" s="1358">
        <f t="shared" si="59"/>
        <v>-6290354.5714109689</v>
      </c>
      <c r="U162" s="1358">
        <f t="shared" si="59"/>
        <v>-5607676.0269706063</v>
      </c>
      <c r="V162" s="1358">
        <f t="shared" si="59"/>
        <v>-4897690.3407526296</v>
      </c>
      <c r="W162" s="1358">
        <f t="shared" si="59"/>
        <v>-4159305.2270859331</v>
      </c>
      <c r="X162" s="1358">
        <f t="shared" si="59"/>
        <v>-3391384.7088725697</v>
      </c>
      <c r="Y162" s="1358">
        <f t="shared" si="59"/>
        <v>-2592747.3699306715</v>
      </c>
      <c r="Z162" s="1358">
        <f t="shared" si="59"/>
        <v>-1762164.5374310967</v>
      </c>
      <c r="AA162" s="1358">
        <f t="shared" si="59"/>
        <v>-898358.39163153968</v>
      </c>
      <c r="AB162" s="1299"/>
    </row>
    <row r="163" spans="2:28" ht="17.25" customHeight="1" outlineLevel="1" x14ac:dyDescent="0.25">
      <c r="B163" s="576" t="str">
        <f t="shared" si="57"/>
        <v>Interest Expense, commercial loan with public guarantees</v>
      </c>
      <c r="C163" s="38"/>
      <c r="D163" s="38"/>
      <c r="E163" s="211"/>
      <c r="F163" s="211"/>
      <c r="G163" s="1357"/>
      <c r="H163" s="1358">
        <f t="shared" si="58"/>
        <v>0</v>
      </c>
      <c r="I163" s="1358">
        <f t="shared" ref="I163:AA163" si="60">-I119</f>
        <v>0</v>
      </c>
      <c r="J163" s="1358">
        <f t="shared" si="60"/>
        <v>0</v>
      </c>
      <c r="K163" s="1358">
        <f t="shared" si="60"/>
        <v>0</v>
      </c>
      <c r="L163" s="1358">
        <f t="shared" si="60"/>
        <v>0</v>
      </c>
      <c r="M163" s="1358">
        <f t="shared" si="60"/>
        <v>0</v>
      </c>
      <c r="N163" s="1358">
        <f t="shared" si="60"/>
        <v>0</v>
      </c>
      <c r="O163" s="1358">
        <f t="shared" si="60"/>
        <v>0</v>
      </c>
      <c r="P163" s="1358">
        <f t="shared" si="60"/>
        <v>0</v>
      </c>
      <c r="Q163" s="1358">
        <f t="shared" si="60"/>
        <v>0</v>
      </c>
      <c r="R163" s="1358">
        <f t="shared" si="60"/>
        <v>0</v>
      </c>
      <c r="S163" s="1358">
        <f t="shared" si="60"/>
        <v>0</v>
      </c>
      <c r="T163" s="1358">
        <f t="shared" si="60"/>
        <v>0</v>
      </c>
      <c r="U163" s="1358">
        <f t="shared" si="60"/>
        <v>0</v>
      </c>
      <c r="V163" s="1358">
        <f t="shared" si="60"/>
        <v>0</v>
      </c>
      <c r="W163" s="1358">
        <f t="shared" si="60"/>
        <v>0</v>
      </c>
      <c r="X163" s="1358">
        <f t="shared" si="60"/>
        <v>0</v>
      </c>
      <c r="Y163" s="1358">
        <f t="shared" si="60"/>
        <v>0</v>
      </c>
      <c r="Z163" s="1358">
        <f t="shared" si="60"/>
        <v>0</v>
      </c>
      <c r="AA163" s="1358">
        <f t="shared" si="60"/>
        <v>0</v>
      </c>
      <c r="AB163" s="1299"/>
    </row>
    <row r="164" spans="2:28" ht="17.25" customHeight="1" outlineLevel="1" x14ac:dyDescent="0.25">
      <c r="B164" s="576" t="str">
        <f t="shared" si="57"/>
        <v>Interest Expense, commercial loan without public guarantees</v>
      </c>
      <c r="C164" s="38"/>
      <c r="D164" s="38"/>
      <c r="E164" s="211"/>
      <c r="F164" s="211"/>
      <c r="G164" s="1357"/>
      <c r="H164" s="1358">
        <f t="shared" si="58"/>
        <v>-17853164.387298841</v>
      </c>
      <c r="I164" s="1358">
        <f t="shared" ref="I164:AA164" si="61">-I120</f>
        <v>-16636913.397795193</v>
      </c>
      <c r="J164" s="1358">
        <f t="shared" si="61"/>
        <v>-15352257.770440994</v>
      </c>
      <c r="K164" s="1358">
        <f t="shared" si="61"/>
        <v>-13995350.277550636</v>
      </c>
      <c r="L164" s="1358">
        <f t="shared" si="61"/>
        <v>-12562127.314869186</v>
      </c>
      <c r="M164" s="1358">
        <f t="shared" si="61"/>
        <v>-11048296.732076913</v>
      </c>
      <c r="N164" s="1358">
        <f t="shared" si="61"/>
        <v>-9449324.9788546376</v>
      </c>
      <c r="O164" s="1358">
        <f t="shared" si="61"/>
        <v>-7760423.5280153733</v>
      </c>
      <c r="P164" s="1358">
        <f t="shared" si="61"/>
        <v>-5976534.5350429881</v>
      </c>
      <c r="Q164" s="1358">
        <f t="shared" si="61"/>
        <v>-4092315.6910916883</v>
      </c>
      <c r="R164" s="1358">
        <f t="shared" si="61"/>
        <v>-2102124.2240847913</v>
      </c>
      <c r="S164" s="1358">
        <f t="shared" si="61"/>
        <v>0</v>
      </c>
      <c r="T164" s="1358">
        <f t="shared" si="61"/>
        <v>0</v>
      </c>
      <c r="U164" s="1358">
        <f t="shared" si="61"/>
        <v>0</v>
      </c>
      <c r="V164" s="1358">
        <f t="shared" si="61"/>
        <v>0</v>
      </c>
      <c r="W164" s="1358">
        <f t="shared" si="61"/>
        <v>0</v>
      </c>
      <c r="X164" s="1358">
        <f t="shared" si="61"/>
        <v>0</v>
      </c>
      <c r="Y164" s="1358">
        <f t="shared" si="61"/>
        <v>0</v>
      </c>
      <c r="Z164" s="1358">
        <f t="shared" si="61"/>
        <v>0</v>
      </c>
      <c r="AA164" s="1358">
        <f t="shared" si="61"/>
        <v>0</v>
      </c>
      <c r="AB164" s="1299"/>
    </row>
    <row r="165" spans="2:28" ht="17.25" customHeight="1" outlineLevel="1" x14ac:dyDescent="0.25">
      <c r="B165" s="576" t="str">
        <f t="shared" si="57"/>
        <v xml:space="preserve">Front-end Fees </v>
      </c>
      <c r="C165" s="38"/>
      <c r="D165" s="38"/>
      <c r="E165" s="211"/>
      <c r="F165" s="211"/>
      <c r="G165" s="1357"/>
      <c r="H165" s="1358">
        <f t="shared" si="58"/>
        <v>0</v>
      </c>
      <c r="I165" s="1358">
        <f t="shared" ref="I165:AA165" si="62">-I121</f>
        <v>0</v>
      </c>
      <c r="J165" s="1358">
        <f t="shared" si="62"/>
        <v>0</v>
      </c>
      <c r="K165" s="1358">
        <f t="shared" si="62"/>
        <v>0</v>
      </c>
      <c r="L165" s="1358">
        <f t="shared" si="62"/>
        <v>0</v>
      </c>
      <c r="M165" s="1358">
        <f t="shared" si="62"/>
        <v>0</v>
      </c>
      <c r="N165" s="1358">
        <f t="shared" si="62"/>
        <v>0</v>
      </c>
      <c r="O165" s="1358">
        <f t="shared" si="62"/>
        <v>0</v>
      </c>
      <c r="P165" s="1358">
        <f t="shared" si="62"/>
        <v>0</v>
      </c>
      <c r="Q165" s="1358">
        <f t="shared" si="62"/>
        <v>0</v>
      </c>
      <c r="R165" s="1358">
        <f t="shared" si="62"/>
        <v>0</v>
      </c>
      <c r="S165" s="1358">
        <f t="shared" si="62"/>
        <v>0</v>
      </c>
      <c r="T165" s="1358">
        <f t="shared" si="62"/>
        <v>0</v>
      </c>
      <c r="U165" s="1358">
        <f t="shared" si="62"/>
        <v>0</v>
      </c>
      <c r="V165" s="1358">
        <f t="shared" si="62"/>
        <v>0</v>
      </c>
      <c r="W165" s="1358">
        <f t="shared" si="62"/>
        <v>0</v>
      </c>
      <c r="X165" s="1358">
        <f t="shared" si="62"/>
        <v>0</v>
      </c>
      <c r="Y165" s="1358">
        <f t="shared" si="62"/>
        <v>0</v>
      </c>
      <c r="Z165" s="1358">
        <f t="shared" si="62"/>
        <v>0</v>
      </c>
      <c r="AA165" s="1358">
        <f t="shared" si="62"/>
        <v>0</v>
      </c>
      <c r="AB165" s="1299"/>
    </row>
    <row r="166" spans="2:28" ht="17.25" customHeight="1" outlineLevel="1" x14ac:dyDescent="0.25">
      <c r="B166" s="576" t="str">
        <f t="shared" si="57"/>
        <v xml:space="preserve">Public Guarantee Fees </v>
      </c>
      <c r="C166" s="38"/>
      <c r="D166" s="38"/>
      <c r="E166" s="211"/>
      <c r="F166" s="211"/>
      <c r="G166" s="1357"/>
      <c r="H166" s="1358">
        <f t="shared" si="58"/>
        <v>0</v>
      </c>
      <c r="I166" s="1358">
        <f t="shared" ref="I166:AA166" si="63">-I122</f>
        <v>0</v>
      </c>
      <c r="J166" s="1358">
        <f t="shared" si="63"/>
        <v>0</v>
      </c>
      <c r="K166" s="1358">
        <f t="shared" si="63"/>
        <v>0</v>
      </c>
      <c r="L166" s="1358">
        <f t="shared" si="63"/>
        <v>0</v>
      </c>
      <c r="M166" s="1358">
        <f t="shared" si="63"/>
        <v>0</v>
      </c>
      <c r="N166" s="1358">
        <f t="shared" si="63"/>
        <v>0</v>
      </c>
      <c r="O166" s="1358">
        <f t="shared" si="63"/>
        <v>0</v>
      </c>
      <c r="P166" s="1358">
        <f t="shared" si="63"/>
        <v>0</v>
      </c>
      <c r="Q166" s="1358">
        <f t="shared" si="63"/>
        <v>0</v>
      </c>
      <c r="R166" s="1358">
        <f t="shared" si="63"/>
        <v>0</v>
      </c>
      <c r="S166" s="1358">
        <f t="shared" si="63"/>
        <v>0</v>
      </c>
      <c r="T166" s="1358">
        <f t="shared" si="63"/>
        <v>0</v>
      </c>
      <c r="U166" s="1358">
        <f t="shared" si="63"/>
        <v>0</v>
      </c>
      <c r="V166" s="1358">
        <f t="shared" si="63"/>
        <v>0</v>
      </c>
      <c r="W166" s="1358">
        <f t="shared" si="63"/>
        <v>0</v>
      </c>
      <c r="X166" s="1358">
        <f t="shared" si="63"/>
        <v>0</v>
      </c>
      <c r="Y166" s="1358">
        <f t="shared" si="63"/>
        <v>0</v>
      </c>
      <c r="Z166" s="1358">
        <f t="shared" si="63"/>
        <v>0</v>
      </c>
      <c r="AA166" s="1358">
        <f t="shared" si="63"/>
        <v>0</v>
      </c>
      <c r="AB166" s="1299"/>
    </row>
    <row r="167" spans="2:28" ht="17.25" customHeight="1" outlineLevel="1" x14ac:dyDescent="0.25">
      <c r="B167" s="576" t="str">
        <f t="shared" si="57"/>
        <v>Political Risk Insurance - Fees &amp; Annual Premium Payments</v>
      </c>
      <c r="C167" s="38"/>
      <c r="D167" s="38"/>
      <c r="E167" s="211"/>
      <c r="F167" s="211"/>
      <c r="G167" s="1357"/>
      <c r="H167" s="1358">
        <f t="shared" si="58"/>
        <v>0</v>
      </c>
      <c r="I167" s="1358">
        <f t="shared" ref="I167:AA167" si="64">-I123</f>
        <v>0</v>
      </c>
      <c r="J167" s="1358">
        <f t="shared" si="64"/>
        <v>0</v>
      </c>
      <c r="K167" s="1358">
        <f t="shared" si="64"/>
        <v>0</v>
      </c>
      <c r="L167" s="1358">
        <f t="shared" si="64"/>
        <v>0</v>
      </c>
      <c r="M167" s="1358">
        <f t="shared" si="64"/>
        <v>0</v>
      </c>
      <c r="N167" s="1358">
        <f t="shared" si="64"/>
        <v>0</v>
      </c>
      <c r="O167" s="1358">
        <f t="shared" si="64"/>
        <v>0</v>
      </c>
      <c r="P167" s="1358">
        <f t="shared" si="64"/>
        <v>0</v>
      </c>
      <c r="Q167" s="1358">
        <f t="shared" si="64"/>
        <v>0</v>
      </c>
      <c r="R167" s="1358">
        <f t="shared" si="64"/>
        <v>0</v>
      </c>
      <c r="S167" s="1358">
        <f t="shared" si="64"/>
        <v>0</v>
      </c>
      <c r="T167" s="1358">
        <f t="shared" si="64"/>
        <v>0</v>
      </c>
      <c r="U167" s="1358">
        <f t="shared" si="64"/>
        <v>0</v>
      </c>
      <c r="V167" s="1358">
        <f t="shared" si="64"/>
        <v>0</v>
      </c>
      <c r="W167" s="1358">
        <f t="shared" si="64"/>
        <v>0</v>
      </c>
      <c r="X167" s="1358">
        <f t="shared" si="64"/>
        <v>0</v>
      </c>
      <c r="Y167" s="1358">
        <f t="shared" si="64"/>
        <v>0</v>
      </c>
      <c r="Z167" s="1358">
        <f t="shared" si="64"/>
        <v>0</v>
      </c>
      <c r="AA167" s="1358">
        <f t="shared" si="64"/>
        <v>0</v>
      </c>
      <c r="AB167" s="1299"/>
    </row>
    <row r="168" spans="2:28" ht="9.75" customHeight="1" outlineLevel="1" x14ac:dyDescent="0.25">
      <c r="B168" s="576"/>
      <c r="C168" s="38"/>
      <c r="D168" s="38"/>
      <c r="E168" s="211"/>
      <c r="F168" s="211"/>
      <c r="G168" s="1357"/>
      <c r="H168" s="1358"/>
      <c r="I168" s="1358"/>
      <c r="J168" s="1358"/>
      <c r="K168" s="1358"/>
      <c r="L168" s="1358"/>
      <c r="M168" s="1358"/>
      <c r="N168" s="1358"/>
      <c r="O168" s="1358"/>
      <c r="P168" s="1358"/>
      <c r="Q168" s="1358"/>
      <c r="R168" s="1358"/>
      <c r="S168" s="1358"/>
      <c r="T168" s="1358"/>
      <c r="U168" s="1358"/>
      <c r="V168" s="1358"/>
      <c r="W168" s="1358"/>
      <c r="X168" s="1358"/>
      <c r="Y168" s="1358"/>
      <c r="Z168" s="1358"/>
      <c r="AA168" s="1358"/>
      <c r="AB168" s="1299"/>
    </row>
    <row r="169" spans="2:28" ht="17.25" customHeight="1" outlineLevel="1" x14ac:dyDescent="0.25">
      <c r="B169" s="583" t="s">
        <v>117</v>
      </c>
      <c r="C169" s="597"/>
      <c r="D169" s="597"/>
      <c r="E169" s="598"/>
      <c r="F169" s="598"/>
      <c r="G169" s="1361"/>
      <c r="H169" s="1362">
        <f>H160+(SUM(H162:H167))</f>
        <v>28649298.983893827</v>
      </c>
      <c r="I169" s="1362">
        <f t="shared" ref="I169:AA169" si="65">I160+(SUM(I162:I167))</f>
        <v>30291584.014562875</v>
      </c>
      <c r="J169" s="1362">
        <f t="shared" si="65"/>
        <v>32019322.343999177</v>
      </c>
      <c r="K169" s="1362">
        <f t="shared" si="65"/>
        <v>33837043.292310402</v>
      </c>
      <c r="L169" s="1362">
        <f t="shared" si="65"/>
        <v>35749519.842790134</v>
      </c>
      <c r="M169" s="1362">
        <f t="shared" si="65"/>
        <v>37761781.902936421</v>
      </c>
      <c r="N169" s="1362">
        <f t="shared" si="65"/>
        <v>39879130.293571539</v>
      </c>
      <c r="O169" s="1362">
        <f t="shared" si="65"/>
        <v>42107151.506304123</v>
      </c>
      <c r="P169" s="1362">
        <f t="shared" si="65"/>
        <v>44451733.271809191</v>
      </c>
      <c r="Q169" s="1362">
        <f t="shared" si="65"/>
        <v>46919080.983761407</v>
      </c>
      <c r="R169" s="1362">
        <f t="shared" si="65"/>
        <v>49515735.025747523</v>
      </c>
      <c r="S169" s="1362">
        <f t="shared" si="65"/>
        <v>52248589.051114112</v>
      </c>
      <c r="T169" s="1362">
        <f t="shared" si="65"/>
        <v>52904556.942216687</v>
      </c>
      <c r="U169" s="1362">
        <f t="shared" si="65"/>
        <v>53586772.624688223</v>
      </c>
      <c r="V169" s="1362">
        <f t="shared" si="65"/>
        <v>54296286.191698007</v>
      </c>
      <c r="W169" s="1362">
        <f t="shared" si="65"/>
        <v>55034189.74377235</v>
      </c>
      <c r="X169" s="1362">
        <f t="shared" si="65"/>
        <v>55801619.069161497</v>
      </c>
      <c r="Y169" s="1362">
        <f t="shared" si="65"/>
        <v>56599755.391422711</v>
      </c>
      <c r="Z169" s="1362">
        <f t="shared" si="65"/>
        <v>57429827.186907977</v>
      </c>
      <c r="AA169" s="1362">
        <f t="shared" si="65"/>
        <v>58293112.074952945</v>
      </c>
      <c r="AB169" s="1299"/>
    </row>
    <row r="170" spans="2:28" ht="6.75" customHeight="1" outlineLevel="1" x14ac:dyDescent="0.25">
      <c r="B170" s="576"/>
      <c r="C170" s="38"/>
      <c r="D170" s="38"/>
      <c r="E170" s="211"/>
      <c r="F170" s="211"/>
      <c r="G170" s="1357"/>
      <c r="H170" s="1358"/>
      <c r="I170" s="1358"/>
      <c r="J170" s="1358"/>
      <c r="K170" s="1358"/>
      <c r="L170" s="1358"/>
      <c r="M170" s="1358"/>
      <c r="N170" s="1358"/>
      <c r="O170" s="1358"/>
      <c r="P170" s="1358"/>
      <c r="Q170" s="1358"/>
      <c r="R170" s="1358"/>
      <c r="S170" s="1358"/>
      <c r="T170" s="1358"/>
      <c r="U170" s="1358"/>
      <c r="V170" s="1358"/>
      <c r="W170" s="1358"/>
      <c r="X170" s="1358"/>
      <c r="Y170" s="1358"/>
      <c r="Z170" s="1358"/>
      <c r="AA170" s="1358"/>
      <c r="AB170" s="1299"/>
    </row>
    <row r="171" spans="2:28" ht="17.25" customHeight="1" outlineLevel="1" x14ac:dyDescent="0.25">
      <c r="B171" s="576" t="s">
        <v>118</v>
      </c>
      <c r="C171" s="38"/>
      <c r="D171" s="38"/>
      <c r="E171" s="211"/>
      <c r="F171" s="211"/>
      <c r="G171" s="1357"/>
      <c r="H171" s="1358">
        <f>IF(H169&lt;0,(-H169*'III. Inputs, Renewable Energy'!$U$17),(-'V. LCOE, Ren. En. Generation'!H169*'III. Inputs, Renewable Energy'!$U$17))</f>
        <v>-8594789.6951681469</v>
      </c>
      <c r="I171" s="1358">
        <f>IF(I169&lt;0,(-I169*'III. Inputs, Renewable Energy'!$U$17),(-'V. LCOE, Ren. En. Generation'!I169*'III. Inputs, Renewable Energy'!$U$17))</f>
        <v>-9087475.2043688614</v>
      </c>
      <c r="J171" s="1358">
        <f>IF(J169&lt;0,(-J169*'III. Inputs, Renewable Energy'!$U$17),(-'V. LCOE, Ren. En. Generation'!J169*'III. Inputs, Renewable Energy'!$U$17))</f>
        <v>-9605796.7031997535</v>
      </c>
      <c r="K171" s="1358">
        <f>IF(K169&lt;0,(-K169*'III. Inputs, Renewable Energy'!$U$17),(-'V. LCOE, Ren. En. Generation'!K169*'III. Inputs, Renewable Energy'!$U$17))</f>
        <v>-10151112.98769312</v>
      </c>
      <c r="L171" s="1358">
        <f>IF(L169&lt;0,(-L169*'III. Inputs, Renewable Energy'!$U$17),(-'V. LCOE, Ren. En. Generation'!L169*'III. Inputs, Renewable Energy'!$U$17))</f>
        <v>-10724855.952837041</v>
      </c>
      <c r="M171" s="1358">
        <f>IF(M169&lt;0,(-M169*'III. Inputs, Renewable Energy'!$U$17),(-'V. LCOE, Ren. En. Generation'!M169*'III. Inputs, Renewable Energy'!$U$17))</f>
        <v>-11328534.570880925</v>
      </c>
      <c r="N171" s="1358">
        <f>IF(N169&lt;0,(-N169*'III. Inputs, Renewable Energy'!$U$17),(-'V. LCOE, Ren. En. Generation'!N169*'III. Inputs, Renewable Energy'!$U$17))</f>
        <v>-11963739.088071462</v>
      </c>
      <c r="O171" s="1358">
        <f>IF(O169&lt;0,(-O169*'III. Inputs, Renewable Energy'!$U$17),(-'V. LCOE, Ren. En. Generation'!O169*'III. Inputs, Renewable Energy'!$U$17))</f>
        <v>-12632145.451891236</v>
      </c>
      <c r="P171" s="1358">
        <f>IF(P169&lt;0,(-P169*'III. Inputs, Renewable Energy'!$U$17),(-'V. LCOE, Ren. En. Generation'!P169*'III. Inputs, Renewable Energy'!$U$17))</f>
        <v>-13335519.981542757</v>
      </c>
      <c r="Q171" s="1358">
        <f>IF(Q169&lt;0,(-Q169*'III. Inputs, Renewable Energy'!$U$17),(-'V. LCOE, Ren. En. Generation'!Q169*'III. Inputs, Renewable Energy'!$U$17))</f>
        <v>-14075724.295128422</v>
      </c>
      <c r="R171" s="1358">
        <f>IF(R169&lt;0,(-R169*'III. Inputs, Renewable Energy'!$U$17),(-'V. LCOE, Ren. En. Generation'!R169*'III. Inputs, Renewable Energy'!$U$17))</f>
        <v>-14854720.507724257</v>
      </c>
      <c r="S171" s="1358">
        <f>IF(S169&lt;0,(-S169*'III. Inputs, Renewable Energy'!$U$17),(-'V. LCOE, Ren. En. Generation'!S169*'III. Inputs, Renewable Energy'!$U$17))</f>
        <v>-15674576.715334233</v>
      </c>
      <c r="T171" s="1358">
        <f>IF(T169&lt;0,(-T169*'III. Inputs, Renewable Energy'!$U$17),(-'V. LCOE, Ren. En. Generation'!T169*'III. Inputs, Renewable Energy'!$U$17))</f>
        <v>-15871367.082665006</v>
      </c>
      <c r="U171" s="1358">
        <f>IF(U169&lt;0,(-U169*'III. Inputs, Renewable Energy'!$U$17),(-'V. LCOE, Ren. En. Generation'!U169*'III. Inputs, Renewable Energy'!$U$17))</f>
        <v>-16076031.787406467</v>
      </c>
      <c r="V171" s="1358">
        <f>IF(V169&lt;0,(-V169*'III. Inputs, Renewable Energy'!$U$17),(-'V. LCOE, Ren. En. Generation'!V169*'III. Inputs, Renewable Energy'!$U$17))</f>
        <v>-16288885.857509401</v>
      </c>
      <c r="W171" s="1358">
        <f>IF(W169&lt;0,(-W169*'III. Inputs, Renewable Energy'!$U$17),(-'V. LCOE, Ren. En. Generation'!W169*'III. Inputs, Renewable Energy'!$U$17))</f>
        <v>-16510256.923131704</v>
      </c>
      <c r="X171" s="1358">
        <f>IF(X169&lt;0,(-X169*'III. Inputs, Renewable Energy'!$U$17),(-'V. LCOE, Ren. En. Generation'!X169*'III. Inputs, Renewable Energy'!$U$17))</f>
        <v>-16740485.720748449</v>
      </c>
      <c r="Y171" s="1358">
        <f>IF(Y169&lt;0,(-Y169*'III. Inputs, Renewable Energy'!$U$17),(-'V. LCOE, Ren. En. Generation'!Y169*'III. Inputs, Renewable Energy'!$U$17))</f>
        <v>-16979926.617426813</v>
      </c>
      <c r="Z171" s="1358">
        <f>IF(Z169&lt;0,(-Z169*'III. Inputs, Renewable Energy'!$U$17),(-'V. LCOE, Ren. En. Generation'!Z169*'III. Inputs, Renewable Energy'!$U$17))</f>
        <v>-17228948.156072393</v>
      </c>
      <c r="AA171" s="1358">
        <f>IF(AA169&lt;0,(-AA169*'III. Inputs, Renewable Energy'!$U$17),(-'V. LCOE, Ren. En. Generation'!AA169*'III. Inputs, Renewable Energy'!$U$17))</f>
        <v>-17487933.622485884</v>
      </c>
      <c r="AB171" s="1299"/>
    </row>
    <row r="172" spans="2:28" ht="6.75" customHeight="1" outlineLevel="1" x14ac:dyDescent="0.25">
      <c r="B172" s="584"/>
      <c r="C172" s="39"/>
      <c r="D172" s="39"/>
      <c r="E172" s="213"/>
      <c r="F172" s="213"/>
      <c r="G172" s="1359"/>
      <c r="H172" s="1360"/>
      <c r="I172" s="1360"/>
      <c r="J172" s="1360"/>
      <c r="K172" s="1360"/>
      <c r="L172" s="1360"/>
      <c r="M172" s="1360"/>
      <c r="N172" s="1360"/>
      <c r="O172" s="1360"/>
      <c r="P172" s="1360"/>
      <c r="Q172" s="1360"/>
      <c r="R172" s="1360"/>
      <c r="S172" s="1360"/>
      <c r="T172" s="1360"/>
      <c r="U172" s="1360"/>
      <c r="V172" s="1360"/>
      <c r="W172" s="1360"/>
      <c r="X172" s="1360"/>
      <c r="Y172" s="1360"/>
      <c r="Z172" s="1360"/>
      <c r="AA172" s="1360"/>
      <c r="AB172" s="1299"/>
    </row>
    <row r="173" spans="2:28" ht="17.25" customHeight="1" outlineLevel="1" x14ac:dyDescent="0.25">
      <c r="B173" s="583" t="s">
        <v>119</v>
      </c>
      <c r="C173" s="597"/>
      <c r="D173" s="597"/>
      <c r="E173" s="598"/>
      <c r="F173" s="598"/>
      <c r="G173" s="1361"/>
      <c r="H173" s="1362">
        <f>H169+H171</f>
        <v>20054509.288725682</v>
      </c>
      <c r="I173" s="1362">
        <f t="shared" ref="I173:AA173" si="66">I169+I171</f>
        <v>21204108.810194016</v>
      </c>
      <c r="J173" s="1362">
        <f t="shared" si="66"/>
        <v>22413525.640799426</v>
      </c>
      <c r="K173" s="1362">
        <f t="shared" si="66"/>
        <v>23685930.304617282</v>
      </c>
      <c r="L173" s="1362">
        <f t="shared" si="66"/>
        <v>25024663.889953092</v>
      </c>
      <c r="M173" s="1362">
        <f t="shared" si="66"/>
        <v>26433247.332055494</v>
      </c>
      <c r="N173" s="1362">
        <f t="shared" si="66"/>
        <v>27915391.205500077</v>
      </c>
      <c r="O173" s="1362">
        <f t="shared" si="66"/>
        <v>29475006.054412887</v>
      </c>
      <c r="P173" s="1362">
        <f t="shared" si="66"/>
        <v>31116213.290266432</v>
      </c>
      <c r="Q173" s="1362">
        <f t="shared" si="66"/>
        <v>32843356.688632987</v>
      </c>
      <c r="R173" s="1362">
        <f t="shared" si="66"/>
        <v>34661014.518023267</v>
      </c>
      <c r="S173" s="1362">
        <f t="shared" si="66"/>
        <v>36574012.335779876</v>
      </c>
      <c r="T173" s="1362">
        <f t="shared" si="66"/>
        <v>37033189.859551683</v>
      </c>
      <c r="U173" s="1362">
        <f t="shared" si="66"/>
        <v>37510740.837281756</v>
      </c>
      <c r="V173" s="1362">
        <f t="shared" si="66"/>
        <v>38007400.33418861</v>
      </c>
      <c r="W173" s="1362">
        <f t="shared" si="66"/>
        <v>38523932.820640646</v>
      </c>
      <c r="X173" s="1362">
        <f t="shared" si="66"/>
        <v>39061133.34841305</v>
      </c>
      <c r="Y173" s="1362">
        <f t="shared" si="66"/>
        <v>39619828.773995899</v>
      </c>
      <c r="Z173" s="1362">
        <f t="shared" si="66"/>
        <v>40200879.030835584</v>
      </c>
      <c r="AA173" s="1362">
        <f t="shared" si="66"/>
        <v>40805178.452467062</v>
      </c>
      <c r="AB173" s="1299"/>
    </row>
    <row r="174" spans="2:28" ht="17.25" customHeight="1" outlineLevel="1" x14ac:dyDescent="0.25">
      <c r="B174" s="576"/>
      <c r="C174" s="38"/>
      <c r="D174" s="38"/>
      <c r="E174" s="211"/>
      <c r="F174" s="211"/>
      <c r="G174" s="1357"/>
      <c r="H174" s="1358"/>
      <c r="I174" s="1358"/>
      <c r="J174" s="1358"/>
      <c r="K174" s="1358"/>
      <c r="L174" s="1358"/>
      <c r="M174" s="1358"/>
      <c r="N174" s="1358"/>
      <c r="O174" s="1358"/>
      <c r="P174" s="1358"/>
      <c r="Q174" s="1358"/>
      <c r="R174" s="1358"/>
      <c r="S174" s="1358"/>
      <c r="T174" s="1358"/>
      <c r="U174" s="1358"/>
      <c r="V174" s="1358"/>
      <c r="W174" s="1358"/>
      <c r="X174" s="1358"/>
      <c r="Y174" s="1358"/>
      <c r="Z174" s="1358"/>
      <c r="AA174" s="1358"/>
      <c r="AB174" s="1299"/>
    </row>
    <row r="175" spans="2:28" ht="17.25" customHeight="1" outlineLevel="1" x14ac:dyDescent="0.25">
      <c r="B175" s="576" t="s">
        <v>120</v>
      </c>
      <c r="C175" s="38"/>
      <c r="D175" s="38"/>
      <c r="E175" s="211"/>
      <c r="F175" s="211" t="s">
        <v>631</v>
      </c>
      <c r="G175" s="1328">
        <f>-('III. Inputs, Renewable Energy'!$U$14*'III. Inputs, Renewable Energy'!$U$15)</f>
        <v>-875678832.11678815</v>
      </c>
      <c r="H175" s="1358"/>
      <c r="I175" s="1358"/>
      <c r="J175" s="1358"/>
      <c r="K175" s="1358"/>
      <c r="L175" s="1358"/>
      <c r="M175" s="1358"/>
      <c r="N175" s="1358"/>
      <c r="O175" s="1358"/>
      <c r="P175" s="1358"/>
      <c r="Q175" s="1358"/>
      <c r="R175" s="1358"/>
      <c r="S175" s="1358"/>
      <c r="T175" s="1358"/>
      <c r="U175" s="1358"/>
      <c r="V175" s="1358"/>
      <c r="W175" s="1358"/>
      <c r="X175" s="1358"/>
      <c r="Y175" s="1358"/>
      <c r="Z175" s="1358"/>
      <c r="AA175" s="1358"/>
      <c r="AB175" s="1299"/>
    </row>
    <row r="176" spans="2:28" ht="17.25" customHeight="1" outlineLevel="1" x14ac:dyDescent="0.25">
      <c r="B176" s="584" t="s">
        <v>121</v>
      </c>
      <c r="C176" s="39"/>
      <c r="D176" s="39"/>
      <c r="E176" s="213"/>
      <c r="F176" s="213" t="s">
        <v>631</v>
      </c>
      <c r="G176" s="1332">
        <f>('III. Inputs, Renewable Energy'!$U$14*'III. Inputs, Renewable Energy'!$U$15*'III. Inputs, Renewable Energy'!$V$28)</f>
        <v>634867153.28467143</v>
      </c>
      <c r="H176" s="1360"/>
      <c r="I176" s="1360"/>
      <c r="J176" s="1360"/>
      <c r="K176" s="1360"/>
      <c r="L176" s="1360"/>
      <c r="M176" s="1360"/>
      <c r="N176" s="1360"/>
      <c r="O176" s="1360"/>
      <c r="P176" s="1360"/>
      <c r="Q176" s="1360"/>
      <c r="R176" s="1360"/>
      <c r="S176" s="1360"/>
      <c r="T176" s="1360"/>
      <c r="U176" s="1360"/>
      <c r="V176" s="1360"/>
      <c r="W176" s="1360"/>
      <c r="X176" s="1360"/>
      <c r="Y176" s="1360"/>
      <c r="Z176" s="1360"/>
      <c r="AA176" s="1360"/>
      <c r="AB176" s="1299"/>
    </row>
    <row r="177" spans="2:28" ht="17.25" customHeight="1" outlineLevel="1" x14ac:dyDescent="0.25">
      <c r="B177" s="576" t="s">
        <v>122</v>
      </c>
      <c r="C177" s="38"/>
      <c r="D177" s="38"/>
      <c r="E177" s="211"/>
      <c r="F177" s="211" t="s">
        <v>631</v>
      </c>
      <c r="G177" s="1328">
        <f>G175+G176</f>
        <v>-240811678.83211672</v>
      </c>
      <c r="H177" s="1328"/>
      <c r="I177" s="1328"/>
      <c r="J177" s="1328"/>
      <c r="K177" s="1328"/>
      <c r="L177" s="1328"/>
      <c r="M177" s="1328"/>
      <c r="N177" s="1328"/>
      <c r="O177" s="1328"/>
      <c r="P177" s="1328"/>
      <c r="Q177" s="1328"/>
      <c r="R177" s="1328"/>
      <c r="S177" s="1328"/>
      <c r="T177" s="1328"/>
      <c r="U177" s="1328"/>
      <c r="V177" s="1328"/>
      <c r="W177" s="1328"/>
      <c r="X177" s="1328"/>
      <c r="Y177" s="1328"/>
      <c r="Z177" s="1328"/>
      <c r="AA177" s="1328"/>
      <c r="AB177" s="1299"/>
    </row>
    <row r="178" spans="2:28" ht="10.5" customHeight="1" outlineLevel="1" x14ac:dyDescent="0.25">
      <c r="B178" s="576"/>
      <c r="C178" s="38"/>
      <c r="D178" s="38"/>
      <c r="E178" s="211"/>
      <c r="F178" s="211"/>
      <c r="G178" s="1328"/>
      <c r="H178" s="1328"/>
      <c r="I178" s="1328"/>
      <c r="J178" s="1328"/>
      <c r="K178" s="1328"/>
      <c r="L178" s="1328"/>
      <c r="M178" s="1328"/>
      <c r="N178" s="1328"/>
      <c r="O178" s="1328"/>
      <c r="P178" s="1328"/>
      <c r="Q178" s="1328"/>
      <c r="R178" s="1328"/>
      <c r="S178" s="1328"/>
      <c r="T178" s="1328"/>
      <c r="U178" s="1328"/>
      <c r="V178" s="1328"/>
      <c r="W178" s="1328"/>
      <c r="X178" s="1328"/>
      <c r="Y178" s="1328"/>
      <c r="Z178" s="1328"/>
      <c r="AA178" s="1328"/>
      <c r="AB178" s="1299"/>
    </row>
    <row r="179" spans="2:28" ht="6.75" customHeight="1" outlineLevel="1" x14ac:dyDescent="0.25">
      <c r="B179" s="576"/>
      <c r="C179" s="38"/>
      <c r="D179" s="38"/>
      <c r="E179" s="211"/>
      <c r="F179" s="211"/>
      <c r="G179" s="1328"/>
      <c r="H179" s="1328"/>
      <c r="I179" s="1328"/>
      <c r="J179" s="1328"/>
      <c r="K179" s="1328"/>
      <c r="L179" s="1328"/>
      <c r="M179" s="1328"/>
      <c r="N179" s="1328"/>
      <c r="O179" s="1328"/>
      <c r="P179" s="1328"/>
      <c r="Q179" s="1328"/>
      <c r="R179" s="1328"/>
      <c r="S179" s="1328"/>
      <c r="T179" s="1328"/>
      <c r="U179" s="1328"/>
      <c r="V179" s="1328"/>
      <c r="W179" s="1328"/>
      <c r="X179" s="1328"/>
      <c r="Y179" s="1328"/>
      <c r="Z179" s="1328"/>
      <c r="AA179" s="1328"/>
      <c r="AB179" s="1299"/>
    </row>
    <row r="180" spans="2:28" ht="17.25" customHeight="1" outlineLevel="1" x14ac:dyDescent="0.25">
      <c r="B180" s="576" t="s">
        <v>123</v>
      </c>
      <c r="C180" s="38"/>
      <c r="D180" s="38"/>
      <c r="E180" s="211"/>
      <c r="F180" s="211"/>
      <c r="G180" s="1328"/>
      <c r="H180" s="1328">
        <f>H173</f>
        <v>20054509.288725682</v>
      </c>
      <c r="I180" s="1328">
        <f t="shared" ref="I180:AA180" si="67">I173</f>
        <v>21204108.810194016</v>
      </c>
      <c r="J180" s="1328">
        <f t="shared" si="67"/>
        <v>22413525.640799426</v>
      </c>
      <c r="K180" s="1328">
        <f t="shared" si="67"/>
        <v>23685930.304617282</v>
      </c>
      <c r="L180" s="1328">
        <f t="shared" si="67"/>
        <v>25024663.889953092</v>
      </c>
      <c r="M180" s="1328">
        <f t="shared" si="67"/>
        <v>26433247.332055494</v>
      </c>
      <c r="N180" s="1328">
        <f t="shared" si="67"/>
        <v>27915391.205500077</v>
      </c>
      <c r="O180" s="1328">
        <f t="shared" si="67"/>
        <v>29475006.054412887</v>
      </c>
      <c r="P180" s="1328">
        <f t="shared" si="67"/>
        <v>31116213.290266432</v>
      </c>
      <c r="Q180" s="1328">
        <f t="shared" si="67"/>
        <v>32843356.688632987</v>
      </c>
      <c r="R180" s="1328">
        <f t="shared" si="67"/>
        <v>34661014.518023267</v>
      </c>
      <c r="S180" s="1328">
        <f t="shared" si="67"/>
        <v>36574012.335779876</v>
      </c>
      <c r="T180" s="1328">
        <f t="shared" si="67"/>
        <v>37033189.859551683</v>
      </c>
      <c r="U180" s="1328">
        <f t="shared" si="67"/>
        <v>37510740.837281756</v>
      </c>
      <c r="V180" s="1328">
        <f t="shared" si="67"/>
        <v>38007400.33418861</v>
      </c>
      <c r="W180" s="1328">
        <f t="shared" si="67"/>
        <v>38523932.820640646</v>
      </c>
      <c r="X180" s="1328">
        <f t="shared" si="67"/>
        <v>39061133.34841305</v>
      </c>
      <c r="Y180" s="1328">
        <f t="shared" si="67"/>
        <v>39619828.773995899</v>
      </c>
      <c r="Z180" s="1328">
        <f t="shared" si="67"/>
        <v>40200879.030835584</v>
      </c>
      <c r="AA180" s="1328">
        <f t="shared" si="67"/>
        <v>40805178.452467062</v>
      </c>
      <c r="AB180" s="1299"/>
    </row>
    <row r="181" spans="2:28" ht="17.25" customHeight="1" outlineLevel="1" x14ac:dyDescent="0.25">
      <c r="B181" s="576" t="s">
        <v>124</v>
      </c>
      <c r="C181" s="38"/>
      <c r="D181" s="38"/>
      <c r="E181" s="211"/>
      <c r="F181" s="211" t="s">
        <v>631</v>
      </c>
      <c r="G181" s="1328"/>
      <c r="H181" s="1328">
        <f t="shared" ref="H181:AA181" si="68">-H158</f>
        <v>41594744.525547437</v>
      </c>
      <c r="I181" s="1328">
        <f t="shared" si="68"/>
        <v>41594744.525547437</v>
      </c>
      <c r="J181" s="1328">
        <f t="shared" si="68"/>
        <v>41594744.525547437</v>
      </c>
      <c r="K181" s="1328">
        <f t="shared" si="68"/>
        <v>41594744.525547437</v>
      </c>
      <c r="L181" s="1328">
        <f t="shared" si="68"/>
        <v>41594744.525547437</v>
      </c>
      <c r="M181" s="1328">
        <f t="shared" si="68"/>
        <v>41594744.525547437</v>
      </c>
      <c r="N181" s="1328">
        <f t="shared" si="68"/>
        <v>41594744.525547437</v>
      </c>
      <c r="O181" s="1328">
        <f t="shared" si="68"/>
        <v>41594744.525547437</v>
      </c>
      <c r="P181" s="1328">
        <f t="shared" si="68"/>
        <v>41594744.525547437</v>
      </c>
      <c r="Q181" s="1328">
        <f t="shared" si="68"/>
        <v>41594744.525547437</v>
      </c>
      <c r="R181" s="1328">
        <f t="shared" si="68"/>
        <v>41594744.525547437</v>
      </c>
      <c r="S181" s="1328">
        <f t="shared" si="68"/>
        <v>41594744.525547437</v>
      </c>
      <c r="T181" s="1328">
        <f t="shared" si="68"/>
        <v>41594744.525547437</v>
      </c>
      <c r="U181" s="1328">
        <f t="shared" si="68"/>
        <v>41594744.525547437</v>
      </c>
      <c r="V181" s="1328">
        <f t="shared" si="68"/>
        <v>41594744.525547437</v>
      </c>
      <c r="W181" s="1328">
        <f t="shared" si="68"/>
        <v>41594744.525547437</v>
      </c>
      <c r="X181" s="1328">
        <f t="shared" si="68"/>
        <v>41594744.525547437</v>
      </c>
      <c r="Y181" s="1328">
        <f t="shared" si="68"/>
        <v>41594744.525547437</v>
      </c>
      <c r="Z181" s="1328">
        <f t="shared" si="68"/>
        <v>41594744.525547437</v>
      </c>
      <c r="AA181" s="1328">
        <f t="shared" si="68"/>
        <v>41594744.525547437</v>
      </c>
      <c r="AB181" s="1299"/>
    </row>
    <row r="182" spans="2:28" ht="17.25" customHeight="1" outlineLevel="1" x14ac:dyDescent="0.25">
      <c r="B182" s="576"/>
      <c r="C182" s="38"/>
      <c r="D182" s="38"/>
      <c r="E182" s="211"/>
      <c r="F182" s="211"/>
      <c r="G182" s="1328"/>
      <c r="H182" s="1328"/>
      <c r="I182" s="1328"/>
      <c r="J182" s="1328"/>
      <c r="K182" s="1328"/>
      <c r="L182" s="1328"/>
      <c r="M182" s="1328"/>
      <c r="N182" s="1328"/>
      <c r="O182" s="1328"/>
      <c r="P182" s="1328"/>
      <c r="Q182" s="1328"/>
      <c r="R182" s="1328"/>
      <c r="S182" s="1328"/>
      <c r="T182" s="1328"/>
      <c r="U182" s="1328"/>
      <c r="V182" s="1328"/>
      <c r="W182" s="1328"/>
      <c r="X182" s="1328"/>
      <c r="Y182" s="1328"/>
      <c r="Z182" s="1328"/>
      <c r="AA182" s="1328"/>
      <c r="AB182" s="1299"/>
    </row>
    <row r="183" spans="2:28" ht="17.25" customHeight="1" outlineLevel="1" x14ac:dyDescent="0.25">
      <c r="B183" s="576" t="s">
        <v>125</v>
      </c>
      <c r="C183" s="38"/>
      <c r="D183" s="38"/>
      <c r="E183" s="211"/>
      <c r="F183" s="211" t="s">
        <v>631</v>
      </c>
      <c r="G183" s="1328"/>
      <c r="H183" s="1328"/>
      <c r="I183" s="1328"/>
      <c r="J183" s="1328"/>
      <c r="K183" s="1328"/>
      <c r="L183" s="1328"/>
      <c r="M183" s="1328"/>
      <c r="N183" s="1328"/>
      <c r="O183" s="1328"/>
      <c r="P183" s="1328"/>
      <c r="Q183" s="1328"/>
      <c r="R183" s="1328"/>
      <c r="S183" s="1328"/>
      <c r="T183" s="1328"/>
      <c r="U183" s="1328"/>
      <c r="V183" s="1328"/>
      <c r="W183" s="1328"/>
      <c r="X183" s="1328"/>
      <c r="Y183" s="1328"/>
      <c r="Z183" s="1328"/>
      <c r="AA183" s="1328"/>
      <c r="AB183" s="1299"/>
    </row>
    <row r="184" spans="2:28" ht="17.25" customHeight="1" outlineLevel="1" x14ac:dyDescent="0.25">
      <c r="B184" s="576" t="s">
        <v>126</v>
      </c>
      <c r="C184" s="38"/>
      <c r="D184" s="38"/>
      <c r="E184" s="211"/>
      <c r="F184" s="211" t="s">
        <v>631</v>
      </c>
      <c r="G184" s="1328"/>
      <c r="H184" s="1328"/>
      <c r="I184" s="1328"/>
      <c r="J184" s="1328"/>
      <c r="K184" s="1328"/>
      <c r="L184" s="1328"/>
      <c r="M184" s="1328"/>
      <c r="N184" s="1328"/>
      <c r="O184" s="1328"/>
      <c r="P184" s="1328"/>
      <c r="Q184" s="1328"/>
      <c r="R184" s="1328"/>
      <c r="S184" s="1328"/>
      <c r="T184" s="1328"/>
      <c r="U184" s="1328"/>
      <c r="V184" s="1328"/>
      <c r="W184" s="1328"/>
      <c r="X184" s="1328"/>
      <c r="Y184" s="1328"/>
      <c r="Z184" s="1328"/>
      <c r="AA184" s="1328"/>
      <c r="AB184" s="1299"/>
    </row>
    <row r="185" spans="2:28" ht="17.25" customHeight="1" outlineLevel="1" x14ac:dyDescent="0.25">
      <c r="B185" s="576" t="s">
        <v>127</v>
      </c>
      <c r="C185" s="38"/>
      <c r="D185" s="38"/>
      <c r="E185" s="211"/>
      <c r="F185" s="211" t="s">
        <v>631</v>
      </c>
      <c r="G185" s="1328"/>
      <c r="H185" s="1328">
        <f>-(H283+H304+H325)</f>
        <v>-32285211.591196574</v>
      </c>
      <c r="I185" s="1328">
        <f t="shared" ref="I185:AA185" si="69">-(I283+I304+I325)</f>
        <v>-33927861.585369281</v>
      </c>
      <c r="J185" s="1328">
        <f t="shared" si="69"/>
        <v>-35655972.177579314</v>
      </c>
      <c r="K185" s="1328">
        <f t="shared" si="69"/>
        <v>-37474072.833919719</v>
      </c>
      <c r="L185" s="1328">
        <f t="shared" si="69"/>
        <v>-39386936.686589241</v>
      </c>
      <c r="M185" s="1328">
        <f t="shared" si="69"/>
        <v>-41399593.794969097</v>
      </c>
      <c r="N185" s="1328">
        <f t="shared" si="69"/>
        <v>-43517345.134802461</v>
      </c>
      <c r="O185" s="1328">
        <f t="shared" si="69"/>
        <v>-45745777.355717257</v>
      </c>
      <c r="P185" s="1328">
        <f t="shared" si="69"/>
        <v>-48090778.349568188</v>
      </c>
      <c r="Q185" s="1328">
        <f t="shared" si="69"/>
        <v>-50558553.674433187</v>
      </c>
      <c r="R185" s="1328">
        <f t="shared" si="69"/>
        <v>-53155643.881590329</v>
      </c>
      <c r="S185" s="1328">
        <f t="shared" si="69"/>
        <v>-16410541.933662558</v>
      </c>
      <c r="T185" s="1328">
        <f t="shared" si="69"/>
        <v>-17066963.611009058</v>
      </c>
      <c r="U185" s="1328">
        <f t="shared" si="69"/>
        <v>-17749642.155449424</v>
      </c>
      <c r="V185" s="1328">
        <f t="shared" si="69"/>
        <v>-18459627.841667399</v>
      </c>
      <c r="W185" s="1328">
        <f t="shared" si="69"/>
        <v>-19198012.955334097</v>
      </c>
      <c r="X185" s="1328">
        <f t="shared" si="69"/>
        <v>-19965933.473547459</v>
      </c>
      <c r="Y185" s="1328">
        <f t="shared" si="69"/>
        <v>-20764570.812489357</v>
      </c>
      <c r="Z185" s="1328">
        <f t="shared" si="69"/>
        <v>-21595153.644988932</v>
      </c>
      <c r="AA185" s="1328">
        <f t="shared" si="69"/>
        <v>-22458959.79078849</v>
      </c>
      <c r="AB185" s="1299"/>
    </row>
    <row r="186" spans="2:28" ht="17.25" customHeight="1" outlineLevel="1" x14ac:dyDescent="0.25">
      <c r="B186" s="584" t="s">
        <v>128</v>
      </c>
      <c r="C186" s="39"/>
      <c r="D186" s="39"/>
      <c r="E186" s="213"/>
      <c r="F186" s="213" t="s">
        <v>631</v>
      </c>
      <c r="G186" s="1332"/>
      <c r="H186" s="1332"/>
      <c r="I186" s="1332"/>
      <c r="J186" s="1332"/>
      <c r="K186" s="1332"/>
      <c r="L186" s="1332"/>
      <c r="M186" s="1332"/>
      <c r="N186" s="1332"/>
      <c r="O186" s="1332"/>
      <c r="P186" s="1332"/>
      <c r="Q186" s="1332"/>
      <c r="R186" s="1332"/>
      <c r="S186" s="1332"/>
      <c r="T186" s="1332"/>
      <c r="U186" s="1332"/>
      <c r="V186" s="1332"/>
      <c r="W186" s="1332"/>
      <c r="X186" s="1332"/>
      <c r="Y186" s="1332"/>
      <c r="Z186" s="1332"/>
      <c r="AA186" s="1332"/>
      <c r="AB186" s="1299"/>
    </row>
    <row r="187" spans="2:28" ht="17.25" customHeight="1" outlineLevel="1" x14ac:dyDescent="0.25">
      <c r="B187" s="576" t="s">
        <v>129</v>
      </c>
      <c r="C187" s="38"/>
      <c r="D187" s="38"/>
      <c r="E187" s="211"/>
      <c r="F187" s="211" t="s">
        <v>631</v>
      </c>
      <c r="G187" s="1328">
        <f>G177</f>
        <v>-240811678.83211672</v>
      </c>
      <c r="H187" s="1328">
        <f>H180+H181+H185</f>
        <v>29364042.223076545</v>
      </c>
      <c r="I187" s="1328">
        <f t="shared" ref="I187:AA187" si="70">I180+I181+I185</f>
        <v>28870991.750372171</v>
      </c>
      <c r="J187" s="1328">
        <f t="shared" si="70"/>
        <v>28352297.988767549</v>
      </c>
      <c r="K187" s="1328">
        <f t="shared" si="70"/>
        <v>27806601.996244997</v>
      </c>
      <c r="L187" s="1328">
        <f t="shared" si="70"/>
        <v>27232471.728911288</v>
      </c>
      <c r="M187" s="1328">
        <f t="shared" si="70"/>
        <v>26628398.062633827</v>
      </c>
      <c r="N187" s="1328">
        <f t="shared" si="70"/>
        <v>25992790.59624505</v>
      </c>
      <c r="O187" s="1328">
        <f t="shared" si="70"/>
        <v>25323973.22424306</v>
      </c>
      <c r="P187" s="1328">
        <f t="shared" si="70"/>
        <v>24620179.466245681</v>
      </c>
      <c r="Q187" s="1328">
        <f t="shared" si="70"/>
        <v>23879547.539747238</v>
      </c>
      <c r="R187" s="1328">
        <f t="shared" si="70"/>
        <v>23100115.161980368</v>
      </c>
      <c r="S187" s="1328">
        <f t="shared" si="70"/>
        <v>61758214.927664764</v>
      </c>
      <c r="T187" s="1328">
        <f t="shared" si="70"/>
        <v>61560970.774090052</v>
      </c>
      <c r="U187" s="1328">
        <f t="shared" si="70"/>
        <v>61355843.207379773</v>
      </c>
      <c r="V187" s="1328">
        <f t="shared" si="70"/>
        <v>61142517.018068656</v>
      </c>
      <c r="W187" s="1328">
        <f t="shared" si="70"/>
        <v>60920664.390853986</v>
      </c>
      <c r="X187" s="1328">
        <f t="shared" si="70"/>
        <v>60689944.400413036</v>
      </c>
      <c r="Y187" s="1328">
        <f t="shared" si="70"/>
        <v>60450002.487053975</v>
      </c>
      <c r="Z187" s="1328">
        <f t="shared" si="70"/>
        <v>60200469.911394082</v>
      </c>
      <c r="AA187" s="1328">
        <f t="shared" si="70"/>
        <v>59940963.187226012</v>
      </c>
      <c r="AB187" s="1299"/>
    </row>
    <row r="188" spans="2:28" ht="7.5" customHeight="1" outlineLevel="1" x14ac:dyDescent="0.25">
      <c r="B188" s="576"/>
      <c r="C188" s="38"/>
      <c r="D188" s="38"/>
      <c r="E188" s="211"/>
      <c r="F188" s="211"/>
      <c r="G188" s="1328"/>
      <c r="H188" s="1328"/>
      <c r="I188" s="1328"/>
      <c r="J188" s="1328"/>
      <c r="K188" s="1328"/>
      <c r="L188" s="1328"/>
      <c r="M188" s="1328"/>
      <c r="N188" s="1328"/>
      <c r="O188" s="1328"/>
      <c r="P188" s="1328"/>
      <c r="Q188" s="1328"/>
      <c r="R188" s="1328"/>
      <c r="S188" s="1328"/>
      <c r="T188" s="1328"/>
      <c r="U188" s="1328"/>
      <c r="V188" s="1328"/>
      <c r="W188" s="1328"/>
      <c r="X188" s="1328"/>
      <c r="Y188" s="1328"/>
      <c r="Z188" s="1328"/>
      <c r="AA188" s="1328"/>
      <c r="AB188" s="1299"/>
    </row>
    <row r="189" spans="2:28" ht="17.25" customHeight="1" outlineLevel="1" x14ac:dyDescent="0.25">
      <c r="B189" s="576" t="s">
        <v>130</v>
      </c>
      <c r="C189" s="38"/>
      <c r="D189" s="38"/>
      <c r="E189" s="38"/>
      <c r="F189" s="38"/>
      <c r="G189" s="1328">
        <f>NPV($G$136,G187:AA187)</f>
        <v>-3.3040718875573209E-9</v>
      </c>
      <c r="H189" s="1328"/>
      <c r="I189" s="1328"/>
      <c r="J189" s="1328"/>
      <c r="K189" s="1328"/>
      <c r="L189" s="1328"/>
      <c r="M189" s="1328"/>
      <c r="N189" s="1328"/>
      <c r="O189" s="1328"/>
      <c r="P189" s="1328"/>
      <c r="Q189" s="1328"/>
      <c r="R189" s="1328"/>
      <c r="S189" s="1328"/>
      <c r="T189" s="1328"/>
      <c r="U189" s="1328"/>
      <c r="V189" s="1328"/>
      <c r="W189" s="1328"/>
      <c r="X189" s="1328"/>
      <c r="Y189" s="1328"/>
      <c r="Z189" s="1328"/>
      <c r="AA189" s="1328"/>
      <c r="AB189" s="1299"/>
    </row>
    <row r="190" spans="2:28" ht="5.25" customHeight="1" outlineLevel="1" thickBot="1" x14ac:dyDescent="0.3">
      <c r="B190" s="599"/>
      <c r="C190" s="592"/>
      <c r="D190" s="592"/>
      <c r="E190" s="592"/>
      <c r="F190" s="592"/>
      <c r="G190" s="592"/>
      <c r="H190" s="592"/>
      <c r="I190" s="592"/>
      <c r="J190" s="592"/>
      <c r="K190" s="592"/>
      <c r="L190" s="592"/>
      <c r="M190" s="592"/>
      <c r="N190" s="592"/>
      <c r="O190" s="592"/>
      <c r="P190" s="592"/>
      <c r="Q190" s="592"/>
      <c r="R190" s="592"/>
      <c r="S190" s="592"/>
      <c r="T190" s="592"/>
      <c r="U190" s="592"/>
      <c r="V190" s="592"/>
      <c r="W190" s="592"/>
      <c r="X190" s="592"/>
      <c r="Y190" s="592"/>
      <c r="Z190" s="592"/>
      <c r="AA190" s="592"/>
    </row>
    <row r="191" spans="2:28" x14ac:dyDescent="0.25"/>
    <row r="192" spans="2:28" x14ac:dyDescent="0.25"/>
    <row r="193" spans="1:28" x14ac:dyDescent="0.25"/>
    <row r="194" spans="1:28" s="8" customFormat="1" ht="12.75" customHeight="1" x14ac:dyDescent="0.25">
      <c r="A194" s="44" t="s">
        <v>263</v>
      </c>
      <c r="B194" s="44"/>
      <c r="C194" s="44"/>
      <c r="D194" s="44"/>
      <c r="E194" s="44"/>
      <c r="F194" s="44"/>
      <c r="G194" s="44"/>
      <c r="H194" s="44"/>
      <c r="I194" s="44"/>
      <c r="J194" s="45"/>
      <c r="K194" s="46"/>
      <c r="L194" s="46"/>
      <c r="M194" s="46"/>
      <c r="N194" s="46"/>
      <c r="O194" s="46"/>
      <c r="P194" s="46"/>
      <c r="Q194" s="46"/>
      <c r="R194" s="46"/>
      <c r="S194" s="46"/>
      <c r="T194" s="46"/>
      <c r="U194" s="46"/>
      <c r="V194" s="46"/>
      <c r="W194" s="46"/>
      <c r="X194" s="46"/>
      <c r="Y194" s="46"/>
      <c r="Z194" s="46"/>
      <c r="AA194" s="46"/>
    </row>
    <row r="195" spans="1:28" x14ac:dyDescent="0.25"/>
    <row r="196" spans="1:28" s="36" customFormat="1" x14ac:dyDescent="0.25">
      <c r="B196" s="214" t="s">
        <v>58</v>
      </c>
      <c r="C196" s="215"/>
      <c r="D196" s="215"/>
      <c r="E196" s="216"/>
      <c r="F196" s="216"/>
      <c r="G196" s="216">
        <v>0</v>
      </c>
      <c r="H196" s="216">
        <v>1</v>
      </c>
      <c r="I196" s="216">
        <v>2</v>
      </c>
      <c r="J196" s="216">
        <v>3</v>
      </c>
      <c r="K196" s="216">
        <v>4</v>
      </c>
      <c r="L196" s="216">
        <v>5</v>
      </c>
      <c r="M196" s="216">
        <v>6</v>
      </c>
      <c r="N196" s="216">
        <v>7</v>
      </c>
      <c r="O196" s="216">
        <v>8</v>
      </c>
      <c r="P196" s="216">
        <v>9</v>
      </c>
      <c r="Q196" s="216">
        <v>10</v>
      </c>
      <c r="R196" s="216">
        <v>11</v>
      </c>
      <c r="S196" s="216">
        <v>12</v>
      </c>
      <c r="T196" s="216">
        <v>13</v>
      </c>
      <c r="U196" s="216">
        <v>14</v>
      </c>
      <c r="V196" s="216">
        <v>15</v>
      </c>
      <c r="W196" s="216">
        <v>16</v>
      </c>
      <c r="X196" s="216">
        <v>17</v>
      </c>
      <c r="Y196" s="216">
        <v>18</v>
      </c>
      <c r="Z196" s="216">
        <v>19</v>
      </c>
      <c r="AA196" s="216">
        <v>20</v>
      </c>
    </row>
    <row r="197" spans="1:28" ht="13.8" thickBot="1" x14ac:dyDescent="0.3">
      <c r="B197" s="33"/>
      <c r="C197" s="34"/>
      <c r="D197" s="34"/>
      <c r="E197" s="209"/>
      <c r="G197" s="209"/>
      <c r="H197" s="209"/>
      <c r="I197" s="209"/>
      <c r="J197" s="209"/>
      <c r="K197" s="209"/>
      <c r="L197" s="209"/>
      <c r="M197" s="209"/>
      <c r="N197" s="209"/>
      <c r="O197" s="209"/>
      <c r="P197" s="209"/>
      <c r="Q197" s="209"/>
      <c r="R197" s="209"/>
      <c r="S197" s="209"/>
      <c r="T197" s="209"/>
      <c r="U197" s="209"/>
      <c r="V197" s="209"/>
      <c r="W197" s="209"/>
      <c r="X197" s="209"/>
      <c r="Y197" s="209"/>
      <c r="Z197" s="209"/>
      <c r="AA197" s="209"/>
    </row>
    <row r="198" spans="1:28" x14ac:dyDescent="0.25">
      <c r="B198" s="538" t="s">
        <v>501</v>
      </c>
      <c r="C198" s="539"/>
      <c r="D198" s="539"/>
      <c r="E198" s="539"/>
      <c r="F198" s="539"/>
      <c r="G198" s="539"/>
      <c r="H198" s="539"/>
      <c r="I198" s="539"/>
      <c r="J198" s="539"/>
      <c r="K198" s="539"/>
      <c r="L198" s="539"/>
      <c r="M198" s="539"/>
      <c r="N198" s="539"/>
      <c r="O198" s="539"/>
      <c r="P198" s="539"/>
      <c r="Q198" s="539"/>
      <c r="R198" s="539"/>
      <c r="S198" s="539"/>
      <c r="T198" s="539"/>
      <c r="U198" s="539"/>
      <c r="V198" s="539"/>
      <c r="W198" s="539"/>
      <c r="X198" s="539"/>
      <c r="Y198" s="539"/>
      <c r="Z198" s="539"/>
      <c r="AA198" s="540"/>
    </row>
    <row r="199" spans="1:28" x14ac:dyDescent="0.25">
      <c r="B199" s="541"/>
      <c r="C199" s="542"/>
      <c r="D199" s="542"/>
      <c r="E199" s="542"/>
      <c r="F199" s="542"/>
      <c r="G199" s="542"/>
      <c r="H199" s="542"/>
      <c r="I199" s="542"/>
      <c r="J199" s="542"/>
      <c r="K199" s="542"/>
      <c r="L199" s="542"/>
      <c r="M199" s="542"/>
      <c r="N199" s="542"/>
      <c r="O199" s="542"/>
      <c r="P199" s="542"/>
      <c r="Q199" s="542"/>
      <c r="R199" s="542"/>
      <c r="S199" s="542"/>
      <c r="T199" s="542"/>
      <c r="U199" s="542"/>
      <c r="V199" s="542"/>
      <c r="W199" s="542"/>
      <c r="X199" s="542"/>
      <c r="Y199" s="542"/>
      <c r="Z199" s="542"/>
      <c r="AA199" s="543"/>
    </row>
    <row r="200" spans="1:28" x14ac:dyDescent="0.25">
      <c r="B200" s="554" t="s">
        <v>258</v>
      </c>
      <c r="C200" s="542"/>
      <c r="D200" s="542"/>
      <c r="E200" s="542"/>
      <c r="F200" s="542"/>
      <c r="G200" s="542"/>
      <c r="H200" s="542"/>
      <c r="I200" s="542"/>
      <c r="J200" s="542"/>
      <c r="K200" s="542"/>
      <c r="L200" s="542"/>
      <c r="M200" s="542"/>
      <c r="N200" s="542"/>
      <c r="O200" s="542"/>
      <c r="P200" s="542"/>
      <c r="Q200" s="542"/>
      <c r="R200" s="542"/>
      <c r="S200" s="542"/>
      <c r="T200" s="542"/>
      <c r="U200" s="542"/>
      <c r="V200" s="542"/>
      <c r="W200" s="542"/>
      <c r="X200" s="542"/>
      <c r="Y200" s="542"/>
      <c r="Z200" s="542"/>
      <c r="AA200" s="543"/>
    </row>
    <row r="201" spans="1:28" x14ac:dyDescent="0.25">
      <c r="B201" s="541"/>
      <c r="C201" s="600" t="s">
        <v>68</v>
      </c>
      <c r="D201" s="210" t="s">
        <v>631</v>
      </c>
      <c r="E201" s="542"/>
      <c r="F201" s="542"/>
      <c r="G201" s="1320">
        <f>IF('III. Inputs, Renewable Energy'!$S$30&gt;0, 'III. Inputs, Renewable Energy'!$U$15*'III. Inputs, Renewable Energy'!$U$14*'III. Inputs, Renewable Energy'!$S$28*SUM('III. Inputs, Renewable Energy'!$S$30), 0)</f>
        <v>0</v>
      </c>
      <c r="H201" s="542"/>
      <c r="I201" s="542"/>
      <c r="J201" s="542"/>
      <c r="K201" s="542"/>
      <c r="L201" s="542"/>
      <c r="M201" s="542"/>
      <c r="N201" s="542"/>
      <c r="O201" s="542"/>
      <c r="P201" s="542"/>
      <c r="Q201" s="542"/>
      <c r="R201" s="542"/>
      <c r="S201" s="542"/>
      <c r="T201" s="542"/>
      <c r="U201" s="542"/>
      <c r="V201" s="542"/>
      <c r="W201" s="542"/>
      <c r="X201" s="542"/>
      <c r="Y201" s="542"/>
      <c r="Z201" s="542"/>
      <c r="AA201" s="543"/>
    </row>
    <row r="202" spans="1:28" x14ac:dyDescent="0.25">
      <c r="B202" s="541"/>
      <c r="C202" s="600" t="s">
        <v>69</v>
      </c>
      <c r="D202" s="210" t="s">
        <v>20</v>
      </c>
      <c r="E202" s="542"/>
      <c r="F202" s="542"/>
      <c r="G202" s="601">
        <f>SUM('III. Inputs, Renewable Energy'!$S$42)</f>
        <v>0</v>
      </c>
      <c r="H202" s="542"/>
      <c r="I202" s="542"/>
      <c r="J202" s="542"/>
      <c r="K202" s="542"/>
      <c r="L202" s="542"/>
      <c r="M202" s="542"/>
      <c r="N202" s="542"/>
      <c r="O202" s="542"/>
      <c r="P202" s="542"/>
      <c r="Q202" s="542"/>
      <c r="R202" s="542"/>
      <c r="S202" s="542"/>
      <c r="T202" s="542"/>
      <c r="U202" s="542"/>
      <c r="V202" s="542"/>
      <c r="W202" s="542"/>
      <c r="X202" s="542"/>
      <c r="Y202" s="542"/>
      <c r="Z202" s="542"/>
      <c r="AA202" s="543"/>
    </row>
    <row r="203" spans="1:28" x14ac:dyDescent="0.25">
      <c r="B203" s="541"/>
      <c r="C203" s="600" t="s">
        <v>70</v>
      </c>
      <c r="D203" s="210" t="s">
        <v>16</v>
      </c>
      <c r="E203" s="542"/>
      <c r="F203" s="542"/>
      <c r="G203" s="602">
        <f>SUM('III. Inputs, Renewable Energy'!$S$37)</f>
        <v>0</v>
      </c>
      <c r="H203" s="542"/>
      <c r="I203" s="542"/>
      <c r="J203" s="542"/>
      <c r="K203" s="542"/>
      <c r="L203" s="542"/>
      <c r="M203" s="542"/>
      <c r="N203" s="542"/>
      <c r="O203" s="542"/>
      <c r="P203" s="542"/>
      <c r="Q203" s="542"/>
      <c r="R203" s="542"/>
      <c r="S203" s="542"/>
      <c r="T203" s="542"/>
      <c r="U203" s="542"/>
      <c r="V203" s="542"/>
      <c r="W203" s="542"/>
      <c r="X203" s="542"/>
      <c r="Y203" s="542"/>
      <c r="Z203" s="542"/>
      <c r="AA203" s="543"/>
    </row>
    <row r="204" spans="1:28" x14ac:dyDescent="0.25">
      <c r="B204" s="541"/>
      <c r="C204" s="542"/>
      <c r="D204" s="542"/>
      <c r="E204" s="542"/>
      <c r="F204" s="542"/>
      <c r="G204" s="1320"/>
      <c r="H204" s="1320"/>
      <c r="I204" s="1320"/>
      <c r="J204" s="1320"/>
      <c r="K204" s="1320"/>
      <c r="L204" s="1320"/>
      <c r="M204" s="1320"/>
      <c r="N204" s="1320"/>
      <c r="O204" s="1320"/>
      <c r="P204" s="1320"/>
      <c r="Q204" s="1320"/>
      <c r="R204" s="1320"/>
      <c r="S204" s="1320"/>
      <c r="T204" s="1320"/>
      <c r="U204" s="1320"/>
      <c r="V204" s="1320"/>
      <c r="W204" s="1320"/>
      <c r="X204" s="1320"/>
      <c r="Y204" s="1320"/>
      <c r="Z204" s="1320"/>
      <c r="AA204" s="1323"/>
      <c r="AB204" s="1299"/>
    </row>
    <row r="205" spans="1:28" x14ac:dyDescent="0.25">
      <c r="B205" s="541"/>
      <c r="C205" s="603" t="s">
        <v>67</v>
      </c>
      <c r="D205" s="542"/>
      <c r="E205" s="542"/>
      <c r="F205" s="542"/>
      <c r="G205" s="1320"/>
      <c r="H205" s="1320"/>
      <c r="I205" s="1320"/>
      <c r="J205" s="1320"/>
      <c r="K205" s="1320"/>
      <c r="L205" s="1320"/>
      <c r="M205" s="1320"/>
      <c r="N205" s="1320"/>
      <c r="O205" s="1320"/>
      <c r="P205" s="1320"/>
      <c r="Q205" s="1320"/>
      <c r="R205" s="1320"/>
      <c r="S205" s="1320"/>
      <c r="T205" s="1320"/>
      <c r="U205" s="1320"/>
      <c r="V205" s="1320"/>
      <c r="W205" s="1320"/>
      <c r="X205" s="1320"/>
      <c r="Y205" s="1320"/>
      <c r="Z205" s="1320"/>
      <c r="AA205" s="1323"/>
      <c r="AB205" s="1299"/>
    </row>
    <row r="206" spans="1:28" x14ac:dyDescent="0.25">
      <c r="B206" s="541"/>
      <c r="C206" s="542" t="s">
        <v>73</v>
      </c>
      <c r="D206" s="542"/>
      <c r="E206" s="542"/>
      <c r="F206" s="542"/>
      <c r="G206" s="1320"/>
      <c r="H206" s="1320">
        <f>IF($G$201=0,0,IF(H$196&gt;$G$202,0,IPMT($G$203,H$196,$G$202,-$G$201)))</f>
        <v>0</v>
      </c>
      <c r="I206" s="1320">
        <f t="shared" ref="I206:AA206" si="71">IF($G$201=0,0,IF(I$196&gt;$G$202,0,IPMT($G$203,I$196,$G$202,-$G$201)))</f>
        <v>0</v>
      </c>
      <c r="J206" s="1320">
        <f t="shared" si="71"/>
        <v>0</v>
      </c>
      <c r="K206" s="1320">
        <f t="shared" si="71"/>
        <v>0</v>
      </c>
      <c r="L206" s="1320">
        <f t="shared" si="71"/>
        <v>0</v>
      </c>
      <c r="M206" s="1320">
        <f t="shared" si="71"/>
        <v>0</v>
      </c>
      <c r="N206" s="1320">
        <f t="shared" si="71"/>
        <v>0</v>
      </c>
      <c r="O206" s="1320">
        <f t="shared" si="71"/>
        <v>0</v>
      </c>
      <c r="P206" s="1320">
        <f t="shared" si="71"/>
        <v>0</v>
      </c>
      <c r="Q206" s="1320">
        <f t="shared" si="71"/>
        <v>0</v>
      </c>
      <c r="R206" s="1320">
        <f t="shared" si="71"/>
        <v>0</v>
      </c>
      <c r="S206" s="1320">
        <f t="shared" si="71"/>
        <v>0</v>
      </c>
      <c r="T206" s="1320">
        <f t="shared" si="71"/>
        <v>0</v>
      </c>
      <c r="U206" s="1320">
        <f t="shared" si="71"/>
        <v>0</v>
      </c>
      <c r="V206" s="1320">
        <f t="shared" si="71"/>
        <v>0</v>
      </c>
      <c r="W206" s="1320">
        <f t="shared" si="71"/>
        <v>0</v>
      </c>
      <c r="X206" s="1320">
        <f t="shared" si="71"/>
        <v>0</v>
      </c>
      <c r="Y206" s="1320">
        <f t="shared" si="71"/>
        <v>0</v>
      </c>
      <c r="Z206" s="1320">
        <f t="shared" si="71"/>
        <v>0</v>
      </c>
      <c r="AA206" s="1323">
        <f t="shared" si="71"/>
        <v>0</v>
      </c>
      <c r="AB206" s="1299"/>
    </row>
    <row r="207" spans="1:28" x14ac:dyDescent="0.25">
      <c r="B207" s="541"/>
      <c r="C207" s="552" t="s">
        <v>72</v>
      </c>
      <c r="D207" s="552"/>
      <c r="E207" s="552"/>
      <c r="F207" s="552"/>
      <c r="G207" s="1324"/>
      <c r="H207" s="1324">
        <f>IF(G201=0,0, IF(H$196&gt;$G$202,0,PPMT($G$203,H$196,$G$202,-$G$201)))</f>
        <v>0</v>
      </c>
      <c r="I207" s="1324">
        <f>IF($G$201=0,0, IF(I$196&gt;$G$202,0,PPMT($G$203,I$196,$G$202,-$G$201)))</f>
        <v>0</v>
      </c>
      <c r="J207" s="1324">
        <f t="shared" ref="J207:AA207" si="72">IF($G$201=0,0, IF(J$196&gt;$G$202,0,PPMT($G$203,J$196,$G$202,-$G$201)))</f>
        <v>0</v>
      </c>
      <c r="K207" s="1324">
        <f t="shared" si="72"/>
        <v>0</v>
      </c>
      <c r="L207" s="1324">
        <f t="shared" si="72"/>
        <v>0</v>
      </c>
      <c r="M207" s="1324">
        <f t="shared" si="72"/>
        <v>0</v>
      </c>
      <c r="N207" s="1324">
        <f t="shared" si="72"/>
        <v>0</v>
      </c>
      <c r="O207" s="1324">
        <f t="shared" si="72"/>
        <v>0</v>
      </c>
      <c r="P207" s="1324">
        <f t="shared" si="72"/>
        <v>0</v>
      </c>
      <c r="Q207" s="1324">
        <f t="shared" si="72"/>
        <v>0</v>
      </c>
      <c r="R207" s="1324">
        <f t="shared" si="72"/>
        <v>0</v>
      </c>
      <c r="S207" s="1324">
        <f t="shared" si="72"/>
        <v>0</v>
      </c>
      <c r="T207" s="1324">
        <f t="shared" si="72"/>
        <v>0</v>
      </c>
      <c r="U207" s="1324">
        <f t="shared" si="72"/>
        <v>0</v>
      </c>
      <c r="V207" s="1324">
        <f t="shared" si="72"/>
        <v>0</v>
      </c>
      <c r="W207" s="1324">
        <f t="shared" si="72"/>
        <v>0</v>
      </c>
      <c r="X207" s="1324">
        <f t="shared" si="72"/>
        <v>0</v>
      </c>
      <c r="Y207" s="1324">
        <f t="shared" si="72"/>
        <v>0</v>
      </c>
      <c r="Z207" s="1324">
        <f t="shared" si="72"/>
        <v>0</v>
      </c>
      <c r="AA207" s="1325">
        <f t="shared" si="72"/>
        <v>0</v>
      </c>
      <c r="AB207" s="1299"/>
    </row>
    <row r="208" spans="1:28" x14ac:dyDescent="0.25">
      <c r="B208" s="541"/>
      <c r="C208" s="542" t="s">
        <v>74</v>
      </c>
      <c r="D208" s="542"/>
      <c r="E208" s="542"/>
      <c r="F208" s="542"/>
      <c r="G208" s="1320"/>
      <c r="H208" s="1320">
        <f>SUM(H206:H207)</f>
        <v>0</v>
      </c>
      <c r="I208" s="1320">
        <f t="shared" ref="I208:AA208" si="73">SUM(I206:I207)</f>
        <v>0</v>
      </c>
      <c r="J208" s="1320">
        <f t="shared" si="73"/>
        <v>0</v>
      </c>
      <c r="K208" s="1320">
        <f t="shared" si="73"/>
        <v>0</v>
      </c>
      <c r="L208" s="1320">
        <f t="shared" si="73"/>
        <v>0</v>
      </c>
      <c r="M208" s="1320">
        <f t="shared" si="73"/>
        <v>0</v>
      </c>
      <c r="N208" s="1320">
        <f t="shared" si="73"/>
        <v>0</v>
      </c>
      <c r="O208" s="1320">
        <f t="shared" si="73"/>
        <v>0</v>
      </c>
      <c r="P208" s="1320">
        <f t="shared" si="73"/>
        <v>0</v>
      </c>
      <c r="Q208" s="1320">
        <f t="shared" si="73"/>
        <v>0</v>
      </c>
      <c r="R208" s="1320">
        <f t="shared" si="73"/>
        <v>0</v>
      </c>
      <c r="S208" s="1320">
        <f t="shared" si="73"/>
        <v>0</v>
      </c>
      <c r="T208" s="1320">
        <f t="shared" si="73"/>
        <v>0</v>
      </c>
      <c r="U208" s="1320">
        <f t="shared" si="73"/>
        <v>0</v>
      </c>
      <c r="V208" s="1320">
        <f t="shared" si="73"/>
        <v>0</v>
      </c>
      <c r="W208" s="1320">
        <f t="shared" si="73"/>
        <v>0</v>
      </c>
      <c r="X208" s="1320">
        <f t="shared" si="73"/>
        <v>0</v>
      </c>
      <c r="Y208" s="1320">
        <f t="shared" si="73"/>
        <v>0</v>
      </c>
      <c r="Z208" s="1320">
        <f t="shared" si="73"/>
        <v>0</v>
      </c>
      <c r="AA208" s="1323">
        <f t="shared" si="73"/>
        <v>0</v>
      </c>
      <c r="AB208" s="1299"/>
    </row>
    <row r="209" spans="2:28" x14ac:dyDescent="0.25">
      <c r="B209" s="541"/>
      <c r="C209" s="542"/>
      <c r="D209" s="542"/>
      <c r="E209" s="542"/>
      <c r="F209" s="542"/>
      <c r="G209" s="1320"/>
      <c r="H209" s="1320"/>
      <c r="I209" s="1320"/>
      <c r="J209" s="1320"/>
      <c r="K209" s="1320"/>
      <c r="L209" s="1320"/>
      <c r="M209" s="1320"/>
      <c r="N209" s="1320"/>
      <c r="O209" s="1320"/>
      <c r="P209" s="1320"/>
      <c r="Q209" s="1320"/>
      <c r="R209" s="1320"/>
      <c r="S209" s="1320"/>
      <c r="T209" s="1320"/>
      <c r="U209" s="1320"/>
      <c r="V209" s="1320"/>
      <c r="W209" s="1320"/>
      <c r="X209" s="1320"/>
      <c r="Y209" s="1320"/>
      <c r="Z209" s="1320"/>
      <c r="AA209" s="1323"/>
      <c r="AB209" s="1299"/>
    </row>
    <row r="210" spans="2:28" x14ac:dyDescent="0.25">
      <c r="B210" s="541"/>
      <c r="C210" s="604" t="s">
        <v>65</v>
      </c>
      <c r="D210" s="542"/>
      <c r="E210" s="542"/>
      <c r="F210" s="542"/>
      <c r="G210" s="1320"/>
      <c r="H210" s="1320"/>
      <c r="I210" s="1320"/>
      <c r="J210" s="1320"/>
      <c r="K210" s="1320"/>
      <c r="L210" s="1320"/>
      <c r="M210" s="1320"/>
      <c r="N210" s="1320"/>
      <c r="O210" s="1320"/>
      <c r="P210" s="1320"/>
      <c r="Q210" s="1320"/>
      <c r="R210" s="1320"/>
      <c r="S210" s="1320"/>
      <c r="T210" s="1320"/>
      <c r="U210" s="1320"/>
      <c r="V210" s="1320"/>
      <c r="W210" s="1320"/>
      <c r="X210" s="1320"/>
      <c r="Y210" s="1320"/>
      <c r="Z210" s="1320"/>
      <c r="AA210" s="1323"/>
      <c r="AB210" s="1299"/>
    </row>
    <row r="211" spans="2:28" x14ac:dyDescent="0.25">
      <c r="B211" s="541"/>
      <c r="C211" s="542" t="s">
        <v>75</v>
      </c>
      <c r="D211" s="542"/>
      <c r="E211" s="542"/>
      <c r="F211" s="542"/>
      <c r="G211" s="1320">
        <v>0</v>
      </c>
      <c r="H211" s="1320">
        <f t="shared" ref="H211:AA211" si="74">G214</f>
        <v>0</v>
      </c>
      <c r="I211" s="1320">
        <f t="shared" si="74"/>
        <v>0</v>
      </c>
      <c r="J211" s="1320">
        <f t="shared" si="74"/>
        <v>0</v>
      </c>
      <c r="K211" s="1320">
        <f t="shared" si="74"/>
        <v>0</v>
      </c>
      <c r="L211" s="1320">
        <f t="shared" si="74"/>
        <v>0</v>
      </c>
      <c r="M211" s="1320">
        <f t="shared" si="74"/>
        <v>0</v>
      </c>
      <c r="N211" s="1320">
        <f t="shared" si="74"/>
        <v>0</v>
      </c>
      <c r="O211" s="1320">
        <f t="shared" si="74"/>
        <v>0</v>
      </c>
      <c r="P211" s="1320">
        <f t="shared" si="74"/>
        <v>0</v>
      </c>
      <c r="Q211" s="1320">
        <f t="shared" si="74"/>
        <v>0</v>
      </c>
      <c r="R211" s="1320">
        <f t="shared" si="74"/>
        <v>0</v>
      </c>
      <c r="S211" s="1320">
        <f t="shared" si="74"/>
        <v>0</v>
      </c>
      <c r="T211" s="1320">
        <f t="shared" si="74"/>
        <v>0</v>
      </c>
      <c r="U211" s="1320">
        <f t="shared" si="74"/>
        <v>0</v>
      </c>
      <c r="V211" s="1320">
        <f t="shared" si="74"/>
        <v>0</v>
      </c>
      <c r="W211" s="1320">
        <f t="shared" si="74"/>
        <v>0</v>
      </c>
      <c r="X211" s="1320">
        <f t="shared" si="74"/>
        <v>0</v>
      </c>
      <c r="Y211" s="1320">
        <f t="shared" si="74"/>
        <v>0</v>
      </c>
      <c r="Z211" s="1320">
        <f t="shared" si="74"/>
        <v>0</v>
      </c>
      <c r="AA211" s="1323">
        <f t="shared" si="74"/>
        <v>0</v>
      </c>
      <c r="AB211" s="1299"/>
    </row>
    <row r="212" spans="2:28" x14ac:dyDescent="0.25">
      <c r="B212" s="541"/>
      <c r="C212" s="542" t="s">
        <v>76</v>
      </c>
      <c r="D212" s="542"/>
      <c r="E212" s="542"/>
      <c r="F212" s="542"/>
      <c r="G212" s="1320">
        <f>G201</f>
        <v>0</v>
      </c>
      <c r="H212" s="1320">
        <v>0</v>
      </c>
      <c r="I212" s="1320">
        <v>0</v>
      </c>
      <c r="J212" s="1320">
        <v>0</v>
      </c>
      <c r="K212" s="1320">
        <v>0</v>
      </c>
      <c r="L212" s="1320">
        <v>0</v>
      </c>
      <c r="M212" s="1320">
        <v>0</v>
      </c>
      <c r="N212" s="1320">
        <v>0</v>
      </c>
      <c r="O212" s="1320">
        <v>0</v>
      </c>
      <c r="P212" s="1320">
        <v>0</v>
      </c>
      <c r="Q212" s="1320">
        <v>0</v>
      </c>
      <c r="R212" s="1320">
        <v>0</v>
      </c>
      <c r="S212" s="1320">
        <v>0</v>
      </c>
      <c r="T212" s="1320">
        <v>0</v>
      </c>
      <c r="U212" s="1320">
        <v>0</v>
      </c>
      <c r="V212" s="1320">
        <v>0</v>
      </c>
      <c r="W212" s="1320">
        <v>0</v>
      </c>
      <c r="X212" s="1320">
        <v>0</v>
      </c>
      <c r="Y212" s="1320">
        <v>0</v>
      </c>
      <c r="Z212" s="1320">
        <v>0</v>
      </c>
      <c r="AA212" s="1323">
        <v>0</v>
      </c>
      <c r="AB212" s="1299"/>
    </row>
    <row r="213" spans="2:28" x14ac:dyDescent="0.25">
      <c r="B213" s="541"/>
      <c r="C213" s="552" t="s">
        <v>77</v>
      </c>
      <c r="D213" s="552"/>
      <c r="E213" s="552"/>
      <c r="F213" s="552"/>
      <c r="G213" s="1324">
        <v>0</v>
      </c>
      <c r="H213" s="1324">
        <f t="shared" ref="H213:AA213" si="75">-H207</f>
        <v>0</v>
      </c>
      <c r="I213" s="1324">
        <f t="shared" si="75"/>
        <v>0</v>
      </c>
      <c r="J213" s="1324">
        <f t="shared" si="75"/>
        <v>0</v>
      </c>
      <c r="K213" s="1324">
        <f t="shared" si="75"/>
        <v>0</v>
      </c>
      <c r="L213" s="1324">
        <f t="shared" si="75"/>
        <v>0</v>
      </c>
      <c r="M213" s="1324">
        <f t="shared" si="75"/>
        <v>0</v>
      </c>
      <c r="N213" s="1324">
        <f t="shared" si="75"/>
        <v>0</v>
      </c>
      <c r="O213" s="1324">
        <f t="shared" si="75"/>
        <v>0</v>
      </c>
      <c r="P213" s="1324">
        <f t="shared" si="75"/>
        <v>0</v>
      </c>
      <c r="Q213" s="1324">
        <f t="shared" si="75"/>
        <v>0</v>
      </c>
      <c r="R213" s="1324">
        <f t="shared" si="75"/>
        <v>0</v>
      </c>
      <c r="S213" s="1324">
        <f t="shared" si="75"/>
        <v>0</v>
      </c>
      <c r="T213" s="1324">
        <f t="shared" si="75"/>
        <v>0</v>
      </c>
      <c r="U213" s="1324">
        <f t="shared" si="75"/>
        <v>0</v>
      </c>
      <c r="V213" s="1324">
        <f t="shared" si="75"/>
        <v>0</v>
      </c>
      <c r="W213" s="1324">
        <f t="shared" si="75"/>
        <v>0</v>
      </c>
      <c r="X213" s="1324">
        <f t="shared" si="75"/>
        <v>0</v>
      </c>
      <c r="Y213" s="1324">
        <f t="shared" si="75"/>
        <v>0</v>
      </c>
      <c r="Z213" s="1324">
        <f t="shared" si="75"/>
        <v>0</v>
      </c>
      <c r="AA213" s="1325">
        <f t="shared" si="75"/>
        <v>0</v>
      </c>
      <c r="AB213" s="1299"/>
    </row>
    <row r="214" spans="2:28" x14ac:dyDescent="0.25">
      <c r="B214" s="541"/>
      <c r="C214" s="542" t="s">
        <v>66</v>
      </c>
      <c r="D214" s="542"/>
      <c r="E214" s="542"/>
      <c r="F214" s="542"/>
      <c r="G214" s="1320">
        <f>SUM(G211:G213)</f>
        <v>0</v>
      </c>
      <c r="H214" s="1320">
        <f t="shared" ref="H214:AA214" si="76">SUM(H211:H213)</f>
        <v>0</v>
      </c>
      <c r="I214" s="1320">
        <f t="shared" si="76"/>
        <v>0</v>
      </c>
      <c r="J214" s="1320">
        <f t="shared" si="76"/>
        <v>0</v>
      </c>
      <c r="K214" s="1320">
        <f t="shared" si="76"/>
        <v>0</v>
      </c>
      <c r="L214" s="1320">
        <f t="shared" si="76"/>
        <v>0</v>
      </c>
      <c r="M214" s="1320">
        <f t="shared" si="76"/>
        <v>0</v>
      </c>
      <c r="N214" s="1320">
        <f t="shared" si="76"/>
        <v>0</v>
      </c>
      <c r="O214" s="1320">
        <f t="shared" si="76"/>
        <v>0</v>
      </c>
      <c r="P214" s="1320">
        <f t="shared" si="76"/>
        <v>0</v>
      </c>
      <c r="Q214" s="1320">
        <f t="shared" si="76"/>
        <v>0</v>
      </c>
      <c r="R214" s="1320">
        <f t="shared" si="76"/>
        <v>0</v>
      </c>
      <c r="S214" s="1320">
        <f t="shared" si="76"/>
        <v>0</v>
      </c>
      <c r="T214" s="1320">
        <f t="shared" si="76"/>
        <v>0</v>
      </c>
      <c r="U214" s="1320">
        <f t="shared" si="76"/>
        <v>0</v>
      </c>
      <c r="V214" s="1320">
        <f t="shared" si="76"/>
        <v>0</v>
      </c>
      <c r="W214" s="1320">
        <f t="shared" si="76"/>
        <v>0</v>
      </c>
      <c r="X214" s="1320">
        <f t="shared" si="76"/>
        <v>0</v>
      </c>
      <c r="Y214" s="1320">
        <f t="shared" si="76"/>
        <v>0</v>
      </c>
      <c r="Z214" s="1320">
        <f t="shared" si="76"/>
        <v>0</v>
      </c>
      <c r="AA214" s="1323">
        <f t="shared" si="76"/>
        <v>0</v>
      </c>
      <c r="AB214" s="1299"/>
    </row>
    <row r="215" spans="2:28" x14ac:dyDescent="0.25">
      <c r="B215" s="541"/>
      <c r="C215" s="542"/>
      <c r="D215" s="542"/>
      <c r="E215" s="542"/>
      <c r="F215" s="542"/>
      <c r="G215" s="1320"/>
      <c r="H215" s="1320"/>
      <c r="I215" s="1320"/>
      <c r="J215" s="1320"/>
      <c r="K215" s="1320"/>
      <c r="L215" s="1320"/>
      <c r="M215" s="1320"/>
      <c r="N215" s="1320"/>
      <c r="O215" s="1320"/>
      <c r="P215" s="1320"/>
      <c r="Q215" s="1320"/>
      <c r="R215" s="1320"/>
      <c r="S215" s="1320"/>
      <c r="T215" s="1320"/>
      <c r="U215" s="1320"/>
      <c r="V215" s="1320"/>
      <c r="W215" s="1320"/>
      <c r="X215" s="1320"/>
      <c r="Y215" s="1320"/>
      <c r="Z215" s="1320"/>
      <c r="AA215" s="1323"/>
      <c r="AB215" s="1299"/>
    </row>
    <row r="216" spans="2:28" x14ac:dyDescent="0.25">
      <c r="B216" s="541"/>
      <c r="C216" s="604" t="s">
        <v>71</v>
      </c>
      <c r="D216" s="542"/>
      <c r="E216" s="542"/>
      <c r="F216" s="542"/>
      <c r="G216" s="1320"/>
      <c r="H216" s="1320"/>
      <c r="I216" s="1320"/>
      <c r="J216" s="1320"/>
      <c r="K216" s="1320"/>
      <c r="L216" s="1320"/>
      <c r="M216" s="1320"/>
      <c r="N216" s="1320"/>
      <c r="O216" s="1320"/>
      <c r="P216" s="1320"/>
      <c r="Q216" s="1320"/>
      <c r="R216" s="1320"/>
      <c r="S216" s="1320"/>
      <c r="T216" s="1320"/>
      <c r="U216" s="1320"/>
      <c r="V216" s="1320"/>
      <c r="W216" s="1320"/>
      <c r="X216" s="1320"/>
      <c r="Y216" s="1320"/>
      <c r="Z216" s="1320"/>
      <c r="AA216" s="1323"/>
      <c r="AB216" s="1299"/>
    </row>
    <row r="217" spans="2:28" x14ac:dyDescent="0.25">
      <c r="B217" s="541"/>
      <c r="C217" s="542" t="str">
        <f>'II. Inputs, Baseline Energy Mix'!E70</f>
        <v>Front-end Fee</v>
      </c>
      <c r="D217" s="542"/>
      <c r="E217" s="542"/>
      <c r="F217" s="542"/>
      <c r="G217" s="1320"/>
      <c r="H217" s="1320">
        <f>IF($G$201&gt;0, $G$201*'III. Inputs, Renewable Energy'!$S$47/10000,0)</f>
        <v>0</v>
      </c>
      <c r="I217" s="1336">
        <v>0</v>
      </c>
      <c r="J217" s="1336">
        <v>0</v>
      </c>
      <c r="K217" s="1336">
        <v>0</v>
      </c>
      <c r="L217" s="1336">
        <v>0</v>
      </c>
      <c r="M217" s="1336">
        <v>0</v>
      </c>
      <c r="N217" s="1336">
        <v>0</v>
      </c>
      <c r="O217" s="1336">
        <v>0</v>
      </c>
      <c r="P217" s="1336">
        <v>0</v>
      </c>
      <c r="Q217" s="1336">
        <v>0</v>
      </c>
      <c r="R217" s="1336">
        <v>0</v>
      </c>
      <c r="S217" s="1336">
        <v>0</v>
      </c>
      <c r="T217" s="1336">
        <v>0</v>
      </c>
      <c r="U217" s="1336">
        <v>0</v>
      </c>
      <c r="V217" s="1336">
        <v>0</v>
      </c>
      <c r="W217" s="1336">
        <v>0</v>
      </c>
      <c r="X217" s="1336">
        <v>0</v>
      </c>
      <c r="Y217" s="1336">
        <v>0</v>
      </c>
      <c r="Z217" s="1336">
        <v>0</v>
      </c>
      <c r="AA217" s="1337">
        <v>0</v>
      </c>
      <c r="AB217" s="1299"/>
    </row>
    <row r="218" spans="2:28" x14ac:dyDescent="0.25">
      <c r="B218" s="541"/>
      <c r="C218" s="542"/>
      <c r="D218" s="542"/>
      <c r="E218" s="542"/>
      <c r="F218" s="542"/>
      <c r="G218" s="542"/>
      <c r="H218" s="542"/>
      <c r="I218" s="542"/>
      <c r="J218" s="542"/>
      <c r="K218" s="542"/>
      <c r="L218" s="542"/>
      <c r="M218" s="542"/>
      <c r="N218" s="542"/>
      <c r="O218" s="542"/>
      <c r="P218" s="542"/>
      <c r="Q218" s="542"/>
      <c r="R218" s="542"/>
      <c r="S218" s="542"/>
      <c r="T218" s="542"/>
      <c r="U218" s="542"/>
      <c r="V218" s="542"/>
      <c r="W218" s="542"/>
      <c r="X218" s="542"/>
      <c r="Y218" s="542"/>
      <c r="Z218" s="542"/>
      <c r="AA218" s="543"/>
    </row>
    <row r="219" spans="2:28" x14ac:dyDescent="0.25">
      <c r="B219" s="554" t="s">
        <v>180</v>
      </c>
      <c r="C219" s="542"/>
      <c r="D219" s="542"/>
      <c r="E219" s="542"/>
      <c r="F219" s="542"/>
      <c r="G219" s="542"/>
      <c r="H219" s="542"/>
      <c r="I219" s="542"/>
      <c r="J219" s="542"/>
      <c r="K219" s="542"/>
      <c r="L219" s="542"/>
      <c r="M219" s="542"/>
      <c r="N219" s="542"/>
      <c r="O219" s="542"/>
      <c r="P219" s="542"/>
      <c r="Q219" s="542"/>
      <c r="R219" s="542"/>
      <c r="S219" s="542"/>
      <c r="T219" s="542"/>
      <c r="U219" s="542"/>
      <c r="V219" s="542"/>
      <c r="W219" s="542"/>
      <c r="X219" s="542"/>
      <c r="Y219" s="542"/>
      <c r="Z219" s="542"/>
      <c r="AA219" s="543"/>
    </row>
    <row r="220" spans="2:28" x14ac:dyDescent="0.25">
      <c r="B220" s="541"/>
      <c r="C220" s="600" t="s">
        <v>68</v>
      </c>
      <c r="D220" s="210" t="s">
        <v>631</v>
      </c>
      <c r="E220" s="542"/>
      <c r="F220" s="542"/>
      <c r="G220" s="1320">
        <f>IF('III. Inputs, Renewable Energy'!$S$31&gt;0, 'III. Inputs, Renewable Energy'!$U$15*'III. Inputs, Renewable Energy'!$U$14*'III. Inputs, Renewable Energy'!$S$28*SUM('III. Inputs, Renewable Energy'!$S$31), 0)</f>
        <v>0</v>
      </c>
      <c r="H220" s="542"/>
      <c r="I220" s="542"/>
      <c r="J220" s="542"/>
      <c r="K220" s="542"/>
      <c r="L220" s="542"/>
      <c r="M220" s="542"/>
      <c r="N220" s="542"/>
      <c r="O220" s="542"/>
      <c r="P220" s="542"/>
      <c r="Q220" s="542"/>
      <c r="R220" s="542"/>
      <c r="S220" s="542"/>
      <c r="T220" s="542"/>
      <c r="U220" s="542"/>
      <c r="V220" s="542"/>
      <c r="W220" s="542"/>
      <c r="X220" s="542"/>
      <c r="Y220" s="542"/>
      <c r="Z220" s="542"/>
      <c r="AA220" s="543"/>
    </row>
    <row r="221" spans="2:28" x14ac:dyDescent="0.25">
      <c r="B221" s="541"/>
      <c r="C221" s="600" t="s">
        <v>69</v>
      </c>
      <c r="D221" s="210" t="s">
        <v>20</v>
      </c>
      <c r="E221" s="542"/>
      <c r="F221" s="542"/>
      <c r="G221" s="601">
        <f>SUM('III. Inputs, Renewable Energy'!$S$43)</f>
        <v>0</v>
      </c>
      <c r="H221" s="542"/>
      <c r="I221" s="542"/>
      <c r="J221" s="542"/>
      <c r="K221" s="542"/>
      <c r="L221" s="542"/>
      <c r="M221" s="542"/>
      <c r="N221" s="542"/>
      <c r="O221" s="542"/>
      <c r="P221" s="542"/>
      <c r="Q221" s="542"/>
      <c r="R221" s="542"/>
      <c r="S221" s="542"/>
      <c r="T221" s="542"/>
      <c r="U221" s="542"/>
      <c r="V221" s="542"/>
      <c r="W221" s="542"/>
      <c r="X221" s="542"/>
      <c r="Y221" s="542"/>
      <c r="Z221" s="542"/>
      <c r="AA221" s="543"/>
    </row>
    <row r="222" spans="2:28" x14ac:dyDescent="0.25">
      <c r="B222" s="541"/>
      <c r="C222" s="600" t="s">
        <v>70</v>
      </c>
      <c r="D222" s="210" t="s">
        <v>16</v>
      </c>
      <c r="E222" s="542"/>
      <c r="F222" s="542"/>
      <c r="G222" s="602">
        <f>SUM('III. Inputs, Renewable Energy'!$S$38)</f>
        <v>0</v>
      </c>
      <c r="H222" s="542"/>
      <c r="I222" s="542"/>
      <c r="J222" s="542"/>
      <c r="K222" s="542"/>
      <c r="L222" s="542"/>
      <c r="M222" s="542"/>
      <c r="N222" s="542"/>
      <c r="O222" s="542"/>
      <c r="P222" s="542"/>
      <c r="Q222" s="542"/>
      <c r="R222" s="542"/>
      <c r="S222" s="542"/>
      <c r="T222" s="542"/>
      <c r="U222" s="542"/>
      <c r="V222" s="542"/>
      <c r="W222" s="542"/>
      <c r="X222" s="542"/>
      <c r="Y222" s="542"/>
      <c r="Z222" s="542"/>
      <c r="AA222" s="543"/>
    </row>
    <row r="223" spans="2:28" x14ac:dyDescent="0.25">
      <c r="B223" s="541"/>
      <c r="C223" s="600" t="s">
        <v>236</v>
      </c>
      <c r="D223" s="210" t="s">
        <v>16</v>
      </c>
      <c r="E223" s="542"/>
      <c r="F223" s="542"/>
      <c r="G223" s="780">
        <f>SUM('III. Inputs, Renewable Energy'!$S$183)</f>
        <v>0</v>
      </c>
      <c r="H223" s="542"/>
      <c r="I223" s="542"/>
      <c r="J223" s="542"/>
      <c r="K223" s="542"/>
      <c r="L223" s="542"/>
      <c r="M223" s="542"/>
      <c r="N223" s="542"/>
      <c r="O223" s="542"/>
      <c r="P223" s="542"/>
      <c r="Q223" s="542"/>
      <c r="R223" s="542"/>
      <c r="S223" s="542"/>
      <c r="T223" s="542"/>
      <c r="U223" s="542"/>
      <c r="V223" s="542"/>
      <c r="W223" s="542"/>
      <c r="X223" s="542"/>
      <c r="Y223" s="542"/>
      <c r="Z223" s="542"/>
      <c r="AA223" s="543"/>
    </row>
    <row r="224" spans="2:28" x14ac:dyDescent="0.25">
      <c r="B224" s="541"/>
      <c r="C224" s="600" t="s">
        <v>209</v>
      </c>
      <c r="D224" s="210" t="s">
        <v>20</v>
      </c>
      <c r="E224" s="542"/>
      <c r="F224" s="542"/>
      <c r="G224" s="556">
        <f>'III. Inputs, Renewable Energy'!$S$184</f>
        <v>0</v>
      </c>
      <c r="H224" s="542"/>
      <c r="I224" s="542"/>
      <c r="J224" s="542"/>
      <c r="K224" s="542"/>
      <c r="L224" s="542"/>
      <c r="M224" s="542"/>
      <c r="N224" s="542"/>
      <c r="O224" s="542"/>
      <c r="P224" s="542"/>
      <c r="Q224" s="542"/>
      <c r="R224" s="542"/>
      <c r="S224" s="542"/>
      <c r="T224" s="542"/>
      <c r="U224" s="542"/>
      <c r="V224" s="542"/>
      <c r="W224" s="542"/>
      <c r="X224" s="542"/>
      <c r="Y224" s="542"/>
      <c r="Z224" s="542"/>
      <c r="AA224" s="543"/>
    </row>
    <row r="225" spans="2:28" x14ac:dyDescent="0.25">
      <c r="B225" s="541"/>
      <c r="C225" s="542"/>
      <c r="D225" s="542"/>
      <c r="E225" s="542"/>
      <c r="F225" s="542"/>
      <c r="G225" s="542"/>
      <c r="H225" s="542"/>
      <c r="I225" s="542"/>
      <c r="J225" s="542"/>
      <c r="K225" s="542"/>
      <c r="L225" s="542"/>
      <c r="M225" s="542"/>
      <c r="N225" s="542"/>
      <c r="O225" s="542"/>
      <c r="P225" s="542"/>
      <c r="Q225" s="542"/>
      <c r="R225" s="542"/>
      <c r="S225" s="542"/>
      <c r="T225" s="542"/>
      <c r="U225" s="542"/>
      <c r="V225" s="542"/>
      <c r="W225" s="542"/>
      <c r="X225" s="542"/>
      <c r="Y225" s="542"/>
      <c r="Z225" s="542"/>
      <c r="AA225" s="543"/>
    </row>
    <row r="226" spans="2:28" x14ac:dyDescent="0.25">
      <c r="B226" s="541"/>
      <c r="C226" s="603" t="s">
        <v>67</v>
      </c>
      <c r="D226" s="542"/>
      <c r="E226" s="542"/>
      <c r="F226" s="542"/>
      <c r="G226" s="1320"/>
      <c r="H226" s="1320"/>
      <c r="I226" s="1320"/>
      <c r="J226" s="1320"/>
      <c r="K226" s="1320"/>
      <c r="L226" s="1320"/>
      <c r="M226" s="1320"/>
      <c r="N226" s="1320"/>
      <c r="O226" s="1320"/>
      <c r="P226" s="1320"/>
      <c r="Q226" s="1320"/>
      <c r="R226" s="1320"/>
      <c r="S226" s="1320"/>
      <c r="T226" s="1320"/>
      <c r="U226" s="1320"/>
      <c r="V226" s="1320"/>
      <c r="W226" s="1320"/>
      <c r="X226" s="1320"/>
      <c r="Y226" s="1320"/>
      <c r="Z226" s="1320"/>
      <c r="AA226" s="1323"/>
      <c r="AB226" s="1299"/>
    </row>
    <row r="227" spans="2:28" x14ac:dyDescent="0.25">
      <c r="B227" s="541"/>
      <c r="C227" s="542" t="s">
        <v>73</v>
      </c>
      <c r="D227" s="542"/>
      <c r="E227" s="542"/>
      <c r="F227" s="542"/>
      <c r="G227" s="1320"/>
      <c r="H227" s="1320">
        <f>IF($G$220=0,0,IF(H$196&gt;$G$221,0,IPMT($G$222,H$196,$G$221,-$G$220)))</f>
        <v>0</v>
      </c>
      <c r="I227" s="1320">
        <f t="shared" ref="I227:AA227" si="77">IF($G$220=0,0,IF(I$196&gt;$G$221,0,IPMT($G$222,I$196,$G$221,-$G$220)))</f>
        <v>0</v>
      </c>
      <c r="J227" s="1320">
        <f t="shared" si="77"/>
        <v>0</v>
      </c>
      <c r="K227" s="1320">
        <f t="shared" si="77"/>
        <v>0</v>
      </c>
      <c r="L227" s="1320">
        <f t="shared" si="77"/>
        <v>0</v>
      </c>
      <c r="M227" s="1320">
        <f t="shared" si="77"/>
        <v>0</v>
      </c>
      <c r="N227" s="1320">
        <f t="shared" si="77"/>
        <v>0</v>
      </c>
      <c r="O227" s="1320">
        <f t="shared" si="77"/>
        <v>0</v>
      </c>
      <c r="P227" s="1320">
        <f t="shared" si="77"/>
        <v>0</v>
      </c>
      <c r="Q227" s="1320">
        <f t="shared" si="77"/>
        <v>0</v>
      </c>
      <c r="R227" s="1320">
        <f t="shared" si="77"/>
        <v>0</v>
      </c>
      <c r="S227" s="1320">
        <f t="shared" si="77"/>
        <v>0</v>
      </c>
      <c r="T227" s="1320">
        <f t="shared" si="77"/>
        <v>0</v>
      </c>
      <c r="U227" s="1320">
        <f t="shared" si="77"/>
        <v>0</v>
      </c>
      <c r="V227" s="1320">
        <f t="shared" si="77"/>
        <v>0</v>
      </c>
      <c r="W227" s="1320">
        <f t="shared" si="77"/>
        <v>0</v>
      </c>
      <c r="X227" s="1320">
        <f t="shared" si="77"/>
        <v>0</v>
      </c>
      <c r="Y227" s="1320">
        <f t="shared" si="77"/>
        <v>0</v>
      </c>
      <c r="Z227" s="1320">
        <f t="shared" si="77"/>
        <v>0</v>
      </c>
      <c r="AA227" s="1323">
        <f t="shared" si="77"/>
        <v>0</v>
      </c>
      <c r="AB227" s="1299"/>
    </row>
    <row r="228" spans="2:28" x14ac:dyDescent="0.25">
      <c r="B228" s="541"/>
      <c r="C228" s="552" t="s">
        <v>72</v>
      </c>
      <c r="D228" s="552"/>
      <c r="E228" s="552"/>
      <c r="F228" s="552"/>
      <c r="G228" s="1324"/>
      <c r="H228" s="1324">
        <f>IF($G$220=0,0,IF(H$196&gt;$G$221,0,PPMT($G$222,H$196,$G$221,-$G$220)))</f>
        <v>0</v>
      </c>
      <c r="I228" s="1324">
        <f t="shared" ref="I228:AA228" si="78">IF($G$220=0,0,IF(I$196&gt;$G$221,0,PPMT($G$222,I$196,$G$221,-$G$220)))</f>
        <v>0</v>
      </c>
      <c r="J228" s="1324">
        <f t="shared" si="78"/>
        <v>0</v>
      </c>
      <c r="K228" s="1324">
        <f t="shared" si="78"/>
        <v>0</v>
      </c>
      <c r="L228" s="1324">
        <f t="shared" si="78"/>
        <v>0</v>
      </c>
      <c r="M228" s="1324">
        <f t="shared" si="78"/>
        <v>0</v>
      </c>
      <c r="N228" s="1324">
        <f t="shared" si="78"/>
        <v>0</v>
      </c>
      <c r="O228" s="1324">
        <f t="shared" si="78"/>
        <v>0</v>
      </c>
      <c r="P228" s="1324">
        <f t="shared" si="78"/>
        <v>0</v>
      </c>
      <c r="Q228" s="1324">
        <f t="shared" si="78"/>
        <v>0</v>
      </c>
      <c r="R228" s="1324">
        <f t="shared" si="78"/>
        <v>0</v>
      </c>
      <c r="S228" s="1324">
        <f t="shared" si="78"/>
        <v>0</v>
      </c>
      <c r="T228" s="1324">
        <f t="shared" si="78"/>
        <v>0</v>
      </c>
      <c r="U228" s="1324">
        <f t="shared" si="78"/>
        <v>0</v>
      </c>
      <c r="V228" s="1324">
        <f t="shared" si="78"/>
        <v>0</v>
      </c>
      <c r="W228" s="1324">
        <f t="shared" si="78"/>
        <v>0</v>
      </c>
      <c r="X228" s="1324">
        <f t="shared" si="78"/>
        <v>0</v>
      </c>
      <c r="Y228" s="1324">
        <f t="shared" si="78"/>
        <v>0</v>
      </c>
      <c r="Z228" s="1324">
        <f t="shared" si="78"/>
        <v>0</v>
      </c>
      <c r="AA228" s="1325">
        <f t="shared" si="78"/>
        <v>0</v>
      </c>
      <c r="AB228" s="1299"/>
    </row>
    <row r="229" spans="2:28" x14ac:dyDescent="0.25">
      <c r="B229" s="541"/>
      <c r="C229" s="542" t="s">
        <v>74</v>
      </c>
      <c r="D229" s="542"/>
      <c r="E229" s="542"/>
      <c r="F229" s="542"/>
      <c r="G229" s="1320"/>
      <c r="H229" s="1320">
        <f>SUM(H227:H228)</f>
        <v>0</v>
      </c>
      <c r="I229" s="1320">
        <f t="shared" ref="I229:W229" si="79">SUM(I227:I228)</f>
        <v>0</v>
      </c>
      <c r="J229" s="1320">
        <f t="shared" si="79"/>
        <v>0</v>
      </c>
      <c r="K229" s="1320">
        <f t="shared" si="79"/>
        <v>0</v>
      </c>
      <c r="L229" s="1320">
        <f t="shared" si="79"/>
        <v>0</v>
      </c>
      <c r="M229" s="1320">
        <f t="shared" si="79"/>
        <v>0</v>
      </c>
      <c r="N229" s="1320">
        <f t="shared" si="79"/>
        <v>0</v>
      </c>
      <c r="O229" s="1320">
        <f t="shared" si="79"/>
        <v>0</v>
      </c>
      <c r="P229" s="1320">
        <f t="shared" si="79"/>
        <v>0</v>
      </c>
      <c r="Q229" s="1320">
        <f t="shared" si="79"/>
        <v>0</v>
      </c>
      <c r="R229" s="1320">
        <f t="shared" si="79"/>
        <v>0</v>
      </c>
      <c r="S229" s="1320">
        <f t="shared" si="79"/>
        <v>0</v>
      </c>
      <c r="T229" s="1320">
        <f t="shared" si="79"/>
        <v>0</v>
      </c>
      <c r="U229" s="1320">
        <f t="shared" si="79"/>
        <v>0</v>
      </c>
      <c r="V229" s="1320">
        <f t="shared" si="79"/>
        <v>0</v>
      </c>
      <c r="W229" s="1320">
        <f t="shared" si="79"/>
        <v>0</v>
      </c>
      <c r="X229" s="1320">
        <f>SUM(X227:X228)</f>
        <v>0</v>
      </c>
      <c r="Y229" s="1320">
        <f>SUM(Y227:Y228)</f>
        <v>0</v>
      </c>
      <c r="Z229" s="1320">
        <f>SUM(Z227:Z228)</f>
        <v>0</v>
      </c>
      <c r="AA229" s="1323">
        <f>SUM(AA227:AA228)</f>
        <v>0</v>
      </c>
      <c r="AB229" s="1299"/>
    </row>
    <row r="230" spans="2:28" x14ac:dyDescent="0.25">
      <c r="B230" s="541"/>
      <c r="C230" s="542"/>
      <c r="D230" s="542"/>
      <c r="E230" s="542"/>
      <c r="F230" s="542"/>
      <c r="G230" s="1320"/>
      <c r="H230" s="1320"/>
      <c r="I230" s="1320"/>
      <c r="J230" s="1320"/>
      <c r="K230" s="1320"/>
      <c r="L230" s="1320"/>
      <c r="M230" s="1320"/>
      <c r="N230" s="1320"/>
      <c r="O230" s="1320"/>
      <c r="P230" s="1320"/>
      <c r="Q230" s="1320"/>
      <c r="R230" s="1320"/>
      <c r="S230" s="1320"/>
      <c r="T230" s="1320"/>
      <c r="U230" s="1320"/>
      <c r="V230" s="1320"/>
      <c r="W230" s="1320"/>
      <c r="X230" s="1320"/>
      <c r="Y230" s="1320"/>
      <c r="Z230" s="1320"/>
      <c r="AA230" s="1323"/>
      <c r="AB230" s="1299"/>
    </row>
    <row r="231" spans="2:28" x14ac:dyDescent="0.25">
      <c r="B231" s="541"/>
      <c r="C231" s="604" t="s">
        <v>65</v>
      </c>
      <c r="D231" s="542"/>
      <c r="E231" s="542"/>
      <c r="F231" s="542"/>
      <c r="G231" s="1320"/>
      <c r="H231" s="1320"/>
      <c r="I231" s="1320"/>
      <c r="J231" s="1320"/>
      <c r="K231" s="1320"/>
      <c r="L231" s="1320"/>
      <c r="M231" s="1320"/>
      <c r="N231" s="1320"/>
      <c r="O231" s="1320"/>
      <c r="P231" s="1320"/>
      <c r="Q231" s="1320"/>
      <c r="R231" s="1320"/>
      <c r="S231" s="1320"/>
      <c r="T231" s="1320"/>
      <c r="U231" s="1320"/>
      <c r="V231" s="1320"/>
      <c r="W231" s="1320"/>
      <c r="X231" s="1320"/>
      <c r="Y231" s="1320"/>
      <c r="Z231" s="1320"/>
      <c r="AA231" s="1323"/>
      <c r="AB231" s="1299"/>
    </row>
    <row r="232" spans="2:28" x14ac:dyDescent="0.25">
      <c r="B232" s="541"/>
      <c r="C232" s="542" t="s">
        <v>75</v>
      </c>
      <c r="D232" s="542"/>
      <c r="E232" s="542"/>
      <c r="F232" s="542"/>
      <c r="G232" s="1320">
        <v>0</v>
      </c>
      <c r="H232" s="1320">
        <f>G235</f>
        <v>0</v>
      </c>
      <c r="I232" s="1320">
        <f t="shared" ref="I232:W232" si="80">H235</f>
        <v>0</v>
      </c>
      <c r="J232" s="1320">
        <f t="shared" si="80"/>
        <v>0</v>
      </c>
      <c r="K232" s="1320">
        <f t="shared" si="80"/>
        <v>0</v>
      </c>
      <c r="L232" s="1320">
        <f t="shared" si="80"/>
        <v>0</v>
      </c>
      <c r="M232" s="1320">
        <f t="shared" si="80"/>
        <v>0</v>
      </c>
      <c r="N232" s="1320">
        <f t="shared" si="80"/>
        <v>0</v>
      </c>
      <c r="O232" s="1320">
        <f t="shared" si="80"/>
        <v>0</v>
      </c>
      <c r="P232" s="1320">
        <f t="shared" si="80"/>
        <v>0</v>
      </c>
      <c r="Q232" s="1320">
        <f t="shared" si="80"/>
        <v>0</v>
      </c>
      <c r="R232" s="1320">
        <f t="shared" si="80"/>
        <v>0</v>
      </c>
      <c r="S232" s="1320">
        <f t="shared" si="80"/>
        <v>0</v>
      </c>
      <c r="T232" s="1320">
        <f t="shared" si="80"/>
        <v>0</v>
      </c>
      <c r="U232" s="1320">
        <f t="shared" si="80"/>
        <v>0</v>
      </c>
      <c r="V232" s="1320">
        <f t="shared" si="80"/>
        <v>0</v>
      </c>
      <c r="W232" s="1320">
        <f t="shared" si="80"/>
        <v>0</v>
      </c>
      <c r="X232" s="1320">
        <f>W235</f>
        <v>0</v>
      </c>
      <c r="Y232" s="1320">
        <f>X235</f>
        <v>0</v>
      </c>
      <c r="Z232" s="1320">
        <f>Y235</f>
        <v>0</v>
      </c>
      <c r="AA232" s="1323">
        <f>Z235</f>
        <v>0</v>
      </c>
      <c r="AB232" s="1299"/>
    </row>
    <row r="233" spans="2:28" x14ac:dyDescent="0.25">
      <c r="B233" s="541"/>
      <c r="C233" s="542" t="s">
        <v>76</v>
      </c>
      <c r="D233" s="542"/>
      <c r="E233" s="542"/>
      <c r="F233" s="542"/>
      <c r="G233" s="1320">
        <f>G220</f>
        <v>0</v>
      </c>
      <c r="H233" s="1320">
        <v>0</v>
      </c>
      <c r="I233" s="1320">
        <v>0</v>
      </c>
      <c r="J233" s="1320">
        <v>0</v>
      </c>
      <c r="K233" s="1320">
        <v>0</v>
      </c>
      <c r="L233" s="1320">
        <v>0</v>
      </c>
      <c r="M233" s="1320">
        <v>0</v>
      </c>
      <c r="N233" s="1320">
        <v>0</v>
      </c>
      <c r="O233" s="1320">
        <v>0</v>
      </c>
      <c r="P233" s="1320">
        <v>0</v>
      </c>
      <c r="Q233" s="1320">
        <v>0</v>
      </c>
      <c r="R233" s="1320">
        <v>0</v>
      </c>
      <c r="S233" s="1320">
        <v>0</v>
      </c>
      <c r="T233" s="1320">
        <v>0</v>
      </c>
      <c r="U233" s="1320">
        <v>0</v>
      </c>
      <c r="V233" s="1320">
        <v>0</v>
      </c>
      <c r="W233" s="1320">
        <v>0</v>
      </c>
      <c r="X233" s="1320">
        <v>0</v>
      </c>
      <c r="Y233" s="1320">
        <v>0</v>
      </c>
      <c r="Z233" s="1320">
        <v>0</v>
      </c>
      <c r="AA233" s="1323">
        <v>0</v>
      </c>
      <c r="AB233" s="1299"/>
    </row>
    <row r="234" spans="2:28" x14ac:dyDescent="0.25">
      <c r="B234" s="541"/>
      <c r="C234" s="552" t="s">
        <v>77</v>
      </c>
      <c r="D234" s="552"/>
      <c r="E234" s="552"/>
      <c r="F234" s="552"/>
      <c r="G234" s="1324">
        <v>0</v>
      </c>
      <c r="H234" s="1324">
        <f>-H228</f>
        <v>0</v>
      </c>
      <c r="I234" s="1324">
        <f t="shared" ref="I234:W234" si="81">-I228</f>
        <v>0</v>
      </c>
      <c r="J234" s="1324">
        <f t="shared" si="81"/>
        <v>0</v>
      </c>
      <c r="K234" s="1324">
        <f t="shared" si="81"/>
        <v>0</v>
      </c>
      <c r="L234" s="1324">
        <f t="shared" si="81"/>
        <v>0</v>
      </c>
      <c r="M234" s="1324">
        <f t="shared" si="81"/>
        <v>0</v>
      </c>
      <c r="N234" s="1324">
        <f t="shared" si="81"/>
        <v>0</v>
      </c>
      <c r="O234" s="1324">
        <f t="shared" si="81"/>
        <v>0</v>
      </c>
      <c r="P234" s="1324">
        <f t="shared" si="81"/>
        <v>0</v>
      </c>
      <c r="Q234" s="1324">
        <f t="shared" si="81"/>
        <v>0</v>
      </c>
      <c r="R234" s="1324">
        <f t="shared" si="81"/>
        <v>0</v>
      </c>
      <c r="S234" s="1324">
        <f t="shared" si="81"/>
        <v>0</v>
      </c>
      <c r="T234" s="1324">
        <f t="shared" si="81"/>
        <v>0</v>
      </c>
      <c r="U234" s="1324">
        <f t="shared" si="81"/>
        <v>0</v>
      </c>
      <c r="V234" s="1324">
        <f t="shared" si="81"/>
        <v>0</v>
      </c>
      <c r="W234" s="1324">
        <f t="shared" si="81"/>
        <v>0</v>
      </c>
      <c r="X234" s="1324">
        <f>-X228</f>
        <v>0</v>
      </c>
      <c r="Y234" s="1324">
        <f>-Y228</f>
        <v>0</v>
      </c>
      <c r="Z234" s="1324">
        <f>-Z228</f>
        <v>0</v>
      </c>
      <c r="AA234" s="1325">
        <f>-AA228</f>
        <v>0</v>
      </c>
      <c r="AB234" s="1299"/>
    </row>
    <row r="235" spans="2:28" x14ac:dyDescent="0.25">
      <c r="B235" s="541"/>
      <c r="C235" s="542" t="s">
        <v>66</v>
      </c>
      <c r="D235" s="542"/>
      <c r="E235" s="542"/>
      <c r="F235" s="542"/>
      <c r="G235" s="1320">
        <f>SUM(G232:G234)</f>
        <v>0</v>
      </c>
      <c r="H235" s="1320">
        <f>SUM(H232:H234)</f>
        <v>0</v>
      </c>
      <c r="I235" s="1320">
        <f t="shared" ref="I235:W235" si="82">SUM(I232:I234)</f>
        <v>0</v>
      </c>
      <c r="J235" s="1320">
        <f t="shared" si="82"/>
        <v>0</v>
      </c>
      <c r="K235" s="1320">
        <f t="shared" si="82"/>
        <v>0</v>
      </c>
      <c r="L235" s="1320">
        <f t="shared" si="82"/>
        <v>0</v>
      </c>
      <c r="M235" s="1320">
        <f t="shared" si="82"/>
        <v>0</v>
      </c>
      <c r="N235" s="1320">
        <f t="shared" si="82"/>
        <v>0</v>
      </c>
      <c r="O235" s="1320">
        <f t="shared" si="82"/>
        <v>0</v>
      </c>
      <c r="P235" s="1320">
        <f t="shared" si="82"/>
        <v>0</v>
      </c>
      <c r="Q235" s="1320">
        <f t="shared" si="82"/>
        <v>0</v>
      </c>
      <c r="R235" s="1320">
        <f t="shared" si="82"/>
        <v>0</v>
      </c>
      <c r="S235" s="1320">
        <f t="shared" si="82"/>
        <v>0</v>
      </c>
      <c r="T235" s="1320">
        <f t="shared" si="82"/>
        <v>0</v>
      </c>
      <c r="U235" s="1320">
        <f t="shared" si="82"/>
        <v>0</v>
      </c>
      <c r="V235" s="1320">
        <f t="shared" si="82"/>
        <v>0</v>
      </c>
      <c r="W235" s="1320">
        <f t="shared" si="82"/>
        <v>0</v>
      </c>
      <c r="X235" s="1320">
        <f>SUM(X232:X234)</f>
        <v>0</v>
      </c>
      <c r="Y235" s="1320">
        <f>SUM(Y232:Y234)</f>
        <v>0</v>
      </c>
      <c r="Z235" s="1320">
        <f>SUM(Z232:Z234)</f>
        <v>0</v>
      </c>
      <c r="AA235" s="1323">
        <f>SUM(AA232:AA234)</f>
        <v>0</v>
      </c>
      <c r="AB235" s="1299"/>
    </row>
    <row r="236" spans="2:28" x14ac:dyDescent="0.25">
      <c r="B236" s="541"/>
      <c r="C236" s="542"/>
      <c r="D236" s="542"/>
      <c r="E236" s="542"/>
      <c r="F236" s="542"/>
      <c r="G236" s="1320"/>
      <c r="H236" s="1320"/>
      <c r="I236" s="1320"/>
      <c r="J236" s="1320"/>
      <c r="K236" s="1320"/>
      <c r="L236" s="1320"/>
      <c r="M236" s="1320"/>
      <c r="N236" s="1320"/>
      <c r="O236" s="1320"/>
      <c r="P236" s="1320"/>
      <c r="Q236" s="1320"/>
      <c r="R236" s="1320"/>
      <c r="S236" s="1320"/>
      <c r="T236" s="1320"/>
      <c r="U236" s="1320"/>
      <c r="V236" s="1320"/>
      <c r="W236" s="1320"/>
      <c r="X236" s="1320"/>
      <c r="Y236" s="1320"/>
      <c r="Z236" s="1320"/>
      <c r="AA236" s="1323"/>
      <c r="AB236" s="1299"/>
    </row>
    <row r="237" spans="2:28" x14ac:dyDescent="0.25">
      <c r="B237" s="541"/>
      <c r="C237" s="604" t="s">
        <v>71</v>
      </c>
      <c r="D237" s="542"/>
      <c r="E237" s="542"/>
      <c r="F237" s="542"/>
      <c r="G237" s="1320"/>
      <c r="H237" s="1320"/>
      <c r="I237" s="1320"/>
      <c r="J237" s="1320"/>
      <c r="K237" s="1320"/>
      <c r="L237" s="1320"/>
      <c r="M237" s="1320"/>
      <c r="N237" s="1320"/>
      <c r="O237" s="1320"/>
      <c r="P237" s="1320"/>
      <c r="Q237" s="1320"/>
      <c r="R237" s="1320"/>
      <c r="S237" s="1320"/>
      <c r="T237" s="1320"/>
      <c r="U237" s="1320"/>
      <c r="V237" s="1320"/>
      <c r="W237" s="1320"/>
      <c r="X237" s="1320"/>
      <c r="Y237" s="1320"/>
      <c r="Z237" s="1320"/>
      <c r="AA237" s="1323"/>
      <c r="AB237" s="1299"/>
    </row>
    <row r="238" spans="2:28" x14ac:dyDescent="0.25">
      <c r="B238" s="541"/>
      <c r="C238" s="542" t="s">
        <v>234</v>
      </c>
      <c r="D238" s="542"/>
      <c r="E238" s="542"/>
      <c r="F238" s="542"/>
      <c r="G238" s="1320"/>
      <c r="H238" s="1320">
        <f>IF($G$220&gt;0, $G$220*'III. Inputs, Renewable Energy'!$S$48/10000,0)</f>
        <v>0</v>
      </c>
      <c r="I238" s="1336">
        <v>0</v>
      </c>
      <c r="J238" s="1336">
        <v>0</v>
      </c>
      <c r="K238" s="1336">
        <v>0</v>
      </c>
      <c r="L238" s="1336">
        <v>0</v>
      </c>
      <c r="M238" s="1336">
        <v>0</v>
      </c>
      <c r="N238" s="1336">
        <v>0</v>
      </c>
      <c r="O238" s="1336">
        <v>0</v>
      </c>
      <c r="P238" s="1336">
        <v>0</v>
      </c>
      <c r="Q238" s="1336">
        <v>0</v>
      </c>
      <c r="R238" s="1336">
        <v>0</v>
      </c>
      <c r="S238" s="1336">
        <v>0</v>
      </c>
      <c r="T238" s="1336">
        <v>0</v>
      </c>
      <c r="U238" s="1336">
        <v>0</v>
      </c>
      <c r="V238" s="1336">
        <v>0</v>
      </c>
      <c r="W238" s="1336">
        <v>0</v>
      </c>
      <c r="X238" s="1336">
        <v>0</v>
      </c>
      <c r="Y238" s="1336">
        <v>0</v>
      </c>
      <c r="Z238" s="1336">
        <v>0</v>
      </c>
      <c r="AA238" s="1337">
        <v>0</v>
      </c>
      <c r="AB238" s="1299"/>
    </row>
    <row r="239" spans="2:28" x14ac:dyDescent="0.25">
      <c r="B239" s="541"/>
      <c r="C239" s="542" t="str">
        <f>'III. Inputs, Renewable Energy'!$O$185</f>
        <v>Front-end Fee, Public Guarantee</v>
      </c>
      <c r="D239" s="542"/>
      <c r="E239" s="542"/>
      <c r="F239" s="542"/>
      <c r="G239" s="1320"/>
      <c r="H239" s="1320">
        <f>IF($G$223&gt;0, $G$220*$G$223*'III. Inputs, Renewable Energy'!$S$185/10000,0)</f>
        <v>0</v>
      </c>
      <c r="I239" s="1336">
        <v>0</v>
      </c>
      <c r="J239" s="1336">
        <v>0</v>
      </c>
      <c r="K239" s="1336">
        <v>0</v>
      </c>
      <c r="L239" s="1336">
        <v>0</v>
      </c>
      <c r="M239" s="1336">
        <v>0</v>
      </c>
      <c r="N239" s="1336">
        <v>0</v>
      </c>
      <c r="O239" s="1336">
        <v>0</v>
      </c>
      <c r="P239" s="1336">
        <v>0</v>
      </c>
      <c r="Q239" s="1336">
        <v>0</v>
      </c>
      <c r="R239" s="1336">
        <v>0</v>
      </c>
      <c r="S239" s="1336">
        <v>0</v>
      </c>
      <c r="T239" s="1336">
        <v>0</v>
      </c>
      <c r="U239" s="1336">
        <v>0</v>
      </c>
      <c r="V239" s="1336">
        <v>0</v>
      </c>
      <c r="W239" s="1336">
        <v>0</v>
      </c>
      <c r="X239" s="1336">
        <v>0</v>
      </c>
      <c r="Y239" s="1336">
        <v>0</v>
      </c>
      <c r="Z239" s="1336">
        <v>0</v>
      </c>
      <c r="AA239" s="1337">
        <v>0</v>
      </c>
      <c r="AB239" s="1299"/>
    </row>
    <row r="240" spans="2:28" x14ac:dyDescent="0.25">
      <c r="B240" s="541"/>
      <c r="C240" s="542" t="str">
        <f>'III. Inputs, Renewable Energy'!$O$186</f>
        <v>Annual Guarantee Fee</v>
      </c>
      <c r="D240" s="542"/>
      <c r="E240" s="542"/>
      <c r="F240" s="542"/>
      <c r="G240" s="1320"/>
      <c r="H240" s="1320">
        <f>IF(H$196&gt;$G$224,0,((H232+H235)/2)*$G$223*'III. Inputs, Renewable Energy'!$S$186/10000)</f>
        <v>0</v>
      </c>
      <c r="I240" s="1320">
        <f>IF(I$196&gt;$G$224,0,((I232+I235)/2)*$G$223*'III. Inputs, Renewable Energy'!$S$186/10000)</f>
        <v>0</v>
      </c>
      <c r="J240" s="1320">
        <f>IF(J$196&gt;$G$224,0,((J232+J235)/2)*$G$223*'III. Inputs, Renewable Energy'!$S$186/10000)</f>
        <v>0</v>
      </c>
      <c r="K240" s="1320">
        <f>IF(K$196&gt;$G$224,0,((K232+K235)/2)*$G$223*'III. Inputs, Renewable Energy'!$S$186/10000)</f>
        <v>0</v>
      </c>
      <c r="L240" s="1320">
        <f>IF(L$196&gt;$G$224,0,((L232+L235)/2)*$G$223*'III. Inputs, Renewable Energy'!$S$186/10000)</f>
        <v>0</v>
      </c>
      <c r="M240" s="1320">
        <f>IF(M$196&gt;$G$224,0,((M232+M235)/2)*$G$223*'III. Inputs, Renewable Energy'!$S$186/10000)</f>
        <v>0</v>
      </c>
      <c r="N240" s="1320">
        <f>IF(N$196&gt;$G$224,0,((N232+N235)/2)*$G$223*'III. Inputs, Renewable Energy'!$S$186/10000)</f>
        <v>0</v>
      </c>
      <c r="O240" s="1320">
        <f>IF(O$196&gt;$G$224,0,((O232+O235)/2)*$G$223*'III. Inputs, Renewable Energy'!$S$186/10000)</f>
        <v>0</v>
      </c>
      <c r="P240" s="1320">
        <f>IF(P$196&gt;$G$224,0,((P232+P235)/2)*$G$223*'III. Inputs, Renewable Energy'!$S$186/10000)</f>
        <v>0</v>
      </c>
      <c r="Q240" s="1320">
        <f>IF(Q$196&gt;$G$224,0,((Q232+Q235)/2)*$G$223*'III. Inputs, Renewable Energy'!$S$186/10000)</f>
        <v>0</v>
      </c>
      <c r="R240" s="1320">
        <f>IF(R$196&gt;$G$224,0,((R232+R235)/2)*$G$223*'III. Inputs, Renewable Energy'!$S$186/10000)</f>
        <v>0</v>
      </c>
      <c r="S240" s="1320">
        <f>IF(S$196&gt;$G$224,0,((S232+S235)/2)*$G$223*'III. Inputs, Renewable Energy'!$S$186/10000)</f>
        <v>0</v>
      </c>
      <c r="T240" s="1320">
        <f>IF(T$196&gt;$G$224,0,((T232+T235)/2)*$G$223*'III. Inputs, Renewable Energy'!$S$186/10000)</f>
        <v>0</v>
      </c>
      <c r="U240" s="1320">
        <f>IF(U$196&gt;$G$224,0,((U232+U235)/2)*$G$223*'III. Inputs, Renewable Energy'!$S$186/10000)</f>
        <v>0</v>
      </c>
      <c r="V240" s="1320">
        <f>IF(V$196&gt;$G$224,0,((V232+V235)/2)*$G$223*'III. Inputs, Renewable Energy'!$S$186/10000)</f>
        <v>0</v>
      </c>
      <c r="W240" s="1320">
        <f>IF(W$196&gt;$G$224,0,((W232+W235)/2)*$G$223*'III. Inputs, Renewable Energy'!$S$186/10000)</f>
        <v>0</v>
      </c>
      <c r="X240" s="1320">
        <f>IF(X$196&gt;$G$224,0,((X232+X235)/2)*$G$223*'III. Inputs, Renewable Energy'!$S$186/10000)</f>
        <v>0</v>
      </c>
      <c r="Y240" s="1320">
        <f>IF(Y$196&gt;$G$224,0,((Y232+Y235)/2)*$G$223*'III. Inputs, Renewable Energy'!$S$186/10000)</f>
        <v>0</v>
      </c>
      <c r="Z240" s="1320">
        <f>IF(Z$196&gt;$G$224,0,((Z232+Z235)/2)*$G$223*'III. Inputs, Renewable Energy'!$S$186/10000)</f>
        <v>0</v>
      </c>
      <c r="AA240" s="1323">
        <f>IF(AA$196&gt;$G$224,0,((AA232+AA235)/2)*$G$223*'III. Inputs, Renewable Energy'!$S$186/10000)</f>
        <v>0</v>
      </c>
      <c r="AB240" s="1299"/>
    </row>
    <row r="241" spans="2:27" x14ac:dyDescent="0.25">
      <c r="B241" s="541"/>
      <c r="C241" s="542"/>
      <c r="D241" s="542"/>
      <c r="E241" s="542"/>
      <c r="F241" s="542"/>
      <c r="G241" s="542"/>
      <c r="H241" s="542"/>
      <c r="I241" s="542"/>
      <c r="J241" s="542"/>
      <c r="K241" s="542"/>
      <c r="L241" s="542"/>
      <c r="M241" s="542"/>
      <c r="N241" s="542"/>
      <c r="O241" s="542"/>
      <c r="P241" s="542"/>
      <c r="Q241" s="542"/>
      <c r="R241" s="542"/>
      <c r="S241" s="542"/>
      <c r="T241" s="542"/>
      <c r="U241" s="542"/>
      <c r="V241" s="542"/>
      <c r="W241" s="542"/>
      <c r="X241" s="542"/>
      <c r="Y241" s="542"/>
      <c r="Z241" s="542"/>
      <c r="AA241" s="543"/>
    </row>
    <row r="242" spans="2:27" x14ac:dyDescent="0.25">
      <c r="B242" s="554" t="s">
        <v>181</v>
      </c>
      <c r="C242" s="542"/>
      <c r="D242" s="542"/>
      <c r="E242" s="542"/>
      <c r="F242" s="542"/>
      <c r="G242" s="542"/>
      <c r="H242" s="542"/>
      <c r="I242" s="542"/>
      <c r="J242" s="542"/>
      <c r="K242" s="542"/>
      <c r="L242" s="542"/>
      <c r="M242" s="542"/>
      <c r="N242" s="542"/>
      <c r="O242" s="542"/>
      <c r="P242" s="542"/>
      <c r="Q242" s="542"/>
      <c r="R242" s="542"/>
      <c r="S242" s="542"/>
      <c r="T242" s="542"/>
      <c r="U242" s="542"/>
      <c r="V242" s="542"/>
      <c r="W242" s="542"/>
      <c r="X242" s="542"/>
      <c r="Y242" s="542"/>
      <c r="Z242" s="542"/>
      <c r="AA242" s="543"/>
    </row>
    <row r="243" spans="2:27" x14ac:dyDescent="0.25">
      <c r="B243" s="541"/>
      <c r="C243" s="600" t="s">
        <v>68</v>
      </c>
      <c r="D243" s="542"/>
      <c r="E243" s="542"/>
      <c r="F243" s="542"/>
      <c r="G243" s="1320">
        <f>IF('III. Inputs, Renewable Energy'!$S$32&gt;0, 'III. Inputs, Renewable Energy'!$U$15*'III. Inputs, Renewable Energy'!$U$14*'III. Inputs, Renewable Energy'!$S$28*SUM('III. Inputs, Renewable Energy'!$S$32), 0)</f>
        <v>612975182.48175168</v>
      </c>
      <c r="H243" s="542"/>
      <c r="I243" s="542"/>
      <c r="J243" s="542"/>
      <c r="K243" s="542"/>
      <c r="L243" s="542"/>
      <c r="M243" s="542"/>
      <c r="N243" s="542"/>
      <c r="O243" s="542"/>
      <c r="P243" s="542"/>
      <c r="Q243" s="542"/>
      <c r="R243" s="542"/>
      <c r="S243" s="542"/>
      <c r="T243" s="542"/>
      <c r="U243" s="542"/>
      <c r="V243" s="542"/>
      <c r="W243" s="542"/>
      <c r="X243" s="542"/>
      <c r="Y243" s="542"/>
      <c r="Z243" s="542"/>
      <c r="AA243" s="543"/>
    </row>
    <row r="244" spans="2:27" x14ac:dyDescent="0.25">
      <c r="B244" s="541"/>
      <c r="C244" s="600" t="s">
        <v>69</v>
      </c>
      <c r="D244" s="542"/>
      <c r="E244" s="542"/>
      <c r="F244" s="542"/>
      <c r="G244" s="556">
        <f>SUM('III. Inputs, Renewable Energy'!S44)</f>
        <v>10</v>
      </c>
      <c r="H244" s="542"/>
      <c r="I244" s="542"/>
      <c r="J244" s="542"/>
      <c r="K244" s="542"/>
      <c r="L244" s="542"/>
      <c r="M244" s="542"/>
      <c r="N244" s="542"/>
      <c r="O244" s="542"/>
      <c r="P244" s="542"/>
      <c r="Q244" s="542"/>
      <c r="R244" s="542"/>
      <c r="S244" s="542"/>
      <c r="T244" s="542"/>
      <c r="U244" s="542"/>
      <c r="V244" s="542"/>
      <c r="W244" s="542"/>
      <c r="X244" s="542"/>
      <c r="Y244" s="542"/>
      <c r="Z244" s="542"/>
      <c r="AA244" s="543"/>
    </row>
    <row r="245" spans="2:27" x14ac:dyDescent="0.25">
      <c r="B245" s="541"/>
      <c r="C245" s="600" t="s">
        <v>70</v>
      </c>
      <c r="D245" s="542"/>
      <c r="E245" s="542"/>
      <c r="F245" s="542"/>
      <c r="G245" s="780">
        <f>SUM('III. Inputs, Renewable Energy'!S39)</f>
        <v>6.5000000000000002E-2</v>
      </c>
      <c r="H245" s="542"/>
      <c r="I245" s="542"/>
      <c r="J245" s="542"/>
      <c r="K245" s="542"/>
      <c r="L245" s="542"/>
      <c r="M245" s="542"/>
      <c r="N245" s="542"/>
      <c r="O245" s="542"/>
      <c r="P245" s="542"/>
      <c r="Q245" s="542"/>
      <c r="R245" s="542"/>
      <c r="S245" s="542"/>
      <c r="T245" s="542"/>
      <c r="U245" s="542"/>
      <c r="V245" s="542"/>
      <c r="W245" s="542"/>
      <c r="X245" s="542"/>
      <c r="Y245" s="542"/>
      <c r="Z245" s="542"/>
      <c r="AA245" s="543"/>
    </row>
    <row r="246" spans="2:27" x14ac:dyDescent="0.25">
      <c r="B246" s="541"/>
      <c r="C246" s="542"/>
      <c r="D246" s="542"/>
      <c r="E246" s="542"/>
      <c r="F246" s="542"/>
      <c r="G246" s="542"/>
      <c r="H246" s="542"/>
      <c r="I246" s="542"/>
      <c r="J246" s="542"/>
      <c r="K246" s="542"/>
      <c r="L246" s="542"/>
      <c r="M246" s="542"/>
      <c r="N246" s="542"/>
      <c r="O246" s="542"/>
      <c r="P246" s="542"/>
      <c r="Q246" s="542"/>
      <c r="R246" s="542"/>
      <c r="S246" s="542"/>
      <c r="T246" s="542"/>
      <c r="U246" s="542"/>
      <c r="V246" s="542"/>
      <c r="W246" s="542"/>
      <c r="X246" s="542"/>
      <c r="Y246" s="542"/>
      <c r="Z246" s="542"/>
      <c r="AA246" s="543"/>
    </row>
    <row r="247" spans="2:27" x14ac:dyDescent="0.25">
      <c r="B247" s="541"/>
      <c r="C247" s="603" t="s">
        <v>67</v>
      </c>
      <c r="D247" s="542"/>
      <c r="E247" s="542"/>
      <c r="F247" s="542"/>
      <c r="G247" s="542"/>
      <c r="H247" s="542"/>
      <c r="I247" s="542"/>
      <c r="J247" s="542"/>
      <c r="K247" s="542"/>
      <c r="L247" s="542"/>
      <c r="M247" s="542"/>
      <c r="N247" s="542"/>
      <c r="O247" s="542"/>
      <c r="P247" s="542"/>
      <c r="Q247" s="542"/>
      <c r="R247" s="542"/>
      <c r="S247" s="542"/>
      <c r="T247" s="542"/>
      <c r="U247" s="542"/>
      <c r="V247" s="542"/>
      <c r="W247" s="542"/>
      <c r="X247" s="542"/>
      <c r="Y247" s="542"/>
      <c r="Z247" s="542"/>
      <c r="AA247" s="543"/>
    </row>
    <row r="248" spans="2:27" x14ac:dyDescent="0.25">
      <c r="B248" s="541"/>
      <c r="C248" s="542" t="s">
        <v>73</v>
      </c>
      <c r="D248" s="542"/>
      <c r="E248" s="542"/>
      <c r="F248" s="542"/>
      <c r="G248" s="1320"/>
      <c r="H248" s="1320">
        <f t="shared" ref="H248:AA248" si="83">IF(H$196&gt;$G$244,0,IPMT($G$245,H$196,$G$244,-$G$243))</f>
        <v>39843386.861313857</v>
      </c>
      <c r="I248" s="1320">
        <f t="shared" si="83"/>
        <v>36890805.027188137</v>
      </c>
      <c r="J248" s="1320">
        <f t="shared" si="83"/>
        <v>33746305.373844229</v>
      </c>
      <c r="K248" s="1320">
        <f t="shared" si="83"/>
        <v>30397413.243032977</v>
      </c>
      <c r="L248" s="1320">
        <f t="shared" si="83"/>
        <v>26830843.123718992</v>
      </c>
      <c r="M248" s="1320">
        <f t="shared" si="83"/>
        <v>23032445.946649589</v>
      </c>
      <c r="N248" s="1320">
        <f t="shared" si="83"/>
        <v>18987152.953070685</v>
      </c>
      <c r="O248" s="1320">
        <f t="shared" si="83"/>
        <v>14678915.91490915</v>
      </c>
      <c r="P248" s="1320">
        <f t="shared" si="83"/>
        <v>10090643.469267109</v>
      </c>
      <c r="Q248" s="1320">
        <f t="shared" si="83"/>
        <v>5204133.3146583391</v>
      </c>
      <c r="R248" s="1320">
        <f t="shared" si="83"/>
        <v>0</v>
      </c>
      <c r="S248" s="1320">
        <f t="shared" si="83"/>
        <v>0</v>
      </c>
      <c r="T248" s="1320">
        <f t="shared" si="83"/>
        <v>0</v>
      </c>
      <c r="U248" s="1320">
        <f t="shared" si="83"/>
        <v>0</v>
      </c>
      <c r="V248" s="1320">
        <f t="shared" si="83"/>
        <v>0</v>
      </c>
      <c r="W248" s="1320">
        <f t="shared" si="83"/>
        <v>0</v>
      </c>
      <c r="X248" s="1320">
        <f t="shared" si="83"/>
        <v>0</v>
      </c>
      <c r="Y248" s="1320">
        <f t="shared" si="83"/>
        <v>0</v>
      </c>
      <c r="Z248" s="1320">
        <f t="shared" si="83"/>
        <v>0</v>
      </c>
      <c r="AA248" s="1323">
        <f t="shared" si="83"/>
        <v>0</v>
      </c>
    </row>
    <row r="249" spans="2:27" x14ac:dyDescent="0.25">
      <c r="B249" s="541"/>
      <c r="C249" s="552" t="s">
        <v>72</v>
      </c>
      <c r="D249" s="552"/>
      <c r="E249" s="552"/>
      <c r="F249" s="552"/>
      <c r="G249" s="1324"/>
      <c r="H249" s="1324">
        <f t="shared" ref="H249:AA249" si="84">IF(H$196&gt;$G$244,0,PPMT($G$245,H$196,$G$244,-$G$243))</f>
        <v>45424335.909626611</v>
      </c>
      <c r="I249" s="1324">
        <f t="shared" si="84"/>
        <v>48376917.743752338</v>
      </c>
      <c r="J249" s="1324">
        <f t="shared" si="84"/>
        <v>51521417.397096246</v>
      </c>
      <c r="K249" s="1324">
        <f t="shared" si="84"/>
        <v>54870309.527907506</v>
      </c>
      <c r="L249" s="1324">
        <f t="shared" si="84"/>
        <v>58436879.647221483</v>
      </c>
      <c r="M249" s="1324">
        <f t="shared" si="84"/>
        <v>62235276.824290879</v>
      </c>
      <c r="N249" s="1324">
        <f t="shared" si="84"/>
        <v>66280569.817869797</v>
      </c>
      <c r="O249" s="1324">
        <f t="shared" si="84"/>
        <v>70588806.856031328</v>
      </c>
      <c r="P249" s="1324">
        <f t="shared" si="84"/>
        <v>75177079.301673368</v>
      </c>
      <c r="Q249" s="1324">
        <f t="shared" si="84"/>
        <v>80063589.456282139</v>
      </c>
      <c r="R249" s="1324">
        <f t="shared" si="84"/>
        <v>0</v>
      </c>
      <c r="S249" s="1324">
        <f t="shared" si="84"/>
        <v>0</v>
      </c>
      <c r="T249" s="1324">
        <f t="shared" si="84"/>
        <v>0</v>
      </c>
      <c r="U249" s="1324">
        <f t="shared" si="84"/>
        <v>0</v>
      </c>
      <c r="V249" s="1324">
        <f t="shared" si="84"/>
        <v>0</v>
      </c>
      <c r="W249" s="1324">
        <f t="shared" si="84"/>
        <v>0</v>
      </c>
      <c r="X249" s="1324">
        <f t="shared" si="84"/>
        <v>0</v>
      </c>
      <c r="Y249" s="1324">
        <f t="shared" si="84"/>
        <v>0</v>
      </c>
      <c r="Z249" s="1324">
        <f t="shared" si="84"/>
        <v>0</v>
      </c>
      <c r="AA249" s="1325">
        <f t="shared" si="84"/>
        <v>0</v>
      </c>
    </row>
    <row r="250" spans="2:27" x14ac:dyDescent="0.25">
      <c r="B250" s="541"/>
      <c r="C250" s="542" t="s">
        <v>74</v>
      </c>
      <c r="D250" s="542"/>
      <c r="E250" s="542"/>
      <c r="F250" s="542"/>
      <c r="G250" s="1320"/>
      <c r="H250" s="1320">
        <f>SUM(H248:H249)</f>
        <v>85267722.770940468</v>
      </c>
      <c r="I250" s="1320">
        <f t="shared" ref="I250:W250" si="85">SUM(I248:I249)</f>
        <v>85267722.770940483</v>
      </c>
      <c r="J250" s="1320">
        <f t="shared" si="85"/>
        <v>85267722.770940483</v>
      </c>
      <c r="K250" s="1320">
        <f t="shared" si="85"/>
        <v>85267722.770940483</v>
      </c>
      <c r="L250" s="1320">
        <f t="shared" si="85"/>
        <v>85267722.770940483</v>
      </c>
      <c r="M250" s="1320">
        <f t="shared" si="85"/>
        <v>85267722.770940468</v>
      </c>
      <c r="N250" s="1320">
        <f t="shared" si="85"/>
        <v>85267722.770940483</v>
      </c>
      <c r="O250" s="1320">
        <f t="shared" si="85"/>
        <v>85267722.770940483</v>
      </c>
      <c r="P250" s="1320">
        <f t="shared" si="85"/>
        <v>85267722.770940483</v>
      </c>
      <c r="Q250" s="1320">
        <f t="shared" si="85"/>
        <v>85267722.770940483</v>
      </c>
      <c r="R250" s="1320">
        <f t="shared" si="85"/>
        <v>0</v>
      </c>
      <c r="S250" s="1320">
        <f t="shared" si="85"/>
        <v>0</v>
      </c>
      <c r="T250" s="1320">
        <f t="shared" si="85"/>
        <v>0</v>
      </c>
      <c r="U250" s="1320">
        <f t="shared" si="85"/>
        <v>0</v>
      </c>
      <c r="V250" s="1320">
        <f t="shared" si="85"/>
        <v>0</v>
      </c>
      <c r="W250" s="1320">
        <f t="shared" si="85"/>
        <v>0</v>
      </c>
      <c r="X250" s="1320">
        <f>SUM(X248:X249)</f>
        <v>0</v>
      </c>
      <c r="Y250" s="1320">
        <f>SUM(Y248:Y249)</f>
        <v>0</v>
      </c>
      <c r="Z250" s="1320">
        <f>SUM(Z248:Z249)</f>
        <v>0</v>
      </c>
      <c r="AA250" s="1323">
        <f>SUM(AA248:AA249)</f>
        <v>0</v>
      </c>
    </row>
    <row r="251" spans="2:27" x14ac:dyDescent="0.25">
      <c r="B251" s="541"/>
      <c r="C251" s="542"/>
      <c r="D251" s="542"/>
      <c r="E251" s="542"/>
      <c r="F251" s="542"/>
      <c r="G251" s="1320"/>
      <c r="H251" s="1320"/>
      <c r="I251" s="1320"/>
      <c r="J251" s="1320"/>
      <c r="K251" s="1320"/>
      <c r="L251" s="1320"/>
      <c r="M251" s="1320"/>
      <c r="N251" s="1320"/>
      <c r="O251" s="1320"/>
      <c r="P251" s="1320"/>
      <c r="Q251" s="1320"/>
      <c r="R251" s="1320"/>
      <c r="S251" s="1320"/>
      <c r="T251" s="1320"/>
      <c r="U251" s="1320"/>
      <c r="V251" s="1320"/>
      <c r="W251" s="1320"/>
      <c r="X251" s="1320"/>
      <c r="Y251" s="1320"/>
      <c r="Z251" s="1320"/>
      <c r="AA251" s="1323"/>
    </row>
    <row r="252" spans="2:27" x14ac:dyDescent="0.25">
      <c r="B252" s="541"/>
      <c r="C252" s="604" t="s">
        <v>65</v>
      </c>
      <c r="D252" s="542"/>
      <c r="E252" s="542"/>
      <c r="F252" s="542"/>
      <c r="G252" s="1320"/>
      <c r="H252" s="1320"/>
      <c r="I252" s="1320"/>
      <c r="J252" s="1320"/>
      <c r="K252" s="1320"/>
      <c r="L252" s="1320"/>
      <c r="M252" s="1320"/>
      <c r="N252" s="1320"/>
      <c r="O252" s="1320"/>
      <c r="P252" s="1320"/>
      <c r="Q252" s="1320"/>
      <c r="R252" s="1320"/>
      <c r="S252" s="1320"/>
      <c r="T252" s="1320"/>
      <c r="U252" s="1320"/>
      <c r="V252" s="1320"/>
      <c r="W252" s="1320"/>
      <c r="X252" s="1320"/>
      <c r="Y252" s="1320"/>
      <c r="Z252" s="1320"/>
      <c r="AA252" s="1323"/>
    </row>
    <row r="253" spans="2:27" x14ac:dyDescent="0.25">
      <c r="B253" s="541"/>
      <c r="C253" s="542" t="s">
        <v>75</v>
      </c>
      <c r="D253" s="542"/>
      <c r="E253" s="542"/>
      <c r="F253" s="542"/>
      <c r="G253" s="1320">
        <v>0</v>
      </c>
      <c r="H253" s="1320">
        <f>G256</f>
        <v>612975182.48175168</v>
      </c>
      <c r="I253" s="1320">
        <f t="shared" ref="I253:W253" si="86">H256</f>
        <v>567550846.57212508</v>
      </c>
      <c r="J253" s="1320">
        <f t="shared" si="86"/>
        <v>519173928.82837272</v>
      </c>
      <c r="K253" s="1320">
        <f t="shared" si="86"/>
        <v>467652511.43127644</v>
      </c>
      <c r="L253" s="1320">
        <f t="shared" si="86"/>
        <v>412782201.90336895</v>
      </c>
      <c r="M253" s="1320">
        <f t="shared" si="86"/>
        <v>354345322.25614744</v>
      </c>
      <c r="N253" s="1320">
        <f t="shared" si="86"/>
        <v>292110045.43185657</v>
      </c>
      <c r="O253" s="1320">
        <f t="shared" si="86"/>
        <v>225829475.61398679</v>
      </c>
      <c r="P253" s="1320">
        <f t="shared" si="86"/>
        <v>155240668.75795546</v>
      </c>
      <c r="Q253" s="1320">
        <f t="shared" si="86"/>
        <v>80063589.456282094</v>
      </c>
      <c r="R253" s="1320">
        <f t="shared" si="86"/>
        <v>0</v>
      </c>
      <c r="S253" s="1320">
        <f t="shared" si="86"/>
        <v>0</v>
      </c>
      <c r="T253" s="1320">
        <f t="shared" si="86"/>
        <v>0</v>
      </c>
      <c r="U253" s="1320">
        <f t="shared" si="86"/>
        <v>0</v>
      </c>
      <c r="V253" s="1320">
        <f t="shared" si="86"/>
        <v>0</v>
      </c>
      <c r="W253" s="1320">
        <f t="shared" si="86"/>
        <v>0</v>
      </c>
      <c r="X253" s="1320">
        <f>W256</f>
        <v>0</v>
      </c>
      <c r="Y253" s="1320">
        <f>X256</f>
        <v>0</v>
      </c>
      <c r="Z253" s="1320">
        <f>Y256</f>
        <v>0</v>
      </c>
      <c r="AA253" s="1323">
        <f>Z256</f>
        <v>0</v>
      </c>
    </row>
    <row r="254" spans="2:27" x14ac:dyDescent="0.25">
      <c r="B254" s="541"/>
      <c r="C254" s="542" t="s">
        <v>76</v>
      </c>
      <c r="D254" s="542"/>
      <c r="E254" s="542"/>
      <c r="F254" s="542"/>
      <c r="G254" s="1320">
        <f>G243</f>
        <v>612975182.48175168</v>
      </c>
      <c r="H254" s="1320">
        <v>0</v>
      </c>
      <c r="I254" s="1320">
        <v>0</v>
      </c>
      <c r="J254" s="1320">
        <v>0</v>
      </c>
      <c r="K254" s="1320">
        <v>0</v>
      </c>
      <c r="L254" s="1320">
        <v>0</v>
      </c>
      <c r="M254" s="1320">
        <v>0</v>
      </c>
      <c r="N254" s="1320">
        <v>0</v>
      </c>
      <c r="O254" s="1320">
        <v>0</v>
      </c>
      <c r="P254" s="1320">
        <v>0</v>
      </c>
      <c r="Q254" s="1320">
        <v>0</v>
      </c>
      <c r="R254" s="1320">
        <v>0</v>
      </c>
      <c r="S254" s="1320">
        <v>0</v>
      </c>
      <c r="T254" s="1320">
        <v>0</v>
      </c>
      <c r="U254" s="1320">
        <v>0</v>
      </c>
      <c r="V254" s="1320">
        <v>0</v>
      </c>
      <c r="W254" s="1320">
        <v>0</v>
      </c>
      <c r="X254" s="1320">
        <v>0</v>
      </c>
      <c r="Y254" s="1320">
        <v>0</v>
      </c>
      <c r="Z254" s="1320">
        <v>0</v>
      </c>
      <c r="AA254" s="1323">
        <v>0</v>
      </c>
    </row>
    <row r="255" spans="2:27" x14ac:dyDescent="0.25">
      <c r="B255" s="541"/>
      <c r="C255" s="552" t="s">
        <v>77</v>
      </c>
      <c r="D255" s="552"/>
      <c r="E255" s="552"/>
      <c r="F255" s="552"/>
      <c r="G255" s="1324">
        <v>0</v>
      </c>
      <c r="H255" s="1324">
        <f>-H249</f>
        <v>-45424335.909626611</v>
      </c>
      <c r="I255" s="1324">
        <f t="shared" ref="I255:W255" si="87">-I249</f>
        <v>-48376917.743752338</v>
      </c>
      <c r="J255" s="1324">
        <f t="shared" si="87"/>
        <v>-51521417.397096246</v>
      </c>
      <c r="K255" s="1324">
        <f t="shared" si="87"/>
        <v>-54870309.527907506</v>
      </c>
      <c r="L255" s="1324">
        <f t="shared" si="87"/>
        <v>-58436879.647221483</v>
      </c>
      <c r="M255" s="1324">
        <f t="shared" si="87"/>
        <v>-62235276.824290879</v>
      </c>
      <c r="N255" s="1324">
        <f t="shared" si="87"/>
        <v>-66280569.817869797</v>
      </c>
      <c r="O255" s="1324">
        <f t="shared" si="87"/>
        <v>-70588806.856031328</v>
      </c>
      <c r="P255" s="1324">
        <f t="shared" si="87"/>
        <v>-75177079.301673368</v>
      </c>
      <c r="Q255" s="1324">
        <f t="shared" si="87"/>
        <v>-80063589.456282139</v>
      </c>
      <c r="R255" s="1324">
        <f t="shared" si="87"/>
        <v>0</v>
      </c>
      <c r="S255" s="1324">
        <f t="shared" si="87"/>
        <v>0</v>
      </c>
      <c r="T255" s="1324">
        <f t="shared" si="87"/>
        <v>0</v>
      </c>
      <c r="U255" s="1324">
        <f t="shared" si="87"/>
        <v>0</v>
      </c>
      <c r="V255" s="1324">
        <f t="shared" si="87"/>
        <v>0</v>
      </c>
      <c r="W255" s="1324">
        <f t="shared" si="87"/>
        <v>0</v>
      </c>
      <c r="X255" s="1324">
        <f>-X249</f>
        <v>0</v>
      </c>
      <c r="Y255" s="1324">
        <f>-Y249</f>
        <v>0</v>
      </c>
      <c r="Z255" s="1324">
        <f>-Z249</f>
        <v>0</v>
      </c>
      <c r="AA255" s="1325">
        <f>-AA249</f>
        <v>0</v>
      </c>
    </row>
    <row r="256" spans="2:27" x14ac:dyDescent="0.25">
      <c r="B256" s="541"/>
      <c r="C256" s="542" t="s">
        <v>66</v>
      </c>
      <c r="D256" s="542"/>
      <c r="E256" s="542"/>
      <c r="F256" s="542"/>
      <c r="G256" s="1320">
        <f>SUM(G253:G255)</f>
        <v>612975182.48175168</v>
      </c>
      <c r="H256" s="1320">
        <f>SUM(H253:H255)</f>
        <v>567550846.57212508</v>
      </c>
      <c r="I256" s="1320">
        <f t="shared" ref="I256:W256" si="88">SUM(I253:I255)</f>
        <v>519173928.82837272</v>
      </c>
      <c r="J256" s="1320">
        <f t="shared" si="88"/>
        <v>467652511.43127644</v>
      </c>
      <c r="K256" s="1320">
        <f t="shared" si="88"/>
        <v>412782201.90336895</v>
      </c>
      <c r="L256" s="1320">
        <f t="shared" si="88"/>
        <v>354345322.25614744</v>
      </c>
      <c r="M256" s="1320">
        <f t="shared" si="88"/>
        <v>292110045.43185657</v>
      </c>
      <c r="N256" s="1320">
        <f t="shared" si="88"/>
        <v>225829475.61398679</v>
      </c>
      <c r="O256" s="1320">
        <f t="shared" si="88"/>
        <v>155240668.75795546</v>
      </c>
      <c r="P256" s="1320">
        <f t="shared" si="88"/>
        <v>80063589.456282094</v>
      </c>
      <c r="Q256" s="1320">
        <f t="shared" si="88"/>
        <v>0</v>
      </c>
      <c r="R256" s="1320">
        <f t="shared" si="88"/>
        <v>0</v>
      </c>
      <c r="S256" s="1320">
        <f t="shared" si="88"/>
        <v>0</v>
      </c>
      <c r="T256" s="1320">
        <f t="shared" si="88"/>
        <v>0</v>
      </c>
      <c r="U256" s="1320">
        <f t="shared" si="88"/>
        <v>0</v>
      </c>
      <c r="V256" s="1320">
        <f t="shared" si="88"/>
        <v>0</v>
      </c>
      <c r="W256" s="1320">
        <f t="shared" si="88"/>
        <v>0</v>
      </c>
      <c r="X256" s="1320">
        <f>SUM(X253:X255)</f>
        <v>0</v>
      </c>
      <c r="Y256" s="1320">
        <f>SUM(Y253:Y255)</f>
        <v>0</v>
      </c>
      <c r="Z256" s="1320">
        <f>SUM(Z253:Z255)</f>
        <v>0</v>
      </c>
      <c r="AA256" s="1323">
        <f>SUM(AA253:AA255)</f>
        <v>0</v>
      </c>
    </row>
    <row r="257" spans="2:27" x14ac:dyDescent="0.25">
      <c r="B257" s="541"/>
      <c r="C257" s="542"/>
      <c r="D257" s="542"/>
      <c r="E257" s="542"/>
      <c r="F257" s="542"/>
      <c r="G257" s="1320"/>
      <c r="H257" s="1320"/>
      <c r="I257" s="1320"/>
      <c r="J257" s="1320"/>
      <c r="K257" s="1320"/>
      <c r="L257" s="1320"/>
      <c r="M257" s="1320"/>
      <c r="N257" s="1320"/>
      <c r="O257" s="1320"/>
      <c r="P257" s="1320"/>
      <c r="Q257" s="1320"/>
      <c r="R257" s="1320"/>
      <c r="S257" s="1320"/>
      <c r="T257" s="1320"/>
      <c r="U257" s="1320"/>
      <c r="V257" s="1320"/>
      <c r="W257" s="1320"/>
      <c r="X257" s="1320"/>
      <c r="Y257" s="1320"/>
      <c r="Z257" s="1320"/>
      <c r="AA257" s="1323"/>
    </row>
    <row r="258" spans="2:27" x14ac:dyDescent="0.25">
      <c r="B258" s="541"/>
      <c r="C258" s="604" t="s">
        <v>71</v>
      </c>
      <c r="D258" s="542"/>
      <c r="E258" s="542"/>
      <c r="F258" s="542"/>
      <c r="G258" s="1320"/>
      <c r="H258" s="1320"/>
      <c r="I258" s="1320"/>
      <c r="J258" s="1320"/>
      <c r="K258" s="1320"/>
      <c r="L258" s="1320"/>
      <c r="M258" s="1320"/>
      <c r="N258" s="1320"/>
      <c r="O258" s="1320"/>
      <c r="P258" s="1320"/>
      <c r="Q258" s="1320"/>
      <c r="R258" s="1320"/>
      <c r="S258" s="1320"/>
      <c r="T258" s="1320"/>
      <c r="U258" s="1320"/>
      <c r="V258" s="1320"/>
      <c r="W258" s="1320"/>
      <c r="X258" s="1320"/>
      <c r="Y258" s="1320"/>
      <c r="Z258" s="1320"/>
      <c r="AA258" s="1323"/>
    </row>
    <row r="259" spans="2:27" x14ac:dyDescent="0.25">
      <c r="B259" s="541"/>
      <c r="C259" s="542" t="s">
        <v>233</v>
      </c>
      <c r="D259" s="542"/>
      <c r="E259" s="542"/>
      <c r="F259" s="542"/>
      <c r="G259" s="1320"/>
      <c r="H259" s="1320">
        <f>IF($G$243&gt;0, $G$243*'III. Inputs, Renewable Energy'!$S$49/10000,0)</f>
        <v>0</v>
      </c>
      <c r="I259" s="1320">
        <v>0</v>
      </c>
      <c r="J259" s="1320">
        <v>0</v>
      </c>
      <c r="K259" s="1320">
        <v>0</v>
      </c>
      <c r="L259" s="1320">
        <v>0</v>
      </c>
      <c r="M259" s="1320">
        <v>0</v>
      </c>
      <c r="N259" s="1320">
        <v>0</v>
      </c>
      <c r="O259" s="1320">
        <v>0</v>
      </c>
      <c r="P259" s="1320">
        <v>0</v>
      </c>
      <c r="Q259" s="1320">
        <v>0</v>
      </c>
      <c r="R259" s="1320">
        <v>0</v>
      </c>
      <c r="S259" s="1320">
        <v>0</v>
      </c>
      <c r="T259" s="1320">
        <v>0</v>
      </c>
      <c r="U259" s="1320">
        <v>0</v>
      </c>
      <c r="V259" s="1320">
        <v>0</v>
      </c>
      <c r="W259" s="1320">
        <v>0</v>
      </c>
      <c r="X259" s="1320">
        <v>0</v>
      </c>
      <c r="Y259" s="1320">
        <v>0</v>
      </c>
      <c r="Z259" s="1320">
        <v>0</v>
      </c>
      <c r="AA259" s="1323">
        <v>0</v>
      </c>
    </row>
    <row r="260" spans="2:27" x14ac:dyDescent="0.25">
      <c r="B260" s="541"/>
      <c r="C260" s="542"/>
      <c r="D260" s="542"/>
      <c r="E260" s="542"/>
      <c r="F260" s="542"/>
      <c r="G260" s="542"/>
      <c r="H260" s="542"/>
      <c r="I260" s="542"/>
      <c r="J260" s="542"/>
      <c r="K260" s="542"/>
      <c r="L260" s="542"/>
      <c r="M260" s="542"/>
      <c r="N260" s="542"/>
      <c r="O260" s="542"/>
      <c r="P260" s="542"/>
      <c r="Q260" s="542"/>
      <c r="R260" s="542"/>
      <c r="S260" s="542"/>
      <c r="T260" s="542"/>
      <c r="U260" s="542"/>
      <c r="V260" s="542"/>
      <c r="W260" s="542"/>
      <c r="X260" s="542"/>
      <c r="Y260" s="542"/>
      <c r="Z260" s="542"/>
      <c r="AA260" s="543"/>
    </row>
    <row r="261" spans="2:27" x14ac:dyDescent="0.25">
      <c r="B261" s="541"/>
      <c r="C261" s="542"/>
      <c r="D261" s="542"/>
      <c r="E261" s="542"/>
      <c r="F261" s="542"/>
      <c r="G261" s="542"/>
      <c r="H261" s="542"/>
      <c r="I261" s="542"/>
      <c r="J261" s="542"/>
      <c r="K261" s="542"/>
      <c r="L261" s="542"/>
      <c r="M261" s="542"/>
      <c r="N261" s="542"/>
      <c r="O261" s="542"/>
      <c r="P261" s="542"/>
      <c r="Q261" s="542"/>
      <c r="R261" s="542"/>
      <c r="S261" s="542"/>
      <c r="T261" s="542"/>
      <c r="U261" s="542"/>
      <c r="V261" s="542"/>
      <c r="W261" s="542"/>
      <c r="X261" s="542"/>
      <c r="Y261" s="542"/>
      <c r="Z261" s="542"/>
      <c r="AA261" s="543"/>
    </row>
    <row r="262" spans="2:27" x14ac:dyDescent="0.25">
      <c r="B262" s="554" t="s">
        <v>86</v>
      </c>
      <c r="C262" s="542"/>
      <c r="D262" s="542"/>
      <c r="E262" s="542"/>
      <c r="F262" s="542"/>
      <c r="G262" s="542"/>
      <c r="H262" s="542"/>
      <c r="I262" s="542"/>
      <c r="J262" s="542"/>
      <c r="K262" s="542"/>
      <c r="L262" s="542"/>
      <c r="M262" s="542"/>
      <c r="N262" s="542"/>
      <c r="O262" s="542"/>
      <c r="P262" s="542"/>
      <c r="Q262" s="542"/>
      <c r="R262" s="542"/>
      <c r="S262" s="542"/>
      <c r="T262" s="542"/>
      <c r="U262" s="542"/>
      <c r="V262" s="542"/>
      <c r="W262" s="542"/>
      <c r="X262" s="542"/>
      <c r="Y262" s="542"/>
      <c r="Z262" s="542"/>
      <c r="AA262" s="543"/>
    </row>
    <row r="263" spans="2:27" x14ac:dyDescent="0.25">
      <c r="B263" s="541"/>
      <c r="C263" s="600" t="s">
        <v>84</v>
      </c>
      <c r="D263" s="542"/>
      <c r="E263" s="542"/>
      <c r="F263" s="1320">
        <f>IF('III. Inputs, Renewable Energy'!$S$188&gt;0, 'III. Inputs, Renewable Energy'!$U$15*'III. Inputs, Renewable Energy'!$U$14*'III. Inputs, Renewable Energy'!$S$27*'III. Inputs, Renewable Energy'!$S$188,0)</f>
        <v>0</v>
      </c>
      <c r="G263" s="542"/>
      <c r="H263" s="542"/>
      <c r="I263" s="542"/>
      <c r="J263" s="542"/>
      <c r="K263" s="542"/>
      <c r="L263" s="542"/>
      <c r="M263" s="542"/>
      <c r="N263" s="542"/>
      <c r="O263" s="542"/>
      <c r="P263" s="542"/>
      <c r="Q263" s="542"/>
      <c r="R263" s="542"/>
      <c r="S263" s="542"/>
      <c r="T263" s="542"/>
      <c r="U263" s="542"/>
      <c r="V263" s="542"/>
      <c r="W263" s="542"/>
      <c r="X263" s="542"/>
      <c r="Y263" s="542"/>
      <c r="Z263" s="542"/>
      <c r="AA263" s="543"/>
    </row>
    <row r="264" spans="2:27" x14ac:dyDescent="0.25">
      <c r="B264" s="541"/>
      <c r="C264" s="600" t="str">
        <f>'III. Inputs, Renewable Energy'!N189</f>
        <v xml:space="preserve">Term of Political Risk Insurance </v>
      </c>
      <c r="D264" s="542"/>
      <c r="E264" s="542"/>
      <c r="F264" s="556">
        <f>'III. Inputs, Renewable Energy'!S189</f>
        <v>0</v>
      </c>
      <c r="G264" s="542"/>
      <c r="H264" s="542"/>
      <c r="I264" s="542"/>
      <c r="J264" s="542"/>
      <c r="K264" s="542"/>
      <c r="L264" s="542"/>
      <c r="M264" s="542"/>
      <c r="N264" s="542"/>
      <c r="O264" s="542"/>
      <c r="P264" s="542"/>
      <c r="Q264" s="542"/>
      <c r="R264" s="542"/>
      <c r="S264" s="542"/>
      <c r="T264" s="542"/>
      <c r="U264" s="542"/>
      <c r="V264" s="542"/>
      <c r="W264" s="542"/>
      <c r="X264" s="542"/>
      <c r="Y264" s="542"/>
      <c r="Z264" s="542"/>
      <c r="AA264" s="543"/>
    </row>
    <row r="265" spans="2:27" x14ac:dyDescent="0.25">
      <c r="B265" s="541"/>
      <c r="C265" s="600" t="str">
        <f>'III. Inputs, Renewable Energy'!N190</f>
        <v xml:space="preserve">Front-end Fee </v>
      </c>
      <c r="D265" s="542"/>
      <c r="E265" s="542"/>
      <c r="F265" s="556">
        <f>'III. Inputs, Renewable Energy'!S190</f>
        <v>0</v>
      </c>
      <c r="G265" s="542"/>
      <c r="H265" s="542"/>
      <c r="I265" s="542"/>
      <c r="J265" s="542"/>
      <c r="K265" s="542"/>
      <c r="L265" s="542"/>
      <c r="M265" s="542"/>
      <c r="N265" s="542"/>
      <c r="O265" s="542"/>
      <c r="P265" s="542"/>
      <c r="Q265" s="542"/>
      <c r="R265" s="542"/>
      <c r="S265" s="542"/>
      <c r="T265" s="542"/>
      <c r="U265" s="542"/>
      <c r="V265" s="542"/>
      <c r="W265" s="542"/>
      <c r="X265" s="542"/>
      <c r="Y265" s="542"/>
      <c r="Z265" s="542"/>
      <c r="AA265" s="543"/>
    </row>
    <row r="266" spans="2:27" x14ac:dyDescent="0.25">
      <c r="B266" s="541"/>
      <c r="C266" s="600" t="str">
        <f>'III. Inputs, Renewable Energy'!N191</f>
        <v xml:space="preserve">Annual Political Risk Insurance Premium </v>
      </c>
      <c r="D266" s="542"/>
      <c r="E266" s="542"/>
      <c r="F266" s="556">
        <f>'III. Inputs, Renewable Energy'!S191</f>
        <v>0</v>
      </c>
      <c r="G266" s="542"/>
      <c r="H266" s="542"/>
      <c r="I266" s="542"/>
      <c r="J266" s="542"/>
      <c r="K266" s="542"/>
      <c r="L266" s="542"/>
      <c r="M266" s="542"/>
      <c r="N266" s="542"/>
      <c r="O266" s="542"/>
      <c r="P266" s="542"/>
      <c r="Q266" s="542"/>
      <c r="R266" s="542"/>
      <c r="S266" s="542"/>
      <c r="T266" s="542"/>
      <c r="U266" s="542"/>
      <c r="V266" s="542"/>
      <c r="W266" s="542"/>
      <c r="X266" s="542"/>
      <c r="Y266" s="542"/>
      <c r="Z266" s="542"/>
      <c r="AA266" s="543"/>
    </row>
    <row r="267" spans="2:27" x14ac:dyDescent="0.25">
      <c r="B267" s="541"/>
      <c r="C267" s="542"/>
      <c r="D267" s="542"/>
      <c r="E267" s="542"/>
      <c r="F267" s="542"/>
      <c r="G267" s="542"/>
      <c r="H267" s="542"/>
      <c r="I267" s="542"/>
      <c r="J267" s="542"/>
      <c r="K267" s="542"/>
      <c r="L267" s="542"/>
      <c r="M267" s="542"/>
      <c r="N267" s="542"/>
      <c r="O267" s="542"/>
      <c r="P267" s="542"/>
      <c r="Q267" s="542"/>
      <c r="R267" s="542"/>
      <c r="S267" s="542"/>
      <c r="T267" s="542"/>
      <c r="U267" s="542"/>
      <c r="V267" s="542"/>
      <c r="W267" s="542"/>
      <c r="X267" s="542"/>
      <c r="Y267" s="542"/>
      <c r="Z267" s="542"/>
      <c r="AA267" s="543"/>
    </row>
    <row r="268" spans="2:27" x14ac:dyDescent="0.25">
      <c r="B268" s="541"/>
      <c r="C268" s="604" t="s">
        <v>71</v>
      </c>
      <c r="D268" s="542"/>
      <c r="E268" s="542"/>
      <c r="F268" s="542"/>
      <c r="G268" s="542"/>
      <c r="H268" s="542"/>
      <c r="I268" s="542"/>
      <c r="J268" s="542"/>
      <c r="K268" s="542"/>
      <c r="L268" s="542"/>
      <c r="M268" s="542"/>
      <c r="N268" s="542"/>
      <c r="O268" s="542"/>
      <c r="P268" s="542"/>
      <c r="Q268" s="542"/>
      <c r="R268" s="542"/>
      <c r="S268" s="542"/>
      <c r="T268" s="542"/>
      <c r="U268" s="542"/>
      <c r="V268" s="542"/>
      <c r="W268" s="542"/>
      <c r="X268" s="542"/>
      <c r="Y268" s="542"/>
      <c r="Z268" s="542"/>
      <c r="AA268" s="543"/>
    </row>
    <row r="269" spans="2:27" x14ac:dyDescent="0.25">
      <c r="B269" s="541"/>
      <c r="C269" s="542" t="str">
        <f>'III. Inputs, Renewable Energy'!N190</f>
        <v xml:space="preserve">Front-end Fee </v>
      </c>
      <c r="D269" s="542"/>
      <c r="E269" s="542"/>
      <c r="F269" s="542"/>
      <c r="G269" s="542"/>
      <c r="H269" s="1320">
        <f>IF(F263&gt;0, F263*F265/10000, 0)</f>
        <v>0</v>
      </c>
      <c r="I269" s="1336">
        <v>0</v>
      </c>
      <c r="J269" s="1336">
        <v>0</v>
      </c>
      <c r="K269" s="1336">
        <v>0</v>
      </c>
      <c r="L269" s="1336">
        <v>0</v>
      </c>
      <c r="M269" s="1336">
        <v>0</v>
      </c>
      <c r="N269" s="1336">
        <v>0</v>
      </c>
      <c r="O269" s="1336">
        <v>0</v>
      </c>
      <c r="P269" s="1336">
        <v>0</v>
      </c>
      <c r="Q269" s="1336">
        <v>0</v>
      </c>
      <c r="R269" s="1336">
        <v>0</v>
      </c>
      <c r="S269" s="1336">
        <v>0</v>
      </c>
      <c r="T269" s="1336">
        <v>0</v>
      </c>
      <c r="U269" s="1336">
        <v>0</v>
      </c>
      <c r="V269" s="1336">
        <v>0</v>
      </c>
      <c r="W269" s="1336">
        <v>0</v>
      </c>
      <c r="X269" s="1336">
        <v>0</v>
      </c>
      <c r="Y269" s="1336">
        <v>0</v>
      </c>
      <c r="Z269" s="1336">
        <v>0</v>
      </c>
      <c r="AA269" s="1337">
        <v>0</v>
      </c>
    </row>
    <row r="270" spans="2:27" x14ac:dyDescent="0.25">
      <c r="B270" s="541"/>
      <c r="C270" s="552" t="str">
        <f>'III. Inputs, Renewable Energy'!N191</f>
        <v xml:space="preserve">Annual Political Risk Insurance Premium </v>
      </c>
      <c r="D270" s="552"/>
      <c r="E270" s="552"/>
      <c r="F270" s="552"/>
      <c r="G270" s="552"/>
      <c r="H270" s="1324">
        <f>IF(H196&gt;$F$264,0,($F$263*$F$266/10000))</f>
        <v>0</v>
      </c>
      <c r="I270" s="1324">
        <f t="shared" ref="I270:AA270" si="89">IF(I196&gt;$F$264,0,($F$263*$F$266/10000))</f>
        <v>0</v>
      </c>
      <c r="J270" s="1324">
        <f t="shared" si="89"/>
        <v>0</v>
      </c>
      <c r="K270" s="1324">
        <f t="shared" si="89"/>
        <v>0</v>
      </c>
      <c r="L270" s="1324">
        <f t="shared" si="89"/>
        <v>0</v>
      </c>
      <c r="M270" s="1324">
        <f t="shared" si="89"/>
        <v>0</v>
      </c>
      <c r="N270" s="1324">
        <f t="shared" si="89"/>
        <v>0</v>
      </c>
      <c r="O270" s="1324">
        <f t="shared" si="89"/>
        <v>0</v>
      </c>
      <c r="P270" s="1324">
        <f t="shared" si="89"/>
        <v>0</v>
      </c>
      <c r="Q270" s="1324">
        <f t="shared" si="89"/>
        <v>0</v>
      </c>
      <c r="R270" s="1324">
        <f t="shared" si="89"/>
        <v>0</v>
      </c>
      <c r="S270" s="1324">
        <f t="shared" si="89"/>
        <v>0</v>
      </c>
      <c r="T270" s="1324">
        <f t="shared" si="89"/>
        <v>0</v>
      </c>
      <c r="U270" s="1324">
        <f t="shared" si="89"/>
        <v>0</v>
      </c>
      <c r="V270" s="1324">
        <f t="shared" si="89"/>
        <v>0</v>
      </c>
      <c r="W270" s="1324">
        <f t="shared" si="89"/>
        <v>0</v>
      </c>
      <c r="X270" s="1324">
        <f t="shared" si="89"/>
        <v>0</v>
      </c>
      <c r="Y270" s="1324">
        <f t="shared" si="89"/>
        <v>0</v>
      </c>
      <c r="Z270" s="1324">
        <f t="shared" si="89"/>
        <v>0</v>
      </c>
      <c r="AA270" s="1325">
        <f t="shared" si="89"/>
        <v>0</v>
      </c>
    </row>
    <row r="271" spans="2:27" x14ac:dyDescent="0.25">
      <c r="B271" s="541"/>
      <c r="C271" s="542" t="s">
        <v>85</v>
      </c>
      <c r="D271" s="542"/>
      <c r="E271" s="542"/>
      <c r="F271" s="542"/>
      <c r="G271" s="542"/>
      <c r="H271" s="1320">
        <f>H269+H270</f>
        <v>0</v>
      </c>
      <c r="I271" s="1320">
        <f t="shared" ref="I271:AA271" si="90">I269+I270</f>
        <v>0</v>
      </c>
      <c r="J271" s="1320">
        <f t="shared" si="90"/>
        <v>0</v>
      </c>
      <c r="K271" s="1320">
        <f t="shared" si="90"/>
        <v>0</v>
      </c>
      <c r="L271" s="1320">
        <f t="shared" si="90"/>
        <v>0</v>
      </c>
      <c r="M271" s="1320">
        <f t="shared" si="90"/>
        <v>0</v>
      </c>
      <c r="N271" s="1320">
        <f t="shared" si="90"/>
        <v>0</v>
      </c>
      <c r="O271" s="1320">
        <f t="shared" si="90"/>
        <v>0</v>
      </c>
      <c r="P271" s="1320">
        <f t="shared" si="90"/>
        <v>0</v>
      </c>
      <c r="Q271" s="1320">
        <f t="shared" si="90"/>
        <v>0</v>
      </c>
      <c r="R271" s="1320">
        <f t="shared" si="90"/>
        <v>0</v>
      </c>
      <c r="S271" s="1320">
        <f t="shared" si="90"/>
        <v>0</v>
      </c>
      <c r="T271" s="1320">
        <f t="shared" si="90"/>
        <v>0</v>
      </c>
      <c r="U271" s="1320">
        <f t="shared" si="90"/>
        <v>0</v>
      </c>
      <c r="V271" s="1320">
        <f t="shared" si="90"/>
        <v>0</v>
      </c>
      <c r="W271" s="1320">
        <f t="shared" si="90"/>
        <v>0</v>
      </c>
      <c r="X271" s="1320">
        <f t="shared" si="90"/>
        <v>0</v>
      </c>
      <c r="Y271" s="1320">
        <f t="shared" si="90"/>
        <v>0</v>
      </c>
      <c r="Z271" s="1320">
        <f t="shared" si="90"/>
        <v>0</v>
      </c>
      <c r="AA271" s="1323">
        <f t="shared" si="90"/>
        <v>0</v>
      </c>
    </row>
    <row r="272" spans="2:27" ht="13.8" thickBot="1" x14ac:dyDescent="0.3">
      <c r="B272" s="572"/>
      <c r="C272" s="564"/>
      <c r="D272" s="564"/>
      <c r="E272" s="564"/>
      <c r="F272" s="564"/>
      <c r="G272" s="564"/>
      <c r="H272" s="564"/>
      <c r="I272" s="564"/>
      <c r="J272" s="564"/>
      <c r="K272" s="564"/>
      <c r="L272" s="564"/>
      <c r="M272" s="564"/>
      <c r="N272" s="564"/>
      <c r="O272" s="564"/>
      <c r="P272" s="564"/>
      <c r="Q272" s="564"/>
      <c r="R272" s="564"/>
      <c r="S272" s="564"/>
      <c r="T272" s="564"/>
      <c r="U272" s="564"/>
      <c r="V272" s="564"/>
      <c r="W272" s="564"/>
      <c r="X272" s="564"/>
      <c r="Y272" s="564"/>
      <c r="Z272" s="564"/>
      <c r="AA272" s="565"/>
    </row>
    <row r="273" spans="2:27" s="36" customFormat="1" ht="13.8" thickBot="1" x14ac:dyDescent="0.3"/>
    <row r="274" spans="2:27" x14ac:dyDescent="0.25">
      <c r="B274" s="606" t="s">
        <v>503</v>
      </c>
      <c r="C274" s="607"/>
      <c r="D274" s="607"/>
      <c r="E274" s="607"/>
      <c r="F274" s="607"/>
      <c r="G274" s="607"/>
      <c r="H274" s="607"/>
      <c r="I274" s="607"/>
      <c r="J274" s="607"/>
      <c r="K274" s="607"/>
      <c r="L274" s="607"/>
      <c r="M274" s="607"/>
      <c r="N274" s="607"/>
      <c r="O274" s="607"/>
      <c r="P274" s="607"/>
      <c r="Q274" s="607"/>
      <c r="R274" s="607"/>
      <c r="S274" s="607"/>
      <c r="T274" s="607"/>
      <c r="U274" s="607"/>
      <c r="V274" s="607"/>
      <c r="W274" s="607"/>
      <c r="X274" s="607"/>
      <c r="Y274" s="607"/>
      <c r="Z274" s="607"/>
      <c r="AA274" s="608"/>
    </row>
    <row r="275" spans="2:27" x14ac:dyDescent="0.25">
      <c r="B275" s="609"/>
      <c r="C275" s="610"/>
      <c r="D275" s="610"/>
      <c r="E275" s="610"/>
      <c r="F275" s="610"/>
      <c r="G275" s="610"/>
      <c r="H275" s="610"/>
      <c r="I275" s="610"/>
      <c r="J275" s="610"/>
      <c r="K275" s="610"/>
      <c r="L275" s="610"/>
      <c r="M275" s="610"/>
      <c r="N275" s="610"/>
      <c r="O275" s="610"/>
      <c r="P275" s="610"/>
      <c r="Q275" s="610"/>
      <c r="R275" s="610"/>
      <c r="S275" s="610"/>
      <c r="T275" s="610"/>
      <c r="U275" s="610"/>
      <c r="V275" s="610"/>
      <c r="W275" s="610"/>
      <c r="X275" s="610"/>
      <c r="Y275" s="610"/>
      <c r="Z275" s="610"/>
      <c r="AA275" s="611"/>
    </row>
    <row r="276" spans="2:27" x14ac:dyDescent="0.25">
      <c r="B276" s="609" t="s">
        <v>258</v>
      </c>
      <c r="C276" s="610"/>
      <c r="D276" s="610"/>
      <c r="E276" s="610"/>
      <c r="F276" s="610"/>
      <c r="G276" s="610"/>
      <c r="H276" s="610"/>
      <c r="I276" s="610"/>
      <c r="J276" s="610"/>
      <c r="K276" s="610"/>
      <c r="L276" s="610"/>
      <c r="M276" s="610"/>
      <c r="N276" s="610"/>
      <c r="O276" s="610"/>
      <c r="P276" s="610"/>
      <c r="Q276" s="610"/>
      <c r="R276" s="610"/>
      <c r="S276" s="610"/>
      <c r="T276" s="610"/>
      <c r="U276" s="610"/>
      <c r="V276" s="610"/>
      <c r="W276" s="610"/>
      <c r="X276" s="610"/>
      <c r="Y276" s="610"/>
      <c r="Z276" s="610"/>
      <c r="AA276" s="611"/>
    </row>
    <row r="277" spans="2:27" x14ac:dyDescent="0.25">
      <c r="B277" s="612"/>
      <c r="C277" s="613" t="s">
        <v>68</v>
      </c>
      <c r="D277" s="614" t="s">
        <v>631</v>
      </c>
      <c r="E277" s="610"/>
      <c r="F277" s="610"/>
      <c r="G277" s="1338">
        <f>IF('III. Inputs, Renewable Energy'!$V$30&gt;0, 'III. Inputs, Renewable Energy'!$U$14*'III. Inputs, Renewable Energy'!$U$15*'III. Inputs, Renewable Energy'!$V$28*SUM('III. Inputs, Renewable Energy'!$V$30), 0)</f>
        <v>317433576.64233571</v>
      </c>
      <c r="H277" s="610"/>
      <c r="I277" s="610"/>
      <c r="J277" s="610"/>
      <c r="K277" s="610"/>
      <c r="L277" s="610"/>
      <c r="M277" s="610"/>
      <c r="N277" s="610"/>
      <c r="O277" s="610"/>
      <c r="P277" s="610"/>
      <c r="Q277" s="610"/>
      <c r="R277" s="610"/>
      <c r="S277" s="610"/>
      <c r="T277" s="610"/>
      <c r="U277" s="610"/>
      <c r="V277" s="610"/>
      <c r="W277" s="610"/>
      <c r="X277" s="610"/>
      <c r="Y277" s="610"/>
      <c r="Z277" s="610"/>
      <c r="AA277" s="611"/>
    </row>
    <row r="278" spans="2:27" x14ac:dyDescent="0.25">
      <c r="B278" s="612"/>
      <c r="C278" s="613" t="s">
        <v>69</v>
      </c>
      <c r="D278" s="614" t="s">
        <v>20</v>
      </c>
      <c r="E278" s="610"/>
      <c r="F278" s="610"/>
      <c r="G278" s="615">
        <f>SUM('III. Inputs, Renewable Energy'!$V$42)</f>
        <v>20</v>
      </c>
      <c r="H278" s="610"/>
      <c r="I278" s="610"/>
      <c r="J278" s="610"/>
      <c r="K278" s="610"/>
      <c r="L278" s="610"/>
      <c r="M278" s="610"/>
      <c r="N278" s="610"/>
      <c r="O278" s="610"/>
      <c r="P278" s="610"/>
      <c r="Q278" s="610"/>
      <c r="R278" s="610"/>
      <c r="S278" s="610"/>
      <c r="T278" s="610"/>
      <c r="U278" s="610"/>
      <c r="V278" s="610"/>
      <c r="W278" s="610"/>
      <c r="X278" s="610"/>
      <c r="Y278" s="610"/>
      <c r="Z278" s="610"/>
      <c r="AA278" s="611"/>
    </row>
    <row r="279" spans="2:27" x14ac:dyDescent="0.25">
      <c r="B279" s="612"/>
      <c r="C279" s="613" t="s">
        <v>70</v>
      </c>
      <c r="D279" s="614" t="s">
        <v>16</v>
      </c>
      <c r="E279" s="610"/>
      <c r="F279" s="610"/>
      <c r="G279" s="616">
        <f>SUM('III. Inputs, Renewable Energy'!$V$37)</f>
        <v>0.04</v>
      </c>
      <c r="H279" s="610"/>
      <c r="I279" s="610"/>
      <c r="J279" s="610"/>
      <c r="K279" s="610"/>
      <c r="L279" s="610"/>
      <c r="M279" s="610"/>
      <c r="N279" s="610"/>
      <c r="O279" s="610"/>
      <c r="P279" s="610"/>
      <c r="Q279" s="610"/>
      <c r="R279" s="610"/>
      <c r="S279" s="610"/>
      <c r="T279" s="610"/>
      <c r="U279" s="610"/>
      <c r="V279" s="610"/>
      <c r="W279" s="610"/>
      <c r="X279" s="610"/>
      <c r="Y279" s="610"/>
      <c r="Z279" s="610"/>
      <c r="AA279" s="611"/>
    </row>
    <row r="280" spans="2:27" x14ac:dyDescent="0.25">
      <c r="B280" s="612"/>
      <c r="C280" s="610"/>
      <c r="D280" s="610"/>
      <c r="E280" s="610"/>
      <c r="F280" s="610"/>
      <c r="G280" s="610"/>
      <c r="H280" s="610"/>
      <c r="I280" s="610"/>
      <c r="J280" s="610"/>
      <c r="K280" s="610"/>
      <c r="L280" s="610"/>
      <c r="M280" s="610"/>
      <c r="N280" s="610"/>
      <c r="O280" s="610"/>
      <c r="P280" s="610"/>
      <c r="Q280" s="610"/>
      <c r="R280" s="610"/>
      <c r="S280" s="610"/>
      <c r="T280" s="610"/>
      <c r="U280" s="610"/>
      <c r="V280" s="610"/>
      <c r="W280" s="610"/>
      <c r="X280" s="610"/>
      <c r="Y280" s="610"/>
      <c r="Z280" s="610"/>
      <c r="AA280" s="611"/>
    </row>
    <row r="281" spans="2:27" x14ac:dyDescent="0.25">
      <c r="B281" s="612"/>
      <c r="C281" s="617" t="s">
        <v>67</v>
      </c>
      <c r="D281" s="610"/>
      <c r="E281" s="610"/>
      <c r="F281" s="610"/>
      <c r="G281" s="610"/>
      <c r="H281" s="610"/>
      <c r="I281" s="610"/>
      <c r="J281" s="610"/>
      <c r="K281" s="610"/>
      <c r="L281" s="610"/>
      <c r="M281" s="610"/>
      <c r="N281" s="610"/>
      <c r="O281" s="610"/>
      <c r="P281" s="610"/>
      <c r="Q281" s="610"/>
      <c r="R281" s="610"/>
      <c r="S281" s="610"/>
      <c r="T281" s="610"/>
      <c r="U281" s="610"/>
      <c r="V281" s="610"/>
      <c r="W281" s="610"/>
      <c r="X281" s="610"/>
      <c r="Y281" s="610"/>
      <c r="Z281" s="610"/>
      <c r="AA281" s="611"/>
    </row>
    <row r="282" spans="2:27" x14ac:dyDescent="0.25">
      <c r="B282" s="612"/>
      <c r="C282" s="610" t="s">
        <v>73</v>
      </c>
      <c r="D282" s="610"/>
      <c r="E282" s="610"/>
      <c r="F282" s="610"/>
      <c r="G282" s="1338"/>
      <c r="H282" s="1338">
        <f>IF($G$277=0,0,IF(H$196&gt;$G$278,0,IPMT($G$279,H$196,$G$278,-$G$277)))</f>
        <v>12697343.065693429</v>
      </c>
      <c r="I282" s="1338">
        <f t="shared" ref="I282:AA282" si="91">IF($G$277=0,0,IF(I$196&gt;$G$278,0,IPMT($G$279,I$196,$G$278,-$G$277)))</f>
        <v>12270944.061024366</v>
      </c>
      <c r="J282" s="1338">
        <f t="shared" si="91"/>
        <v>11827489.09616854</v>
      </c>
      <c r="K282" s="1338">
        <f t="shared" si="91"/>
        <v>11366295.932718478</v>
      </c>
      <c r="L282" s="1338">
        <f t="shared" si="91"/>
        <v>10886655.042730417</v>
      </c>
      <c r="M282" s="1338">
        <f t="shared" si="91"/>
        <v>10387828.517142834</v>
      </c>
      <c r="N282" s="1338">
        <f t="shared" si="91"/>
        <v>9869048.9305317439</v>
      </c>
      <c r="O282" s="1338">
        <f t="shared" si="91"/>
        <v>9329518.1604562141</v>
      </c>
      <c r="P282" s="1338">
        <f t="shared" si="91"/>
        <v>8768406.1595776603</v>
      </c>
      <c r="Q282" s="1338">
        <f t="shared" si="91"/>
        <v>8184849.6786639672</v>
      </c>
      <c r="R282" s="1338">
        <f t="shared" si="91"/>
        <v>7577950.9385137223</v>
      </c>
      <c r="S282" s="1338">
        <f t="shared" si="91"/>
        <v>6946776.2487574713</v>
      </c>
      <c r="T282" s="1338">
        <f t="shared" si="91"/>
        <v>6290354.5714109689</v>
      </c>
      <c r="U282" s="1338">
        <f t="shared" si="91"/>
        <v>5607676.0269706063</v>
      </c>
      <c r="V282" s="1338">
        <f t="shared" si="91"/>
        <v>4897690.3407526296</v>
      </c>
      <c r="W282" s="1338">
        <f t="shared" si="91"/>
        <v>4159305.2270859331</v>
      </c>
      <c r="X282" s="1338">
        <f t="shared" si="91"/>
        <v>3391384.7088725697</v>
      </c>
      <c r="Y282" s="1338">
        <f t="shared" si="91"/>
        <v>2592747.3699306715</v>
      </c>
      <c r="Z282" s="1338">
        <f t="shared" si="91"/>
        <v>1762164.5374310967</v>
      </c>
      <c r="AA282" s="1339">
        <f t="shared" si="91"/>
        <v>898358.39163153968</v>
      </c>
    </row>
    <row r="283" spans="2:27" x14ac:dyDescent="0.25">
      <c r="B283" s="612"/>
      <c r="C283" s="618" t="s">
        <v>72</v>
      </c>
      <c r="D283" s="618"/>
      <c r="E283" s="618"/>
      <c r="F283" s="618"/>
      <c r="G283" s="1340"/>
      <c r="H283" s="1340">
        <f>IF($G$277=0,0,IF(H$196&gt;$G$278,0,PPMT($G$279,H$196,$G$278,-$G$277)))</f>
        <v>10659975.116726601</v>
      </c>
      <c r="I283" s="1340">
        <f t="shared" ref="I283:AA283" si="92">IF($G$277=0,0,IF(I$196&gt;$G$278,0,PPMT($G$279,I$196,$G$278,-$G$277)))</f>
        <v>11086374.121395664</v>
      </c>
      <c r="J283" s="1340">
        <f t="shared" si="92"/>
        <v>11529829.08625149</v>
      </c>
      <c r="K283" s="1340">
        <f t="shared" si="92"/>
        <v>11991022.24970155</v>
      </c>
      <c r="L283" s="1340">
        <f t="shared" si="92"/>
        <v>12470663.139689613</v>
      </c>
      <c r="M283" s="1340">
        <f t="shared" si="92"/>
        <v>12969489.6652772</v>
      </c>
      <c r="N283" s="1340">
        <f t="shared" si="92"/>
        <v>13488269.251888284</v>
      </c>
      <c r="O283" s="1340">
        <f t="shared" si="92"/>
        <v>14027800.021963816</v>
      </c>
      <c r="P283" s="1340">
        <f t="shared" si="92"/>
        <v>14588912.02284237</v>
      </c>
      <c r="Q283" s="1340">
        <f t="shared" si="92"/>
        <v>15172468.503756063</v>
      </c>
      <c r="R283" s="1340">
        <f t="shared" si="92"/>
        <v>15779367.243906304</v>
      </c>
      <c r="S283" s="1340">
        <f t="shared" si="92"/>
        <v>16410541.933662558</v>
      </c>
      <c r="T283" s="1340">
        <f t="shared" si="92"/>
        <v>17066963.611009058</v>
      </c>
      <c r="U283" s="1340">
        <f t="shared" si="92"/>
        <v>17749642.155449424</v>
      </c>
      <c r="V283" s="1340">
        <f t="shared" si="92"/>
        <v>18459627.841667399</v>
      </c>
      <c r="W283" s="1340">
        <f t="shared" si="92"/>
        <v>19198012.955334097</v>
      </c>
      <c r="X283" s="1340">
        <f t="shared" si="92"/>
        <v>19965933.473547459</v>
      </c>
      <c r="Y283" s="1340">
        <f t="shared" si="92"/>
        <v>20764570.812489357</v>
      </c>
      <c r="Z283" s="1340">
        <f t="shared" si="92"/>
        <v>21595153.644988932</v>
      </c>
      <c r="AA283" s="1341">
        <f t="shared" si="92"/>
        <v>22458959.79078849</v>
      </c>
    </row>
    <row r="284" spans="2:27" x14ac:dyDescent="0.25">
      <c r="B284" s="612"/>
      <c r="C284" s="610" t="s">
        <v>74</v>
      </c>
      <c r="D284" s="610"/>
      <c r="E284" s="610"/>
      <c r="F284" s="610"/>
      <c r="G284" s="1338"/>
      <c r="H284" s="1338">
        <f>SUM(H282:H283)</f>
        <v>23357318.18242003</v>
      </c>
      <c r="I284" s="1338">
        <f t="shared" ref="I284:AA284" si="93">SUM(I282:I283)</f>
        <v>23357318.18242003</v>
      </c>
      <c r="J284" s="1338">
        <f t="shared" si="93"/>
        <v>23357318.18242003</v>
      </c>
      <c r="K284" s="1338">
        <f t="shared" si="93"/>
        <v>23357318.18242003</v>
      </c>
      <c r="L284" s="1338">
        <f t="shared" si="93"/>
        <v>23357318.18242003</v>
      </c>
      <c r="M284" s="1338">
        <f t="shared" si="93"/>
        <v>23357318.182420034</v>
      </c>
      <c r="N284" s="1338">
        <f t="shared" si="93"/>
        <v>23357318.18242003</v>
      </c>
      <c r="O284" s="1338">
        <f t="shared" si="93"/>
        <v>23357318.18242003</v>
      </c>
      <c r="P284" s="1338">
        <f t="shared" si="93"/>
        <v>23357318.18242003</v>
      </c>
      <c r="Q284" s="1338">
        <f t="shared" si="93"/>
        <v>23357318.18242003</v>
      </c>
      <c r="R284" s="1338">
        <f t="shared" si="93"/>
        <v>23357318.182420027</v>
      </c>
      <c r="S284" s="1338">
        <f t="shared" si="93"/>
        <v>23357318.18242003</v>
      </c>
      <c r="T284" s="1338">
        <f t="shared" si="93"/>
        <v>23357318.182420027</v>
      </c>
      <c r="U284" s="1338">
        <f t="shared" si="93"/>
        <v>23357318.18242003</v>
      </c>
      <c r="V284" s="1338">
        <f t="shared" si="93"/>
        <v>23357318.18242003</v>
      </c>
      <c r="W284" s="1338">
        <f t="shared" si="93"/>
        <v>23357318.18242003</v>
      </c>
      <c r="X284" s="1338">
        <f t="shared" si="93"/>
        <v>23357318.18242003</v>
      </c>
      <c r="Y284" s="1338">
        <f t="shared" si="93"/>
        <v>23357318.18242003</v>
      </c>
      <c r="Z284" s="1338">
        <f t="shared" si="93"/>
        <v>23357318.18242003</v>
      </c>
      <c r="AA284" s="1339">
        <f t="shared" si="93"/>
        <v>23357318.18242003</v>
      </c>
    </row>
    <row r="285" spans="2:27" x14ac:dyDescent="0.25">
      <c r="B285" s="612"/>
      <c r="C285" s="610"/>
      <c r="D285" s="610"/>
      <c r="E285" s="610"/>
      <c r="F285" s="610"/>
      <c r="G285" s="1338"/>
      <c r="H285" s="1338"/>
      <c r="I285" s="1338"/>
      <c r="J285" s="1338"/>
      <c r="K285" s="1338"/>
      <c r="L285" s="1338"/>
      <c r="M285" s="1338"/>
      <c r="N285" s="1338"/>
      <c r="O285" s="1338"/>
      <c r="P285" s="1338"/>
      <c r="Q285" s="1338"/>
      <c r="R285" s="1338"/>
      <c r="S285" s="1338"/>
      <c r="T285" s="1338"/>
      <c r="U285" s="1338"/>
      <c r="V285" s="1338"/>
      <c r="W285" s="1338"/>
      <c r="X285" s="1338"/>
      <c r="Y285" s="1338"/>
      <c r="Z285" s="1338"/>
      <c r="AA285" s="1339"/>
    </row>
    <row r="286" spans="2:27" x14ac:dyDescent="0.25">
      <c r="B286" s="612"/>
      <c r="C286" s="619" t="s">
        <v>65</v>
      </c>
      <c r="D286" s="610"/>
      <c r="E286" s="610"/>
      <c r="F286" s="610"/>
      <c r="G286" s="1338"/>
      <c r="H286" s="1338"/>
      <c r="I286" s="1338"/>
      <c r="J286" s="1338"/>
      <c r="K286" s="1338"/>
      <c r="L286" s="1338"/>
      <c r="M286" s="1338"/>
      <c r="N286" s="1338"/>
      <c r="O286" s="1338"/>
      <c r="P286" s="1338"/>
      <c r="Q286" s="1338"/>
      <c r="R286" s="1338"/>
      <c r="S286" s="1338"/>
      <c r="T286" s="1338"/>
      <c r="U286" s="1338"/>
      <c r="V286" s="1338"/>
      <c r="W286" s="1338"/>
      <c r="X286" s="1338"/>
      <c r="Y286" s="1338"/>
      <c r="Z286" s="1338"/>
      <c r="AA286" s="1339"/>
    </row>
    <row r="287" spans="2:27" x14ac:dyDescent="0.25">
      <c r="B287" s="612"/>
      <c r="C287" s="610" t="s">
        <v>75</v>
      </c>
      <c r="D287" s="610"/>
      <c r="E287" s="610"/>
      <c r="F287" s="610"/>
      <c r="G287" s="1338">
        <v>0</v>
      </c>
      <c r="H287" s="1338">
        <f t="shared" ref="H287:AA287" si="94">G290</f>
        <v>317433576.64233571</v>
      </c>
      <c r="I287" s="1338">
        <f t="shared" si="94"/>
        <v>306773601.52560914</v>
      </c>
      <c r="J287" s="1338">
        <f t="shared" si="94"/>
        <v>295687227.40421349</v>
      </c>
      <c r="K287" s="1338">
        <f t="shared" si="94"/>
        <v>284157398.31796199</v>
      </c>
      <c r="L287" s="1338">
        <f t="shared" si="94"/>
        <v>272166376.06826043</v>
      </c>
      <c r="M287" s="1338">
        <f t="shared" si="94"/>
        <v>259695712.92857081</v>
      </c>
      <c r="N287" s="1338">
        <f t="shared" si="94"/>
        <v>246726223.26329359</v>
      </c>
      <c r="O287" s="1338">
        <f t="shared" si="94"/>
        <v>233237954.01140532</v>
      </c>
      <c r="P287" s="1338">
        <f t="shared" si="94"/>
        <v>219210153.98944151</v>
      </c>
      <c r="Q287" s="1338">
        <f t="shared" si="94"/>
        <v>204621241.96659914</v>
      </c>
      <c r="R287" s="1338">
        <f t="shared" si="94"/>
        <v>189448773.46284306</v>
      </c>
      <c r="S287" s="1338">
        <f t="shared" si="94"/>
        <v>173669406.21893674</v>
      </c>
      <c r="T287" s="1338">
        <f t="shared" si="94"/>
        <v>157258864.28527418</v>
      </c>
      <c r="U287" s="1338">
        <f t="shared" si="94"/>
        <v>140191900.67426512</v>
      </c>
      <c r="V287" s="1338">
        <f t="shared" si="94"/>
        <v>122442258.5188157</v>
      </c>
      <c r="W287" s="1338">
        <f t="shared" si="94"/>
        <v>103982630.6771483</v>
      </c>
      <c r="X287" s="1338">
        <f t="shared" si="94"/>
        <v>84784617.7218142</v>
      </c>
      <c r="Y287" s="1338">
        <f t="shared" si="94"/>
        <v>64818684.248266742</v>
      </c>
      <c r="Z287" s="1338">
        <f t="shared" si="94"/>
        <v>44054113.435777381</v>
      </c>
      <c r="AA287" s="1339">
        <f t="shared" si="94"/>
        <v>22458959.790788449</v>
      </c>
    </row>
    <row r="288" spans="2:27" x14ac:dyDescent="0.25">
      <c r="B288" s="612"/>
      <c r="C288" s="610" t="s">
        <v>76</v>
      </c>
      <c r="D288" s="610"/>
      <c r="E288" s="610"/>
      <c r="F288" s="610"/>
      <c r="G288" s="1338">
        <f>G277</f>
        <v>317433576.64233571</v>
      </c>
      <c r="H288" s="1338">
        <v>0</v>
      </c>
      <c r="I288" s="1338">
        <v>0</v>
      </c>
      <c r="J288" s="1338">
        <v>0</v>
      </c>
      <c r="K288" s="1338">
        <v>0</v>
      </c>
      <c r="L288" s="1338">
        <v>0</v>
      </c>
      <c r="M288" s="1338">
        <v>0</v>
      </c>
      <c r="N288" s="1338">
        <v>0</v>
      </c>
      <c r="O288" s="1338">
        <v>0</v>
      </c>
      <c r="P288" s="1338">
        <v>0</v>
      </c>
      <c r="Q288" s="1338">
        <v>0</v>
      </c>
      <c r="R288" s="1338">
        <v>0</v>
      </c>
      <c r="S288" s="1338">
        <v>0</v>
      </c>
      <c r="T288" s="1338">
        <v>0</v>
      </c>
      <c r="U288" s="1338">
        <v>0</v>
      </c>
      <c r="V288" s="1338">
        <v>0</v>
      </c>
      <c r="W288" s="1338">
        <v>0</v>
      </c>
      <c r="X288" s="1338">
        <v>0</v>
      </c>
      <c r="Y288" s="1338">
        <v>0</v>
      </c>
      <c r="Z288" s="1338">
        <v>0</v>
      </c>
      <c r="AA288" s="1339">
        <v>0</v>
      </c>
    </row>
    <row r="289" spans="2:28" x14ac:dyDescent="0.25">
      <c r="B289" s="612"/>
      <c r="C289" s="618" t="s">
        <v>77</v>
      </c>
      <c r="D289" s="618"/>
      <c r="E289" s="618"/>
      <c r="F289" s="618"/>
      <c r="G289" s="1340">
        <v>0</v>
      </c>
      <c r="H289" s="1340">
        <f t="shared" ref="H289:AA289" si="95">-H283</f>
        <v>-10659975.116726601</v>
      </c>
      <c r="I289" s="1340">
        <f t="shared" si="95"/>
        <v>-11086374.121395664</v>
      </c>
      <c r="J289" s="1340">
        <f t="shared" si="95"/>
        <v>-11529829.08625149</v>
      </c>
      <c r="K289" s="1340">
        <f t="shared" si="95"/>
        <v>-11991022.24970155</v>
      </c>
      <c r="L289" s="1340">
        <f t="shared" si="95"/>
        <v>-12470663.139689613</v>
      </c>
      <c r="M289" s="1340">
        <f t="shared" si="95"/>
        <v>-12969489.6652772</v>
      </c>
      <c r="N289" s="1340">
        <f t="shared" si="95"/>
        <v>-13488269.251888284</v>
      </c>
      <c r="O289" s="1340">
        <f t="shared" si="95"/>
        <v>-14027800.021963816</v>
      </c>
      <c r="P289" s="1340">
        <f t="shared" si="95"/>
        <v>-14588912.02284237</v>
      </c>
      <c r="Q289" s="1340">
        <f t="shared" si="95"/>
        <v>-15172468.503756063</v>
      </c>
      <c r="R289" s="1340">
        <f t="shared" si="95"/>
        <v>-15779367.243906304</v>
      </c>
      <c r="S289" s="1340">
        <f t="shared" si="95"/>
        <v>-16410541.933662558</v>
      </c>
      <c r="T289" s="1340">
        <f t="shared" si="95"/>
        <v>-17066963.611009058</v>
      </c>
      <c r="U289" s="1340">
        <f t="shared" si="95"/>
        <v>-17749642.155449424</v>
      </c>
      <c r="V289" s="1340">
        <f t="shared" si="95"/>
        <v>-18459627.841667399</v>
      </c>
      <c r="W289" s="1340">
        <f t="shared" si="95"/>
        <v>-19198012.955334097</v>
      </c>
      <c r="X289" s="1340">
        <f t="shared" si="95"/>
        <v>-19965933.473547459</v>
      </c>
      <c r="Y289" s="1340">
        <f t="shared" si="95"/>
        <v>-20764570.812489357</v>
      </c>
      <c r="Z289" s="1340">
        <f t="shared" si="95"/>
        <v>-21595153.644988932</v>
      </c>
      <c r="AA289" s="1341">
        <f t="shared" si="95"/>
        <v>-22458959.79078849</v>
      </c>
    </row>
    <row r="290" spans="2:28" x14ac:dyDescent="0.25">
      <c r="B290" s="612"/>
      <c r="C290" s="610" t="s">
        <v>66</v>
      </c>
      <c r="D290" s="610"/>
      <c r="E290" s="610"/>
      <c r="F290" s="610"/>
      <c r="G290" s="1338">
        <f>SUM(G287:G289)</f>
        <v>317433576.64233571</v>
      </c>
      <c r="H290" s="1338">
        <f t="shared" ref="H290:AA290" si="96">SUM(H287:H289)</f>
        <v>306773601.52560914</v>
      </c>
      <c r="I290" s="1338">
        <f t="shared" si="96"/>
        <v>295687227.40421349</v>
      </c>
      <c r="J290" s="1338">
        <f t="shared" si="96"/>
        <v>284157398.31796199</v>
      </c>
      <c r="K290" s="1338">
        <f t="shared" si="96"/>
        <v>272166376.06826043</v>
      </c>
      <c r="L290" s="1338">
        <f t="shared" si="96"/>
        <v>259695712.92857081</v>
      </c>
      <c r="M290" s="1338">
        <f t="shared" si="96"/>
        <v>246726223.26329359</v>
      </c>
      <c r="N290" s="1338">
        <f t="shared" si="96"/>
        <v>233237954.01140532</v>
      </c>
      <c r="O290" s="1338">
        <f t="shared" si="96"/>
        <v>219210153.98944151</v>
      </c>
      <c r="P290" s="1338">
        <f t="shared" si="96"/>
        <v>204621241.96659914</v>
      </c>
      <c r="Q290" s="1338">
        <f t="shared" si="96"/>
        <v>189448773.46284306</v>
      </c>
      <c r="R290" s="1338">
        <f t="shared" si="96"/>
        <v>173669406.21893674</v>
      </c>
      <c r="S290" s="1338">
        <f t="shared" si="96"/>
        <v>157258864.28527418</v>
      </c>
      <c r="T290" s="1338">
        <f t="shared" si="96"/>
        <v>140191900.67426512</v>
      </c>
      <c r="U290" s="1338">
        <f t="shared" si="96"/>
        <v>122442258.5188157</v>
      </c>
      <c r="V290" s="1338">
        <f t="shared" si="96"/>
        <v>103982630.6771483</v>
      </c>
      <c r="W290" s="1338">
        <f t="shared" si="96"/>
        <v>84784617.7218142</v>
      </c>
      <c r="X290" s="1338">
        <f t="shared" si="96"/>
        <v>64818684.248266742</v>
      </c>
      <c r="Y290" s="1338">
        <f t="shared" si="96"/>
        <v>44054113.435777381</v>
      </c>
      <c r="Z290" s="1338">
        <f t="shared" si="96"/>
        <v>22458959.790788449</v>
      </c>
      <c r="AA290" s="1339">
        <f t="shared" si="96"/>
        <v>-4.0978193283081055E-8</v>
      </c>
    </row>
    <row r="291" spans="2:28" x14ac:dyDescent="0.25">
      <c r="B291" s="612"/>
      <c r="C291" s="610"/>
      <c r="D291" s="610"/>
      <c r="E291" s="610"/>
      <c r="F291" s="610"/>
      <c r="G291" s="1338"/>
      <c r="H291" s="1338"/>
      <c r="I291" s="1338"/>
      <c r="J291" s="1338"/>
      <c r="K291" s="1338"/>
      <c r="L291" s="1338"/>
      <c r="M291" s="1338"/>
      <c r="N291" s="1338"/>
      <c r="O291" s="1338"/>
      <c r="P291" s="1338"/>
      <c r="Q291" s="1338"/>
      <c r="R291" s="1338"/>
      <c r="S291" s="1338"/>
      <c r="T291" s="1338"/>
      <c r="U291" s="1338"/>
      <c r="V291" s="1338"/>
      <c r="W291" s="1338"/>
      <c r="X291" s="1338"/>
      <c r="Y291" s="1338"/>
      <c r="Z291" s="1338"/>
      <c r="AA291" s="1339"/>
    </row>
    <row r="292" spans="2:28" x14ac:dyDescent="0.25">
      <c r="B292" s="612"/>
      <c r="C292" s="619" t="s">
        <v>71</v>
      </c>
      <c r="D292" s="610"/>
      <c r="E292" s="610"/>
      <c r="F292" s="610"/>
      <c r="G292" s="1338"/>
      <c r="H292" s="1338"/>
      <c r="I292" s="1338"/>
      <c r="J292" s="1338"/>
      <c r="K292" s="1338"/>
      <c r="L292" s="1338"/>
      <c r="M292" s="1338"/>
      <c r="N292" s="1338"/>
      <c r="O292" s="1338"/>
      <c r="P292" s="1338"/>
      <c r="Q292" s="1338"/>
      <c r="R292" s="1338"/>
      <c r="S292" s="1338"/>
      <c r="T292" s="1338"/>
      <c r="U292" s="1338"/>
      <c r="V292" s="1338"/>
      <c r="W292" s="1338"/>
      <c r="X292" s="1338"/>
      <c r="Y292" s="1338"/>
      <c r="Z292" s="1338"/>
      <c r="AA292" s="1339"/>
    </row>
    <row r="293" spans="2:28" x14ac:dyDescent="0.25">
      <c r="B293" s="612"/>
      <c r="C293" s="610" t="s">
        <v>235</v>
      </c>
      <c r="D293" s="610"/>
      <c r="E293" s="610"/>
      <c r="F293" s="610"/>
      <c r="G293" s="1338"/>
      <c r="H293" s="1338">
        <f>IF($G$277&gt;0, $G$277*'III. Inputs, Renewable Energy'!$V$47/10000,0)</f>
        <v>0</v>
      </c>
      <c r="I293" s="1342">
        <v>0</v>
      </c>
      <c r="J293" s="1342">
        <v>0</v>
      </c>
      <c r="K293" s="1342">
        <v>0</v>
      </c>
      <c r="L293" s="1342">
        <v>0</v>
      </c>
      <c r="M293" s="1342">
        <v>0</v>
      </c>
      <c r="N293" s="1342">
        <v>0</v>
      </c>
      <c r="O293" s="1342">
        <v>0</v>
      </c>
      <c r="P293" s="1342">
        <v>0</v>
      </c>
      <c r="Q293" s="1342">
        <v>0</v>
      </c>
      <c r="R293" s="1342">
        <v>0</v>
      </c>
      <c r="S293" s="1342">
        <v>0</v>
      </c>
      <c r="T293" s="1342">
        <v>0</v>
      </c>
      <c r="U293" s="1342">
        <v>0</v>
      </c>
      <c r="V293" s="1342">
        <v>0</v>
      </c>
      <c r="W293" s="1342">
        <v>0</v>
      </c>
      <c r="X293" s="1342">
        <v>0</v>
      </c>
      <c r="Y293" s="1342">
        <v>0</v>
      </c>
      <c r="Z293" s="1342">
        <v>0</v>
      </c>
      <c r="AA293" s="1343">
        <v>0</v>
      </c>
    </row>
    <row r="294" spans="2:28" x14ac:dyDescent="0.25">
      <c r="B294" s="612"/>
      <c r="C294" s="610"/>
      <c r="D294" s="610"/>
      <c r="E294" s="610"/>
      <c r="F294" s="610"/>
      <c r="G294" s="610"/>
      <c r="H294" s="610"/>
      <c r="I294" s="610"/>
      <c r="J294" s="610"/>
      <c r="K294" s="610"/>
      <c r="L294" s="610"/>
      <c r="M294" s="610"/>
      <c r="N294" s="610"/>
      <c r="O294" s="610"/>
      <c r="P294" s="610"/>
      <c r="Q294" s="610"/>
      <c r="R294" s="610"/>
      <c r="S294" s="610"/>
      <c r="T294" s="610"/>
      <c r="U294" s="610"/>
      <c r="V294" s="610"/>
      <c r="W294" s="610"/>
      <c r="X294" s="610"/>
      <c r="Y294" s="610"/>
      <c r="Z294" s="610"/>
      <c r="AA294" s="611"/>
    </row>
    <row r="295" spans="2:28" x14ac:dyDescent="0.25">
      <c r="B295" s="609" t="s">
        <v>180</v>
      </c>
      <c r="C295" s="610"/>
      <c r="D295" s="610"/>
      <c r="E295" s="610"/>
      <c r="F295" s="610"/>
      <c r="G295" s="610"/>
      <c r="H295" s="610"/>
      <c r="I295" s="610"/>
      <c r="J295" s="610"/>
      <c r="K295" s="610"/>
      <c r="L295" s="610"/>
      <c r="M295" s="610"/>
      <c r="N295" s="610"/>
      <c r="O295" s="610"/>
      <c r="P295" s="610"/>
      <c r="Q295" s="610"/>
      <c r="R295" s="610"/>
      <c r="S295" s="610"/>
      <c r="T295" s="610"/>
      <c r="U295" s="610"/>
      <c r="V295" s="610"/>
      <c r="W295" s="610"/>
      <c r="X295" s="610"/>
      <c r="Y295" s="610"/>
      <c r="Z295" s="610"/>
      <c r="AA295" s="611"/>
    </row>
    <row r="296" spans="2:28" x14ac:dyDescent="0.25">
      <c r="B296" s="612"/>
      <c r="C296" s="613" t="s">
        <v>68</v>
      </c>
      <c r="D296" s="614" t="s">
        <v>631</v>
      </c>
      <c r="E296" s="610"/>
      <c r="F296" s="610"/>
      <c r="G296" s="1338">
        <f>IF('III. Inputs, Renewable Energy'!$V$31&gt;0, 'III. Inputs, Renewable Energy'!$U$14*'III. Inputs, Renewable Energy'!$U$15*'III. Inputs, Renewable Energy'!$V$28*SUM('III. Inputs, Renewable Energy'!$V$31),0)</f>
        <v>0</v>
      </c>
      <c r="H296" s="610"/>
      <c r="I296" s="610"/>
      <c r="J296" s="610"/>
      <c r="K296" s="610"/>
      <c r="L296" s="610"/>
      <c r="M296" s="610"/>
      <c r="N296" s="610"/>
      <c r="O296" s="610"/>
      <c r="P296" s="610"/>
      <c r="Q296" s="610"/>
      <c r="R296" s="610"/>
      <c r="S296" s="610"/>
      <c r="T296" s="610"/>
      <c r="U296" s="610"/>
      <c r="V296" s="610"/>
      <c r="W296" s="610"/>
      <c r="X296" s="610"/>
      <c r="Y296" s="610"/>
      <c r="Z296" s="610"/>
      <c r="AA296" s="611"/>
    </row>
    <row r="297" spans="2:28" x14ac:dyDescent="0.25">
      <c r="B297" s="612"/>
      <c r="C297" s="613" t="s">
        <v>69</v>
      </c>
      <c r="D297" s="614" t="s">
        <v>20</v>
      </c>
      <c r="E297" s="610"/>
      <c r="F297" s="610"/>
      <c r="G297" s="615">
        <f>SUM('III. Inputs, Renewable Energy'!$V$43)</f>
        <v>0</v>
      </c>
      <c r="H297" s="610"/>
      <c r="I297" s="610"/>
      <c r="J297" s="610"/>
      <c r="K297" s="610"/>
      <c r="L297" s="610"/>
      <c r="M297" s="610"/>
      <c r="N297" s="610"/>
      <c r="O297" s="610"/>
      <c r="P297" s="610"/>
      <c r="Q297" s="610"/>
      <c r="R297" s="610"/>
      <c r="S297" s="610"/>
      <c r="T297" s="610"/>
      <c r="U297" s="610"/>
      <c r="V297" s="610"/>
      <c r="W297" s="610"/>
      <c r="X297" s="610"/>
      <c r="Y297" s="610"/>
      <c r="Z297" s="610"/>
      <c r="AA297" s="611"/>
    </row>
    <row r="298" spans="2:28" x14ac:dyDescent="0.25">
      <c r="B298" s="612"/>
      <c r="C298" s="613" t="s">
        <v>70</v>
      </c>
      <c r="D298" s="614" t="s">
        <v>16</v>
      </c>
      <c r="E298" s="610"/>
      <c r="F298" s="610"/>
      <c r="G298" s="616">
        <f>SUM('III. Inputs, Renewable Energy'!$V$38)</f>
        <v>0</v>
      </c>
      <c r="H298" s="610"/>
      <c r="I298" s="610"/>
      <c r="J298" s="610"/>
      <c r="K298" s="610"/>
      <c r="L298" s="610"/>
      <c r="M298" s="610"/>
      <c r="N298" s="610"/>
      <c r="O298" s="610"/>
      <c r="P298" s="610"/>
      <c r="Q298" s="610"/>
      <c r="R298" s="610"/>
      <c r="S298" s="610"/>
      <c r="T298" s="610"/>
      <c r="U298" s="610"/>
      <c r="V298" s="610"/>
      <c r="W298" s="610"/>
      <c r="X298" s="610"/>
      <c r="Y298" s="610"/>
      <c r="Z298" s="610"/>
      <c r="AA298" s="611"/>
    </row>
    <row r="299" spans="2:28" x14ac:dyDescent="0.25">
      <c r="B299" s="612"/>
      <c r="C299" s="610" t="s">
        <v>236</v>
      </c>
      <c r="D299" s="614" t="s">
        <v>16</v>
      </c>
      <c r="E299" s="610"/>
      <c r="F299" s="610"/>
      <c r="G299" s="779">
        <f>IF('III. Inputs, Renewable Energy'!$V$117="N", 0, 'III. Inputs, Renewable Energy'!$V$183)</f>
        <v>0</v>
      </c>
      <c r="H299" s="610"/>
      <c r="I299" s="610"/>
      <c r="J299" s="610"/>
      <c r="K299" s="610"/>
      <c r="L299" s="610"/>
      <c r="M299" s="610"/>
      <c r="N299" s="610"/>
      <c r="O299" s="610"/>
      <c r="P299" s="610"/>
      <c r="Q299" s="610"/>
      <c r="R299" s="610"/>
      <c r="S299" s="610"/>
      <c r="T299" s="610"/>
      <c r="U299" s="610"/>
      <c r="V299" s="610"/>
      <c r="W299" s="610"/>
      <c r="X299" s="610"/>
      <c r="Y299" s="610"/>
      <c r="Z299" s="610"/>
      <c r="AA299" s="611"/>
    </row>
    <row r="300" spans="2:28" x14ac:dyDescent="0.25">
      <c r="B300" s="612"/>
      <c r="C300" s="610" t="s">
        <v>209</v>
      </c>
      <c r="D300" s="614" t="s">
        <v>20</v>
      </c>
      <c r="E300" s="610"/>
      <c r="F300" s="610"/>
      <c r="G300" s="621">
        <f>IF('III. Inputs, Renewable Energy'!$V$117="N", 0, 'III. Inputs, Renewable Energy'!$V$184)</f>
        <v>0</v>
      </c>
      <c r="H300" s="610"/>
      <c r="I300" s="610"/>
      <c r="J300" s="610"/>
      <c r="K300" s="610"/>
      <c r="L300" s="610"/>
      <c r="M300" s="610"/>
      <c r="N300" s="610"/>
      <c r="O300" s="610"/>
      <c r="P300" s="610"/>
      <c r="Q300" s="610"/>
      <c r="R300" s="610"/>
      <c r="S300" s="610"/>
      <c r="T300" s="610"/>
      <c r="U300" s="610"/>
      <c r="V300" s="610"/>
      <c r="W300" s="610"/>
      <c r="X300" s="610"/>
      <c r="Y300" s="610"/>
      <c r="Z300" s="610"/>
      <c r="AA300" s="611"/>
    </row>
    <row r="301" spans="2:28" x14ac:dyDescent="0.25">
      <c r="B301" s="612"/>
      <c r="C301" s="610"/>
      <c r="D301" s="610"/>
      <c r="E301" s="610"/>
      <c r="F301" s="610"/>
      <c r="G301" s="610"/>
      <c r="H301" s="610"/>
      <c r="I301" s="610"/>
      <c r="J301" s="610"/>
      <c r="K301" s="610"/>
      <c r="L301" s="610"/>
      <c r="M301" s="610"/>
      <c r="N301" s="610"/>
      <c r="O301" s="610"/>
      <c r="P301" s="610"/>
      <c r="Q301" s="610"/>
      <c r="R301" s="610"/>
      <c r="S301" s="610"/>
      <c r="T301" s="610"/>
      <c r="U301" s="610"/>
      <c r="V301" s="610"/>
      <c r="W301" s="610"/>
      <c r="X301" s="610"/>
      <c r="Y301" s="610"/>
      <c r="Z301" s="610"/>
      <c r="AA301" s="611"/>
    </row>
    <row r="302" spans="2:28" x14ac:dyDescent="0.25">
      <c r="B302" s="612"/>
      <c r="C302" s="617" t="s">
        <v>67</v>
      </c>
      <c r="D302" s="610"/>
      <c r="E302" s="610"/>
      <c r="F302" s="610"/>
      <c r="G302" s="1338"/>
      <c r="H302" s="1338"/>
      <c r="I302" s="1338"/>
      <c r="J302" s="1338"/>
      <c r="K302" s="1338"/>
      <c r="L302" s="1338"/>
      <c r="M302" s="1338"/>
      <c r="N302" s="1338"/>
      <c r="O302" s="1338"/>
      <c r="P302" s="1338"/>
      <c r="Q302" s="1338"/>
      <c r="R302" s="1338"/>
      <c r="S302" s="1338"/>
      <c r="T302" s="1338"/>
      <c r="U302" s="1338"/>
      <c r="V302" s="1338"/>
      <c r="W302" s="1338"/>
      <c r="X302" s="1338"/>
      <c r="Y302" s="1338"/>
      <c r="Z302" s="1338"/>
      <c r="AA302" s="1339"/>
      <c r="AB302" s="1299"/>
    </row>
    <row r="303" spans="2:28" x14ac:dyDescent="0.25">
      <c r="B303" s="612"/>
      <c r="C303" s="610" t="s">
        <v>73</v>
      </c>
      <c r="D303" s="610"/>
      <c r="E303" s="610"/>
      <c r="F303" s="610"/>
      <c r="G303" s="1338"/>
      <c r="H303" s="1338">
        <f>IF($G$296=0,0,IF(H$196&gt;$G$297,0,IPMT($G$298,H$196,$G$297,-$G$296)))</f>
        <v>0</v>
      </c>
      <c r="I303" s="1338">
        <f t="shared" ref="I303:AA303" si="97">IF($G$296=0,0,IF(I$196&gt;$G$297,0,IPMT($G$298,I$196,$G$297,-$G$296)))</f>
        <v>0</v>
      </c>
      <c r="J303" s="1338">
        <f t="shared" si="97"/>
        <v>0</v>
      </c>
      <c r="K303" s="1338">
        <f t="shared" si="97"/>
        <v>0</v>
      </c>
      <c r="L303" s="1338">
        <f t="shared" si="97"/>
        <v>0</v>
      </c>
      <c r="M303" s="1338">
        <f t="shared" si="97"/>
        <v>0</v>
      </c>
      <c r="N303" s="1338">
        <f t="shared" si="97"/>
        <v>0</v>
      </c>
      <c r="O303" s="1338">
        <f t="shared" si="97"/>
        <v>0</v>
      </c>
      <c r="P303" s="1338">
        <f t="shared" si="97"/>
        <v>0</v>
      </c>
      <c r="Q303" s="1338">
        <f t="shared" si="97"/>
        <v>0</v>
      </c>
      <c r="R303" s="1338">
        <f t="shared" si="97"/>
        <v>0</v>
      </c>
      <c r="S303" s="1338">
        <f t="shared" si="97"/>
        <v>0</v>
      </c>
      <c r="T303" s="1338">
        <f t="shared" si="97"/>
        <v>0</v>
      </c>
      <c r="U303" s="1338">
        <f t="shared" si="97"/>
        <v>0</v>
      </c>
      <c r="V303" s="1338">
        <f t="shared" si="97"/>
        <v>0</v>
      </c>
      <c r="W303" s="1338">
        <f t="shared" si="97"/>
        <v>0</v>
      </c>
      <c r="X303" s="1338">
        <f t="shared" si="97"/>
        <v>0</v>
      </c>
      <c r="Y303" s="1338">
        <f t="shared" si="97"/>
        <v>0</v>
      </c>
      <c r="Z303" s="1338">
        <f t="shared" si="97"/>
        <v>0</v>
      </c>
      <c r="AA303" s="1339">
        <f t="shared" si="97"/>
        <v>0</v>
      </c>
      <c r="AB303" s="1299"/>
    </row>
    <row r="304" spans="2:28" x14ac:dyDescent="0.25">
      <c r="B304" s="612"/>
      <c r="C304" s="618" t="s">
        <v>72</v>
      </c>
      <c r="D304" s="618"/>
      <c r="E304" s="618"/>
      <c r="F304" s="618"/>
      <c r="G304" s="1340"/>
      <c r="H304" s="1340">
        <f>IF($G$296=0,0,IF(H$196&gt;$G$297,0,PPMT($G$298,H$196,$G$297,-$G$296)))</f>
        <v>0</v>
      </c>
      <c r="I304" s="1340">
        <f t="shared" ref="I304:AA304" si="98">IF($G$296=0,0,IF(I$196&gt;$G$297,0,PPMT($G$298,I$196,$G$297,-$G$296)))</f>
        <v>0</v>
      </c>
      <c r="J304" s="1340">
        <f t="shared" si="98"/>
        <v>0</v>
      </c>
      <c r="K304" s="1340">
        <f t="shared" si="98"/>
        <v>0</v>
      </c>
      <c r="L304" s="1340">
        <f t="shared" si="98"/>
        <v>0</v>
      </c>
      <c r="M304" s="1340">
        <f t="shared" si="98"/>
        <v>0</v>
      </c>
      <c r="N304" s="1340">
        <f t="shared" si="98"/>
        <v>0</v>
      </c>
      <c r="O304" s="1340">
        <f t="shared" si="98"/>
        <v>0</v>
      </c>
      <c r="P304" s="1340">
        <f t="shared" si="98"/>
        <v>0</v>
      </c>
      <c r="Q304" s="1340">
        <f t="shared" si="98"/>
        <v>0</v>
      </c>
      <c r="R304" s="1340">
        <f t="shared" si="98"/>
        <v>0</v>
      </c>
      <c r="S304" s="1340">
        <f t="shared" si="98"/>
        <v>0</v>
      </c>
      <c r="T304" s="1340">
        <f t="shared" si="98"/>
        <v>0</v>
      </c>
      <c r="U304" s="1340">
        <f t="shared" si="98"/>
        <v>0</v>
      </c>
      <c r="V304" s="1340">
        <f t="shared" si="98"/>
        <v>0</v>
      </c>
      <c r="W304" s="1340">
        <f t="shared" si="98"/>
        <v>0</v>
      </c>
      <c r="X304" s="1340">
        <f t="shared" si="98"/>
        <v>0</v>
      </c>
      <c r="Y304" s="1340">
        <f t="shared" si="98"/>
        <v>0</v>
      </c>
      <c r="Z304" s="1340">
        <f t="shared" si="98"/>
        <v>0</v>
      </c>
      <c r="AA304" s="1341">
        <f t="shared" si="98"/>
        <v>0</v>
      </c>
      <c r="AB304" s="1299"/>
    </row>
    <row r="305" spans="2:28" x14ac:dyDescent="0.25">
      <c r="B305" s="612"/>
      <c r="C305" s="610" t="s">
        <v>74</v>
      </c>
      <c r="D305" s="610"/>
      <c r="E305" s="610"/>
      <c r="F305" s="610"/>
      <c r="G305" s="1338"/>
      <c r="H305" s="1338">
        <f>SUM(H303:H304)</f>
        <v>0</v>
      </c>
      <c r="I305" s="1338">
        <f t="shared" ref="I305:AA305" si="99">SUM(I303:I304)</f>
        <v>0</v>
      </c>
      <c r="J305" s="1338">
        <f t="shared" si="99"/>
        <v>0</v>
      </c>
      <c r="K305" s="1338">
        <f t="shared" si="99"/>
        <v>0</v>
      </c>
      <c r="L305" s="1338">
        <f t="shared" si="99"/>
        <v>0</v>
      </c>
      <c r="M305" s="1338">
        <f t="shared" si="99"/>
        <v>0</v>
      </c>
      <c r="N305" s="1338">
        <f t="shared" si="99"/>
        <v>0</v>
      </c>
      <c r="O305" s="1338">
        <f t="shared" si="99"/>
        <v>0</v>
      </c>
      <c r="P305" s="1338">
        <f t="shared" si="99"/>
        <v>0</v>
      </c>
      <c r="Q305" s="1338">
        <f t="shared" si="99"/>
        <v>0</v>
      </c>
      <c r="R305" s="1338">
        <f t="shared" si="99"/>
        <v>0</v>
      </c>
      <c r="S305" s="1338">
        <f t="shared" si="99"/>
        <v>0</v>
      </c>
      <c r="T305" s="1338">
        <f t="shared" si="99"/>
        <v>0</v>
      </c>
      <c r="U305" s="1338">
        <f t="shared" si="99"/>
        <v>0</v>
      </c>
      <c r="V305" s="1338">
        <f t="shared" si="99"/>
        <v>0</v>
      </c>
      <c r="W305" s="1338">
        <f t="shared" si="99"/>
        <v>0</v>
      </c>
      <c r="X305" s="1338">
        <f t="shared" si="99"/>
        <v>0</v>
      </c>
      <c r="Y305" s="1338">
        <f t="shared" si="99"/>
        <v>0</v>
      </c>
      <c r="Z305" s="1338">
        <f t="shared" si="99"/>
        <v>0</v>
      </c>
      <c r="AA305" s="1339">
        <f t="shared" si="99"/>
        <v>0</v>
      </c>
      <c r="AB305" s="1299"/>
    </row>
    <row r="306" spans="2:28" x14ac:dyDescent="0.25">
      <c r="B306" s="612"/>
      <c r="C306" s="610"/>
      <c r="D306" s="610"/>
      <c r="E306" s="610"/>
      <c r="F306" s="610"/>
      <c r="G306" s="1338"/>
      <c r="H306" s="1338"/>
      <c r="I306" s="1338"/>
      <c r="J306" s="1338"/>
      <c r="K306" s="1338"/>
      <c r="L306" s="1338"/>
      <c r="M306" s="1338"/>
      <c r="N306" s="1338"/>
      <c r="O306" s="1338"/>
      <c r="P306" s="1338"/>
      <c r="Q306" s="1338"/>
      <c r="R306" s="1338"/>
      <c r="S306" s="1338"/>
      <c r="T306" s="1338"/>
      <c r="U306" s="1338"/>
      <c r="V306" s="1338"/>
      <c r="W306" s="1338"/>
      <c r="X306" s="1338"/>
      <c r="Y306" s="1338"/>
      <c r="Z306" s="1338"/>
      <c r="AA306" s="1339"/>
      <c r="AB306" s="1299"/>
    </row>
    <row r="307" spans="2:28" x14ac:dyDescent="0.25">
      <c r="B307" s="612"/>
      <c r="C307" s="619" t="s">
        <v>65</v>
      </c>
      <c r="D307" s="610"/>
      <c r="E307" s="610"/>
      <c r="F307" s="610"/>
      <c r="G307" s="1338"/>
      <c r="H307" s="1338"/>
      <c r="I307" s="1338"/>
      <c r="J307" s="1338"/>
      <c r="K307" s="1338"/>
      <c r="L307" s="1338"/>
      <c r="M307" s="1338"/>
      <c r="N307" s="1338"/>
      <c r="O307" s="1338"/>
      <c r="P307" s="1338"/>
      <c r="Q307" s="1338"/>
      <c r="R307" s="1338"/>
      <c r="S307" s="1338"/>
      <c r="T307" s="1338"/>
      <c r="U307" s="1338"/>
      <c r="V307" s="1338"/>
      <c r="W307" s="1338"/>
      <c r="X307" s="1338"/>
      <c r="Y307" s="1338"/>
      <c r="Z307" s="1338"/>
      <c r="AA307" s="1339"/>
      <c r="AB307" s="1299"/>
    </row>
    <row r="308" spans="2:28" x14ac:dyDescent="0.25">
      <c r="B308" s="612"/>
      <c r="C308" s="610" t="s">
        <v>75</v>
      </c>
      <c r="D308" s="610"/>
      <c r="E308" s="610"/>
      <c r="F308" s="610"/>
      <c r="G308" s="1338">
        <v>0</v>
      </c>
      <c r="H308" s="1338">
        <f t="shared" ref="H308:AA308" si="100">G311</f>
        <v>0</v>
      </c>
      <c r="I308" s="1338">
        <f t="shared" si="100"/>
        <v>0</v>
      </c>
      <c r="J308" s="1338">
        <f t="shared" si="100"/>
        <v>0</v>
      </c>
      <c r="K308" s="1338">
        <f t="shared" si="100"/>
        <v>0</v>
      </c>
      <c r="L308" s="1338">
        <f t="shared" si="100"/>
        <v>0</v>
      </c>
      <c r="M308" s="1338">
        <f t="shared" si="100"/>
        <v>0</v>
      </c>
      <c r="N308" s="1338">
        <f t="shared" si="100"/>
        <v>0</v>
      </c>
      <c r="O308" s="1338">
        <f t="shared" si="100"/>
        <v>0</v>
      </c>
      <c r="P308" s="1338">
        <f t="shared" si="100"/>
        <v>0</v>
      </c>
      <c r="Q308" s="1338">
        <f t="shared" si="100"/>
        <v>0</v>
      </c>
      <c r="R308" s="1338">
        <f t="shared" si="100"/>
        <v>0</v>
      </c>
      <c r="S308" s="1338">
        <f t="shared" si="100"/>
        <v>0</v>
      </c>
      <c r="T308" s="1338">
        <f t="shared" si="100"/>
        <v>0</v>
      </c>
      <c r="U308" s="1338">
        <f t="shared" si="100"/>
        <v>0</v>
      </c>
      <c r="V308" s="1338">
        <f t="shared" si="100"/>
        <v>0</v>
      </c>
      <c r="W308" s="1338">
        <f t="shared" si="100"/>
        <v>0</v>
      </c>
      <c r="X308" s="1338">
        <f t="shared" si="100"/>
        <v>0</v>
      </c>
      <c r="Y308" s="1338">
        <f t="shared" si="100"/>
        <v>0</v>
      </c>
      <c r="Z308" s="1338">
        <f t="shared" si="100"/>
        <v>0</v>
      </c>
      <c r="AA308" s="1339">
        <f t="shared" si="100"/>
        <v>0</v>
      </c>
      <c r="AB308" s="1299"/>
    </row>
    <row r="309" spans="2:28" x14ac:dyDescent="0.25">
      <c r="B309" s="612"/>
      <c r="C309" s="610" t="s">
        <v>76</v>
      </c>
      <c r="D309" s="610"/>
      <c r="E309" s="610"/>
      <c r="F309" s="610"/>
      <c r="G309" s="1338">
        <f>G296</f>
        <v>0</v>
      </c>
      <c r="H309" s="1338">
        <v>0</v>
      </c>
      <c r="I309" s="1338">
        <v>0</v>
      </c>
      <c r="J309" s="1338">
        <v>0</v>
      </c>
      <c r="K309" s="1338">
        <v>0</v>
      </c>
      <c r="L309" s="1338">
        <v>0</v>
      </c>
      <c r="M309" s="1338">
        <v>0</v>
      </c>
      <c r="N309" s="1338">
        <v>0</v>
      </c>
      <c r="O309" s="1338">
        <v>0</v>
      </c>
      <c r="P309" s="1338">
        <v>0</v>
      </c>
      <c r="Q309" s="1338">
        <v>0</v>
      </c>
      <c r="R309" s="1338">
        <v>0</v>
      </c>
      <c r="S309" s="1338">
        <v>0</v>
      </c>
      <c r="T309" s="1338">
        <v>0</v>
      </c>
      <c r="U309" s="1338">
        <v>0</v>
      </c>
      <c r="V309" s="1338">
        <v>0</v>
      </c>
      <c r="W309" s="1338">
        <v>0</v>
      </c>
      <c r="X309" s="1338">
        <v>0</v>
      </c>
      <c r="Y309" s="1338">
        <v>0</v>
      </c>
      <c r="Z309" s="1338">
        <v>0</v>
      </c>
      <c r="AA309" s="1339">
        <v>0</v>
      </c>
      <c r="AB309" s="1299"/>
    </row>
    <row r="310" spans="2:28" x14ac:dyDescent="0.25">
      <c r="B310" s="612"/>
      <c r="C310" s="618" t="s">
        <v>77</v>
      </c>
      <c r="D310" s="618"/>
      <c r="E310" s="618"/>
      <c r="F310" s="618"/>
      <c r="G310" s="1340">
        <v>0</v>
      </c>
      <c r="H310" s="1340">
        <f>-H304</f>
        <v>0</v>
      </c>
      <c r="I310" s="1340">
        <f t="shared" ref="I310:AA310" si="101">-I304</f>
        <v>0</v>
      </c>
      <c r="J310" s="1340">
        <f t="shared" si="101"/>
        <v>0</v>
      </c>
      <c r="K310" s="1340">
        <f t="shared" si="101"/>
        <v>0</v>
      </c>
      <c r="L310" s="1340">
        <f t="shared" si="101"/>
        <v>0</v>
      </c>
      <c r="M310" s="1340">
        <f t="shared" si="101"/>
        <v>0</v>
      </c>
      <c r="N310" s="1340">
        <f t="shared" si="101"/>
        <v>0</v>
      </c>
      <c r="O310" s="1340">
        <f t="shared" si="101"/>
        <v>0</v>
      </c>
      <c r="P310" s="1340">
        <f t="shared" si="101"/>
        <v>0</v>
      </c>
      <c r="Q310" s="1340">
        <f t="shared" si="101"/>
        <v>0</v>
      </c>
      <c r="R310" s="1340">
        <f t="shared" si="101"/>
        <v>0</v>
      </c>
      <c r="S310" s="1340">
        <f t="shared" si="101"/>
        <v>0</v>
      </c>
      <c r="T310" s="1340">
        <f t="shared" si="101"/>
        <v>0</v>
      </c>
      <c r="U310" s="1340">
        <f t="shared" si="101"/>
        <v>0</v>
      </c>
      <c r="V310" s="1340">
        <f t="shared" si="101"/>
        <v>0</v>
      </c>
      <c r="W310" s="1340">
        <f t="shared" si="101"/>
        <v>0</v>
      </c>
      <c r="X310" s="1340">
        <f t="shared" si="101"/>
        <v>0</v>
      </c>
      <c r="Y310" s="1340">
        <f t="shared" si="101"/>
        <v>0</v>
      </c>
      <c r="Z310" s="1340">
        <f t="shared" si="101"/>
        <v>0</v>
      </c>
      <c r="AA310" s="1341">
        <f t="shared" si="101"/>
        <v>0</v>
      </c>
      <c r="AB310" s="1299"/>
    </row>
    <row r="311" spans="2:28" x14ac:dyDescent="0.25">
      <c r="B311" s="612"/>
      <c r="C311" s="610" t="s">
        <v>66</v>
      </c>
      <c r="D311" s="610"/>
      <c r="E311" s="610"/>
      <c r="F311" s="610"/>
      <c r="G311" s="1338">
        <f>SUM(G308:G310)</f>
        <v>0</v>
      </c>
      <c r="H311" s="1338">
        <f>SUM(H308:H310)</f>
        <v>0</v>
      </c>
      <c r="I311" s="1338">
        <f t="shared" ref="I311:AA311" si="102">SUM(I308:I310)</f>
        <v>0</v>
      </c>
      <c r="J311" s="1338">
        <f t="shared" si="102"/>
        <v>0</v>
      </c>
      <c r="K311" s="1338">
        <f t="shared" si="102"/>
        <v>0</v>
      </c>
      <c r="L311" s="1338">
        <f t="shared" si="102"/>
        <v>0</v>
      </c>
      <c r="M311" s="1338">
        <f t="shared" si="102"/>
        <v>0</v>
      </c>
      <c r="N311" s="1338">
        <f t="shared" si="102"/>
        <v>0</v>
      </c>
      <c r="O311" s="1338">
        <f t="shared" si="102"/>
        <v>0</v>
      </c>
      <c r="P311" s="1338">
        <f t="shared" si="102"/>
        <v>0</v>
      </c>
      <c r="Q311" s="1338">
        <f t="shared" si="102"/>
        <v>0</v>
      </c>
      <c r="R311" s="1338">
        <f t="shared" si="102"/>
        <v>0</v>
      </c>
      <c r="S311" s="1338">
        <f t="shared" si="102"/>
        <v>0</v>
      </c>
      <c r="T311" s="1338">
        <f t="shared" si="102"/>
        <v>0</v>
      </c>
      <c r="U311" s="1338">
        <f t="shared" si="102"/>
        <v>0</v>
      </c>
      <c r="V311" s="1338">
        <f t="shared" si="102"/>
        <v>0</v>
      </c>
      <c r="W311" s="1338">
        <f t="shared" si="102"/>
        <v>0</v>
      </c>
      <c r="X311" s="1338">
        <f t="shared" si="102"/>
        <v>0</v>
      </c>
      <c r="Y311" s="1338">
        <f t="shared" si="102"/>
        <v>0</v>
      </c>
      <c r="Z311" s="1338">
        <f t="shared" si="102"/>
        <v>0</v>
      </c>
      <c r="AA311" s="1339">
        <f t="shared" si="102"/>
        <v>0</v>
      </c>
      <c r="AB311" s="1299"/>
    </row>
    <row r="312" spans="2:28" x14ac:dyDescent="0.25">
      <c r="B312" s="612"/>
      <c r="C312" s="610"/>
      <c r="D312" s="610"/>
      <c r="E312" s="610"/>
      <c r="F312" s="610"/>
      <c r="G312" s="1338"/>
      <c r="H312" s="1338"/>
      <c r="I312" s="1338"/>
      <c r="J312" s="1338"/>
      <c r="K312" s="1338"/>
      <c r="L312" s="1338"/>
      <c r="M312" s="1338"/>
      <c r="N312" s="1338"/>
      <c r="O312" s="1338"/>
      <c r="P312" s="1338"/>
      <c r="Q312" s="1338"/>
      <c r="R312" s="1338"/>
      <c r="S312" s="1338"/>
      <c r="T312" s="1338"/>
      <c r="U312" s="1338"/>
      <c r="V312" s="1338"/>
      <c r="W312" s="1338"/>
      <c r="X312" s="1338"/>
      <c r="Y312" s="1338"/>
      <c r="Z312" s="1338"/>
      <c r="AA312" s="1339"/>
      <c r="AB312" s="1299"/>
    </row>
    <row r="313" spans="2:28" x14ac:dyDescent="0.25">
      <c r="B313" s="612"/>
      <c r="C313" s="619" t="s">
        <v>71</v>
      </c>
      <c r="D313" s="610"/>
      <c r="E313" s="610"/>
      <c r="F313" s="610"/>
      <c r="G313" s="1338"/>
      <c r="H313" s="1338"/>
      <c r="I313" s="1338"/>
      <c r="J313" s="1338"/>
      <c r="K313" s="1338"/>
      <c r="L313" s="1338"/>
      <c r="M313" s="1338"/>
      <c r="N313" s="1338"/>
      <c r="O313" s="1338"/>
      <c r="P313" s="1338"/>
      <c r="Q313" s="1338"/>
      <c r="R313" s="1338"/>
      <c r="S313" s="1338"/>
      <c r="T313" s="1338"/>
      <c r="U313" s="1338"/>
      <c r="V313" s="1338"/>
      <c r="W313" s="1338"/>
      <c r="X313" s="1338"/>
      <c r="Y313" s="1338"/>
      <c r="Z313" s="1338"/>
      <c r="AA313" s="1339"/>
      <c r="AB313" s="1299"/>
    </row>
    <row r="314" spans="2:28" x14ac:dyDescent="0.25">
      <c r="B314" s="612"/>
      <c r="C314" s="610" t="str">
        <f>'III. Inputs, Renewable Energy'!$N$182</f>
        <v xml:space="preserve">Front-end Fee, Commercial Loans </v>
      </c>
      <c r="D314" s="610"/>
      <c r="E314" s="610"/>
      <c r="F314" s="610"/>
      <c r="G314" s="1338"/>
      <c r="H314" s="1338">
        <f>IF($G$296&gt;0, $G$296*'III. Inputs, Renewable Energy'!$V$182/10000,0)</f>
        <v>0</v>
      </c>
      <c r="I314" s="1342">
        <v>0</v>
      </c>
      <c r="J314" s="1342">
        <v>0</v>
      </c>
      <c r="K314" s="1342">
        <v>0</v>
      </c>
      <c r="L314" s="1342">
        <v>0</v>
      </c>
      <c r="M314" s="1342">
        <v>0</v>
      </c>
      <c r="N314" s="1342">
        <v>0</v>
      </c>
      <c r="O314" s="1342">
        <v>0</v>
      </c>
      <c r="P314" s="1342">
        <v>0</v>
      </c>
      <c r="Q314" s="1342">
        <v>0</v>
      </c>
      <c r="R314" s="1342">
        <v>0</v>
      </c>
      <c r="S314" s="1342">
        <v>0</v>
      </c>
      <c r="T314" s="1342">
        <v>0</v>
      </c>
      <c r="U314" s="1342">
        <v>0</v>
      </c>
      <c r="V314" s="1342">
        <v>0</v>
      </c>
      <c r="W314" s="1342">
        <v>0</v>
      </c>
      <c r="X314" s="1342">
        <v>0</v>
      </c>
      <c r="Y314" s="1342">
        <v>0</v>
      </c>
      <c r="Z314" s="1342">
        <v>0</v>
      </c>
      <c r="AA314" s="1343">
        <v>0</v>
      </c>
      <c r="AB314" s="1299"/>
    </row>
    <row r="315" spans="2:28" x14ac:dyDescent="0.25">
      <c r="B315" s="612"/>
      <c r="C315" s="610" t="str">
        <f>'III. Inputs, Renewable Energy'!$O$185</f>
        <v>Front-end Fee, Public Guarantee</v>
      </c>
      <c r="D315" s="610"/>
      <c r="E315" s="610"/>
      <c r="F315" s="610"/>
      <c r="G315" s="1338"/>
      <c r="H315" s="1338">
        <f>IF($G$296&gt;0, $G$296*$G$299*'III. Inputs, Renewable Energy'!$V$185/10000,0)</f>
        <v>0</v>
      </c>
      <c r="I315" s="1342">
        <v>0</v>
      </c>
      <c r="J315" s="1342">
        <v>0</v>
      </c>
      <c r="K315" s="1342">
        <v>0</v>
      </c>
      <c r="L315" s="1342">
        <v>0</v>
      </c>
      <c r="M315" s="1342">
        <v>0</v>
      </c>
      <c r="N315" s="1342">
        <v>0</v>
      </c>
      <c r="O315" s="1342">
        <v>0</v>
      </c>
      <c r="P315" s="1342">
        <v>0</v>
      </c>
      <c r="Q315" s="1342">
        <v>0</v>
      </c>
      <c r="R315" s="1342">
        <v>0</v>
      </c>
      <c r="S315" s="1342">
        <v>0</v>
      </c>
      <c r="T315" s="1342">
        <v>0</v>
      </c>
      <c r="U315" s="1342">
        <v>0</v>
      </c>
      <c r="V315" s="1342">
        <v>0</v>
      </c>
      <c r="W315" s="1342">
        <v>0</v>
      </c>
      <c r="X315" s="1342">
        <v>0</v>
      </c>
      <c r="Y315" s="1342">
        <v>0</v>
      </c>
      <c r="Z315" s="1342">
        <v>0</v>
      </c>
      <c r="AA315" s="1343">
        <v>0</v>
      </c>
      <c r="AB315" s="1299"/>
    </row>
    <row r="316" spans="2:28" x14ac:dyDescent="0.25">
      <c r="B316" s="612"/>
      <c r="C316" s="610" t="str">
        <f>'III. Inputs, Renewable Energy'!$O$186</f>
        <v>Annual Guarantee Fee</v>
      </c>
      <c r="D316" s="610"/>
      <c r="E316" s="610"/>
      <c r="F316" s="610"/>
      <c r="G316" s="1338"/>
      <c r="H316" s="1338">
        <f>IF(H$196&gt;$G$300,0,((H308+H311)/2)*$G$299*'III. Inputs, Renewable Energy'!$V$186/10000)</f>
        <v>0</v>
      </c>
      <c r="I316" s="1338">
        <f>IF(I$196&gt;$G$300,0,((I308+I311)/2)*$G$299*'III. Inputs, Renewable Energy'!$V$186/10000)</f>
        <v>0</v>
      </c>
      <c r="J316" s="1338">
        <f>IF(J$196&gt;$G$300,0,((J308+J311)/2)*$G$299*'III. Inputs, Renewable Energy'!$V$186/10000)</f>
        <v>0</v>
      </c>
      <c r="K316" s="1338">
        <f>IF(K$196&gt;$G$300,0,((K308+K311)/2)*$G$299*'III. Inputs, Renewable Energy'!$V$186/10000)</f>
        <v>0</v>
      </c>
      <c r="L316" s="1338">
        <f>IF(L$196&gt;$G$300,0,((L308+L311)/2)*$G$299*'III. Inputs, Renewable Energy'!$V$186/10000)</f>
        <v>0</v>
      </c>
      <c r="M316" s="1338">
        <f>IF(M$196&gt;$G$300,0,((M308+M311)/2)*$G$299*'III. Inputs, Renewable Energy'!$V$186/10000)</f>
        <v>0</v>
      </c>
      <c r="N316" s="1338">
        <f>IF(N$196&gt;$G$300,0,((N308+N311)/2)*$G$299*'III. Inputs, Renewable Energy'!$V$186/10000)</f>
        <v>0</v>
      </c>
      <c r="O316" s="1338">
        <f>IF(O$196&gt;$G$300,0,((O308+O311)/2)*$G$299*'III. Inputs, Renewable Energy'!$V$186/10000)</f>
        <v>0</v>
      </c>
      <c r="P316" s="1338">
        <f>IF(P$196&gt;$G$300,0,((P308+P311)/2)*$G$299*'III. Inputs, Renewable Energy'!$V$186/10000)</f>
        <v>0</v>
      </c>
      <c r="Q316" s="1338">
        <f>IF(Q$196&gt;$G$300,0,((Q308+Q311)/2)*$G$299*'III. Inputs, Renewable Energy'!$V$186/10000)</f>
        <v>0</v>
      </c>
      <c r="R316" s="1338">
        <f>IF(R$196&gt;$G$300,0,((R308+R311)/2)*$G$299*'III. Inputs, Renewable Energy'!$V$186/10000)</f>
        <v>0</v>
      </c>
      <c r="S316" s="1338">
        <f>IF(S$196&gt;$G$300,0,((S308+S311)/2)*$G$299*'III. Inputs, Renewable Energy'!$V$186/10000)</f>
        <v>0</v>
      </c>
      <c r="T316" s="1338">
        <f>IF(T$196&gt;$G$300,0,((T308+T311)/2)*$G$299*'III. Inputs, Renewable Energy'!$V$186/10000)</f>
        <v>0</v>
      </c>
      <c r="U316" s="1338">
        <f>IF(U$196&gt;$G$300,0,((U308+U311)/2)*$G$299*'III. Inputs, Renewable Energy'!$V$186/10000)</f>
        <v>0</v>
      </c>
      <c r="V316" s="1338">
        <f>IF(V$196&gt;$G$300,0,((V308+V311)/2)*$G$299*'III. Inputs, Renewable Energy'!$V$186/10000)</f>
        <v>0</v>
      </c>
      <c r="W316" s="1338">
        <f>IF(W$196&gt;$G$300,0,((W308+W311)/2)*$G$299*'III. Inputs, Renewable Energy'!$V$186/10000)</f>
        <v>0</v>
      </c>
      <c r="X316" s="1338">
        <f>IF(X$196&gt;$G$300,0,((X308+X311)/2)*$G$299*'III. Inputs, Renewable Energy'!$V$186/10000)</f>
        <v>0</v>
      </c>
      <c r="Y316" s="1338">
        <f>IF(Y$196&gt;$G$300,0,((Y308+Y311)/2)*$G$299*'III. Inputs, Renewable Energy'!$V$186/10000)</f>
        <v>0</v>
      </c>
      <c r="Z316" s="1338">
        <f>IF(Z$196&gt;$G$300,0,((Z308+Z311)/2)*$G$299*'III. Inputs, Renewable Energy'!$V$186/10000)</f>
        <v>0</v>
      </c>
      <c r="AA316" s="1339">
        <f>IF(AA$196&gt;$G$300,0,((AA308+AA311)/2)*$G$299*'III. Inputs, Renewable Energy'!$V$186/10000)</f>
        <v>0</v>
      </c>
      <c r="AB316" s="1299"/>
    </row>
    <row r="317" spans="2:28" x14ac:dyDescent="0.25">
      <c r="B317" s="612"/>
      <c r="C317" s="610"/>
      <c r="D317" s="610"/>
      <c r="E317" s="610"/>
      <c r="F317" s="610"/>
      <c r="G317" s="610"/>
      <c r="H317" s="610"/>
      <c r="I317" s="610"/>
      <c r="J317" s="610"/>
      <c r="K317" s="610"/>
      <c r="L317" s="610"/>
      <c r="M317" s="610"/>
      <c r="N317" s="610"/>
      <c r="O317" s="610"/>
      <c r="P317" s="610"/>
      <c r="Q317" s="610"/>
      <c r="R317" s="610"/>
      <c r="S317" s="610"/>
      <c r="T317" s="610"/>
      <c r="U317" s="610"/>
      <c r="V317" s="610"/>
      <c r="W317" s="610"/>
      <c r="X317" s="610"/>
      <c r="Y317" s="610"/>
      <c r="Z317" s="610"/>
      <c r="AA317" s="611"/>
    </row>
    <row r="318" spans="2:28" x14ac:dyDescent="0.25">
      <c r="B318" s="609" t="s">
        <v>181</v>
      </c>
      <c r="C318" s="610"/>
      <c r="D318" s="610"/>
      <c r="E318" s="610"/>
      <c r="F318" s="610"/>
      <c r="G318" s="610"/>
      <c r="H318" s="610"/>
      <c r="I318" s="610"/>
      <c r="J318" s="610"/>
      <c r="K318" s="610"/>
      <c r="L318" s="610"/>
      <c r="M318" s="610"/>
      <c r="N318" s="610"/>
      <c r="O318" s="610"/>
      <c r="P318" s="610"/>
      <c r="Q318" s="610"/>
      <c r="R318" s="610"/>
      <c r="S318" s="610"/>
      <c r="T318" s="610"/>
      <c r="U318" s="610"/>
      <c r="V318" s="610"/>
      <c r="W318" s="610"/>
      <c r="X318" s="610"/>
      <c r="Y318" s="610"/>
      <c r="Z318" s="610"/>
      <c r="AA318" s="611"/>
    </row>
    <row r="319" spans="2:28" x14ac:dyDescent="0.25">
      <c r="B319" s="612"/>
      <c r="C319" s="613" t="s">
        <v>68</v>
      </c>
      <c r="D319" s="610"/>
      <c r="E319" s="610"/>
      <c r="F319" s="610"/>
      <c r="G319" s="1338">
        <f>IF('III. Inputs, Renewable Energy'!$V$32&gt;0, 'III. Inputs, Renewable Energy'!$U$14*'III. Inputs, Renewable Energy'!$U$15*'III. Inputs, Renewable Energy'!$V$28*'III. Inputs, Renewable Energy'!$V$32,0)</f>
        <v>317433576.64233571</v>
      </c>
      <c r="H319" s="610"/>
      <c r="I319" s="610"/>
      <c r="J319" s="610"/>
      <c r="K319" s="610"/>
      <c r="L319" s="610"/>
      <c r="M319" s="610"/>
      <c r="N319" s="610"/>
      <c r="O319" s="610"/>
      <c r="P319" s="610"/>
      <c r="Q319" s="610"/>
      <c r="R319" s="610"/>
      <c r="S319" s="610"/>
      <c r="T319" s="610"/>
      <c r="U319" s="610"/>
      <c r="V319" s="610"/>
      <c r="W319" s="610"/>
      <c r="X319" s="610"/>
      <c r="Y319" s="610"/>
      <c r="Z319" s="610"/>
      <c r="AA319" s="611"/>
    </row>
    <row r="320" spans="2:28" x14ac:dyDescent="0.25">
      <c r="B320" s="612"/>
      <c r="C320" s="613" t="s">
        <v>69</v>
      </c>
      <c r="D320" s="610"/>
      <c r="E320" s="610"/>
      <c r="F320" s="610"/>
      <c r="G320" s="621">
        <f>IF('III. Inputs, Renewable Energy'!$V$32&gt;0, 'III. Inputs, Renewable Energy'!$V$44,0)</f>
        <v>11</v>
      </c>
      <c r="H320" s="610"/>
      <c r="I320" s="610"/>
      <c r="J320" s="610"/>
      <c r="K320" s="610"/>
      <c r="L320" s="610"/>
      <c r="M320" s="610"/>
      <c r="N320" s="610"/>
      <c r="O320" s="610"/>
      <c r="P320" s="610"/>
      <c r="Q320" s="610"/>
      <c r="R320" s="610"/>
      <c r="S320" s="610"/>
      <c r="T320" s="610"/>
      <c r="U320" s="610"/>
      <c r="V320" s="610"/>
      <c r="W320" s="610"/>
      <c r="X320" s="610"/>
      <c r="Y320" s="610"/>
      <c r="Z320" s="610"/>
      <c r="AA320" s="611"/>
    </row>
    <row r="321" spans="2:28" x14ac:dyDescent="0.25">
      <c r="B321" s="612"/>
      <c r="C321" s="613" t="s">
        <v>70</v>
      </c>
      <c r="D321" s="610"/>
      <c r="E321" s="610"/>
      <c r="F321" s="610"/>
      <c r="G321" s="779">
        <f>SUM('III. Inputs, Renewable Energy'!V39)</f>
        <v>5.6242205302102208E-2</v>
      </c>
      <c r="H321" s="610"/>
      <c r="I321" s="610"/>
      <c r="J321" s="610"/>
      <c r="K321" s="610"/>
      <c r="L321" s="610"/>
      <c r="M321" s="610"/>
      <c r="N321" s="610"/>
      <c r="O321" s="610"/>
      <c r="P321" s="610"/>
      <c r="Q321" s="610"/>
      <c r="R321" s="610"/>
      <c r="S321" s="610"/>
      <c r="T321" s="610"/>
      <c r="U321" s="610"/>
      <c r="V321" s="610"/>
      <c r="W321" s="610"/>
      <c r="X321" s="610"/>
      <c r="Y321" s="610"/>
      <c r="Z321" s="610"/>
      <c r="AA321" s="611"/>
    </row>
    <row r="322" spans="2:28" x14ac:dyDescent="0.25">
      <c r="B322" s="612"/>
      <c r="C322" s="610"/>
      <c r="D322" s="610"/>
      <c r="E322" s="610"/>
      <c r="F322" s="610"/>
      <c r="G322" s="610"/>
      <c r="H322" s="610"/>
      <c r="I322" s="610"/>
      <c r="J322" s="610"/>
      <c r="K322" s="610"/>
      <c r="L322" s="610"/>
      <c r="M322" s="610"/>
      <c r="N322" s="610"/>
      <c r="O322" s="610"/>
      <c r="P322" s="610"/>
      <c r="Q322" s="610"/>
      <c r="R322" s="610"/>
      <c r="S322" s="610"/>
      <c r="T322" s="610"/>
      <c r="U322" s="610"/>
      <c r="V322" s="610"/>
      <c r="W322" s="610"/>
      <c r="X322" s="610"/>
      <c r="Y322" s="610"/>
      <c r="Z322" s="610"/>
      <c r="AA322" s="611"/>
    </row>
    <row r="323" spans="2:28" x14ac:dyDescent="0.25">
      <c r="B323" s="612"/>
      <c r="C323" s="617" t="s">
        <v>67</v>
      </c>
      <c r="D323" s="610"/>
      <c r="E323" s="610"/>
      <c r="F323" s="610"/>
      <c r="G323" s="1338"/>
      <c r="H323" s="1338"/>
      <c r="I323" s="1338"/>
      <c r="J323" s="1338"/>
      <c r="K323" s="1338"/>
      <c r="L323" s="1338"/>
      <c r="M323" s="1338"/>
      <c r="N323" s="1338"/>
      <c r="O323" s="1338"/>
      <c r="P323" s="1338"/>
      <c r="Q323" s="1338"/>
      <c r="R323" s="1338"/>
      <c r="S323" s="1338"/>
      <c r="T323" s="1338"/>
      <c r="U323" s="1338"/>
      <c r="V323" s="1338"/>
      <c r="W323" s="1338"/>
      <c r="X323" s="1338"/>
      <c r="Y323" s="1338"/>
      <c r="Z323" s="1338"/>
      <c r="AA323" s="1339"/>
      <c r="AB323" s="1299"/>
    </row>
    <row r="324" spans="2:28" x14ac:dyDescent="0.25">
      <c r="B324" s="612"/>
      <c r="C324" s="610" t="s">
        <v>73</v>
      </c>
      <c r="D324" s="610"/>
      <c r="E324" s="610"/>
      <c r="F324" s="610"/>
      <c r="G324" s="1338"/>
      <c r="H324" s="1338">
        <f>IF($G$319=0,0,IF(H$196&gt;$G$320,0,IPMT($G$321,H$196,$G$320,-$G$319)))</f>
        <v>17853164.387298841</v>
      </c>
      <c r="I324" s="1338">
        <f t="shared" ref="I324:AA324" si="103">IF($G$319=0,0,IF(I$196&gt;$G$320,0,IPMT($G$321,I$196,$G$320,-$G$319)))</f>
        <v>16636913.397795193</v>
      </c>
      <c r="J324" s="1338">
        <f t="shared" si="103"/>
        <v>15352257.770440994</v>
      </c>
      <c r="K324" s="1338">
        <f t="shared" si="103"/>
        <v>13995350.277550636</v>
      </c>
      <c r="L324" s="1338">
        <f t="shared" si="103"/>
        <v>12562127.314869186</v>
      </c>
      <c r="M324" s="1338">
        <f t="shared" si="103"/>
        <v>11048296.732076913</v>
      </c>
      <c r="N324" s="1338">
        <f t="shared" si="103"/>
        <v>9449324.9788546376</v>
      </c>
      <c r="O324" s="1338">
        <f t="shared" si="103"/>
        <v>7760423.5280153733</v>
      </c>
      <c r="P324" s="1338">
        <f t="shared" si="103"/>
        <v>5976534.5350429881</v>
      </c>
      <c r="Q324" s="1338">
        <f t="shared" si="103"/>
        <v>4092315.6910916883</v>
      </c>
      <c r="R324" s="1338">
        <f t="shared" si="103"/>
        <v>2102124.2240847913</v>
      </c>
      <c r="S324" s="1338">
        <f t="shared" si="103"/>
        <v>0</v>
      </c>
      <c r="T324" s="1338">
        <f t="shared" si="103"/>
        <v>0</v>
      </c>
      <c r="U324" s="1338">
        <f t="shared" si="103"/>
        <v>0</v>
      </c>
      <c r="V324" s="1338">
        <f t="shared" si="103"/>
        <v>0</v>
      </c>
      <c r="W324" s="1338">
        <f t="shared" si="103"/>
        <v>0</v>
      </c>
      <c r="X324" s="1338">
        <f t="shared" si="103"/>
        <v>0</v>
      </c>
      <c r="Y324" s="1338">
        <f t="shared" si="103"/>
        <v>0</v>
      </c>
      <c r="Z324" s="1338">
        <f t="shared" si="103"/>
        <v>0</v>
      </c>
      <c r="AA324" s="1339">
        <f t="shared" si="103"/>
        <v>0</v>
      </c>
      <c r="AB324" s="1299"/>
    </row>
    <row r="325" spans="2:28" x14ac:dyDescent="0.25">
      <c r="B325" s="612"/>
      <c r="C325" s="618" t="s">
        <v>72</v>
      </c>
      <c r="D325" s="618"/>
      <c r="E325" s="618"/>
      <c r="F325" s="618"/>
      <c r="G325" s="1340"/>
      <c r="H325" s="1340">
        <f>IF($G$319=0,0,IF(H$196&gt;$G$320,0,PPMT($G$321,H$196,$G$320,-$G$319)))</f>
        <v>21625236.474469971</v>
      </c>
      <c r="I325" s="1340">
        <f t="shared" ref="I325:AA325" si="104">IF($G$319=0,0,IF(I$196&gt;$G$320,0,PPMT($G$321,I$196,$G$320,-$G$319)))</f>
        <v>22841487.463973619</v>
      </c>
      <c r="J325" s="1340">
        <f t="shared" si="104"/>
        <v>24126143.09132782</v>
      </c>
      <c r="K325" s="1340">
        <f t="shared" si="104"/>
        <v>25483050.58421817</v>
      </c>
      <c r="L325" s="1340">
        <f t="shared" si="104"/>
        <v>26916273.546899628</v>
      </c>
      <c r="M325" s="1340">
        <f t="shared" si="104"/>
        <v>28430104.129691899</v>
      </c>
      <c r="N325" s="1340">
        <f t="shared" si="104"/>
        <v>30029075.882914174</v>
      </c>
      <c r="O325" s="1340">
        <f t="shared" si="104"/>
        <v>31717977.333753437</v>
      </c>
      <c r="P325" s="1340">
        <f t="shared" si="104"/>
        <v>33501866.326725822</v>
      </c>
      <c r="Q325" s="1340">
        <f t="shared" si="104"/>
        <v>35386085.170677125</v>
      </c>
      <c r="R325" s="1340">
        <f t="shared" si="104"/>
        <v>37376276.637684025</v>
      </c>
      <c r="S325" s="1340">
        <f t="shared" si="104"/>
        <v>0</v>
      </c>
      <c r="T325" s="1340">
        <f t="shared" si="104"/>
        <v>0</v>
      </c>
      <c r="U325" s="1340">
        <f t="shared" si="104"/>
        <v>0</v>
      </c>
      <c r="V325" s="1340">
        <f t="shared" si="104"/>
        <v>0</v>
      </c>
      <c r="W325" s="1340">
        <f t="shared" si="104"/>
        <v>0</v>
      </c>
      <c r="X325" s="1340">
        <f t="shared" si="104"/>
        <v>0</v>
      </c>
      <c r="Y325" s="1340">
        <f t="shared" si="104"/>
        <v>0</v>
      </c>
      <c r="Z325" s="1340">
        <f t="shared" si="104"/>
        <v>0</v>
      </c>
      <c r="AA325" s="1341">
        <f t="shared" si="104"/>
        <v>0</v>
      </c>
      <c r="AB325" s="1299"/>
    </row>
    <row r="326" spans="2:28" x14ac:dyDescent="0.25">
      <c r="B326" s="612"/>
      <c r="C326" s="610" t="s">
        <v>74</v>
      </c>
      <c r="D326" s="610"/>
      <c r="E326" s="610"/>
      <c r="F326" s="610"/>
      <c r="G326" s="1338"/>
      <c r="H326" s="1338">
        <f>SUM(H324:H325)</f>
        <v>39478400.861768812</v>
      </c>
      <c r="I326" s="1338">
        <f t="shared" ref="I326:AA326" si="105">SUM(I324:I325)</f>
        <v>39478400.861768812</v>
      </c>
      <c r="J326" s="1338">
        <f t="shared" si="105"/>
        <v>39478400.861768812</v>
      </c>
      <c r="K326" s="1338">
        <f t="shared" si="105"/>
        <v>39478400.861768804</v>
      </c>
      <c r="L326" s="1338">
        <f t="shared" si="105"/>
        <v>39478400.861768812</v>
      </c>
      <c r="M326" s="1338">
        <f t="shared" si="105"/>
        <v>39478400.861768812</v>
      </c>
      <c r="N326" s="1338">
        <f t="shared" si="105"/>
        <v>39478400.861768812</v>
      </c>
      <c r="O326" s="1338">
        <f t="shared" si="105"/>
        <v>39478400.861768812</v>
      </c>
      <c r="P326" s="1338">
        <f t="shared" si="105"/>
        <v>39478400.861768812</v>
      </c>
      <c r="Q326" s="1338">
        <f t="shared" si="105"/>
        <v>39478400.861768812</v>
      </c>
      <c r="R326" s="1338">
        <f t="shared" si="105"/>
        <v>39478400.861768819</v>
      </c>
      <c r="S326" s="1338">
        <f t="shared" si="105"/>
        <v>0</v>
      </c>
      <c r="T326" s="1338">
        <f t="shared" si="105"/>
        <v>0</v>
      </c>
      <c r="U326" s="1338">
        <f t="shared" si="105"/>
        <v>0</v>
      </c>
      <c r="V326" s="1338">
        <f t="shared" si="105"/>
        <v>0</v>
      </c>
      <c r="W326" s="1338">
        <f t="shared" si="105"/>
        <v>0</v>
      </c>
      <c r="X326" s="1338">
        <f t="shared" si="105"/>
        <v>0</v>
      </c>
      <c r="Y326" s="1338">
        <f t="shared" si="105"/>
        <v>0</v>
      </c>
      <c r="Z326" s="1338">
        <f t="shared" si="105"/>
        <v>0</v>
      </c>
      <c r="AA326" s="1339">
        <f t="shared" si="105"/>
        <v>0</v>
      </c>
      <c r="AB326" s="1299"/>
    </row>
    <row r="327" spans="2:28" x14ac:dyDescent="0.25">
      <c r="B327" s="612"/>
      <c r="C327" s="610"/>
      <c r="D327" s="610"/>
      <c r="E327" s="610"/>
      <c r="F327" s="610"/>
      <c r="G327" s="1338"/>
      <c r="H327" s="1338"/>
      <c r="I327" s="1338"/>
      <c r="J327" s="1338"/>
      <c r="K327" s="1338"/>
      <c r="L327" s="1338"/>
      <c r="M327" s="1338"/>
      <c r="N327" s="1338"/>
      <c r="O327" s="1338"/>
      <c r="P327" s="1338"/>
      <c r="Q327" s="1338"/>
      <c r="R327" s="1338"/>
      <c r="S327" s="1338"/>
      <c r="T327" s="1338"/>
      <c r="U327" s="1338"/>
      <c r="V327" s="1338"/>
      <c r="W327" s="1338"/>
      <c r="X327" s="1338"/>
      <c r="Y327" s="1338"/>
      <c r="Z327" s="1338"/>
      <c r="AA327" s="1339"/>
      <c r="AB327" s="1299"/>
    </row>
    <row r="328" spans="2:28" x14ac:dyDescent="0.25">
      <c r="B328" s="612"/>
      <c r="C328" s="619" t="s">
        <v>65</v>
      </c>
      <c r="D328" s="610"/>
      <c r="E328" s="610"/>
      <c r="F328" s="610"/>
      <c r="G328" s="1338"/>
      <c r="H328" s="1338"/>
      <c r="I328" s="1338"/>
      <c r="J328" s="1338"/>
      <c r="K328" s="1338"/>
      <c r="L328" s="1338"/>
      <c r="M328" s="1338"/>
      <c r="N328" s="1338"/>
      <c r="O328" s="1338"/>
      <c r="P328" s="1338"/>
      <c r="Q328" s="1338"/>
      <c r="R328" s="1338"/>
      <c r="S328" s="1338"/>
      <c r="T328" s="1338"/>
      <c r="U328" s="1338"/>
      <c r="V328" s="1338"/>
      <c r="W328" s="1338"/>
      <c r="X328" s="1338"/>
      <c r="Y328" s="1338"/>
      <c r="Z328" s="1338"/>
      <c r="AA328" s="1339"/>
      <c r="AB328" s="1299"/>
    </row>
    <row r="329" spans="2:28" x14ac:dyDescent="0.25">
      <c r="B329" s="612"/>
      <c r="C329" s="610" t="s">
        <v>75</v>
      </c>
      <c r="D329" s="610"/>
      <c r="E329" s="610"/>
      <c r="F329" s="610"/>
      <c r="G329" s="1338">
        <v>0</v>
      </c>
      <c r="H329" s="1338">
        <f t="shared" ref="H329:AA329" si="106">G332</f>
        <v>317433576.64233571</v>
      </c>
      <c r="I329" s="1338">
        <f t="shared" si="106"/>
        <v>295808340.16786575</v>
      </c>
      <c r="J329" s="1338">
        <f t="shared" si="106"/>
        <v>272966852.70389211</v>
      </c>
      <c r="K329" s="1338">
        <f t="shared" si="106"/>
        <v>248840709.6125643</v>
      </c>
      <c r="L329" s="1338">
        <f t="shared" si="106"/>
        <v>223357659.02834612</v>
      </c>
      <c r="M329" s="1338">
        <f t="shared" si="106"/>
        <v>196441385.4814465</v>
      </c>
      <c r="N329" s="1338">
        <f t="shared" si="106"/>
        <v>168011281.35175461</v>
      </c>
      <c r="O329" s="1338">
        <f t="shared" si="106"/>
        <v>137982205.46884042</v>
      </c>
      <c r="P329" s="1338">
        <f t="shared" si="106"/>
        <v>106264228.13508698</v>
      </c>
      <c r="Q329" s="1338">
        <f t="shared" si="106"/>
        <v>72762361.808361158</v>
      </c>
      <c r="R329" s="1338">
        <f t="shared" si="106"/>
        <v>37376276.637684032</v>
      </c>
      <c r="S329" s="1338">
        <f t="shared" si="106"/>
        <v>0</v>
      </c>
      <c r="T329" s="1338">
        <f t="shared" si="106"/>
        <v>0</v>
      </c>
      <c r="U329" s="1338">
        <f t="shared" si="106"/>
        <v>0</v>
      </c>
      <c r="V329" s="1338">
        <f t="shared" si="106"/>
        <v>0</v>
      </c>
      <c r="W329" s="1338">
        <f t="shared" si="106"/>
        <v>0</v>
      </c>
      <c r="X329" s="1338">
        <f t="shared" si="106"/>
        <v>0</v>
      </c>
      <c r="Y329" s="1338">
        <f t="shared" si="106"/>
        <v>0</v>
      </c>
      <c r="Z329" s="1338">
        <f t="shared" si="106"/>
        <v>0</v>
      </c>
      <c r="AA329" s="1339">
        <f t="shared" si="106"/>
        <v>0</v>
      </c>
      <c r="AB329" s="1299"/>
    </row>
    <row r="330" spans="2:28" x14ac:dyDescent="0.25">
      <c r="B330" s="612"/>
      <c r="C330" s="610" t="s">
        <v>76</v>
      </c>
      <c r="D330" s="610"/>
      <c r="E330" s="610"/>
      <c r="F330" s="610"/>
      <c r="G330" s="1338">
        <f>G319</f>
        <v>317433576.64233571</v>
      </c>
      <c r="H330" s="1338">
        <v>0</v>
      </c>
      <c r="I330" s="1338">
        <v>0</v>
      </c>
      <c r="J330" s="1338">
        <v>0</v>
      </c>
      <c r="K330" s="1338">
        <v>0</v>
      </c>
      <c r="L330" s="1338">
        <v>0</v>
      </c>
      <c r="M330" s="1338">
        <v>0</v>
      </c>
      <c r="N330" s="1338">
        <v>0</v>
      </c>
      <c r="O330" s="1338">
        <v>0</v>
      </c>
      <c r="P330" s="1338">
        <v>0</v>
      </c>
      <c r="Q330" s="1338">
        <v>0</v>
      </c>
      <c r="R330" s="1338">
        <v>0</v>
      </c>
      <c r="S330" s="1338">
        <v>0</v>
      </c>
      <c r="T330" s="1338">
        <v>0</v>
      </c>
      <c r="U330" s="1338">
        <v>0</v>
      </c>
      <c r="V330" s="1338">
        <v>0</v>
      </c>
      <c r="W330" s="1338">
        <v>0</v>
      </c>
      <c r="X330" s="1338">
        <v>0</v>
      </c>
      <c r="Y330" s="1338">
        <v>0</v>
      </c>
      <c r="Z330" s="1338">
        <v>0</v>
      </c>
      <c r="AA330" s="1339">
        <v>0</v>
      </c>
      <c r="AB330" s="1299"/>
    </row>
    <row r="331" spans="2:28" x14ac:dyDescent="0.25">
      <c r="B331" s="612"/>
      <c r="C331" s="618" t="s">
        <v>77</v>
      </c>
      <c r="D331" s="618"/>
      <c r="E331" s="618"/>
      <c r="F331" s="618"/>
      <c r="G331" s="1340">
        <v>0</v>
      </c>
      <c r="H331" s="1340">
        <f>-H325</f>
        <v>-21625236.474469971</v>
      </c>
      <c r="I331" s="1340">
        <f t="shared" ref="I331:AA331" si="107">-I325</f>
        <v>-22841487.463973619</v>
      </c>
      <c r="J331" s="1340">
        <f t="shared" si="107"/>
        <v>-24126143.09132782</v>
      </c>
      <c r="K331" s="1340">
        <f t="shared" si="107"/>
        <v>-25483050.58421817</v>
      </c>
      <c r="L331" s="1340">
        <f t="shared" si="107"/>
        <v>-26916273.546899628</v>
      </c>
      <c r="M331" s="1340">
        <f t="shared" si="107"/>
        <v>-28430104.129691899</v>
      </c>
      <c r="N331" s="1340">
        <f t="shared" si="107"/>
        <v>-30029075.882914174</v>
      </c>
      <c r="O331" s="1340">
        <f t="shared" si="107"/>
        <v>-31717977.333753437</v>
      </c>
      <c r="P331" s="1340">
        <f t="shared" si="107"/>
        <v>-33501866.326725822</v>
      </c>
      <c r="Q331" s="1340">
        <f t="shared" si="107"/>
        <v>-35386085.170677125</v>
      </c>
      <c r="R331" s="1340">
        <f t="shared" si="107"/>
        <v>-37376276.637684025</v>
      </c>
      <c r="S331" s="1340">
        <f t="shared" si="107"/>
        <v>0</v>
      </c>
      <c r="T331" s="1340">
        <f t="shared" si="107"/>
        <v>0</v>
      </c>
      <c r="U331" s="1340">
        <f t="shared" si="107"/>
        <v>0</v>
      </c>
      <c r="V331" s="1340">
        <f t="shared" si="107"/>
        <v>0</v>
      </c>
      <c r="W331" s="1340">
        <f t="shared" si="107"/>
        <v>0</v>
      </c>
      <c r="X331" s="1340">
        <f t="shared" si="107"/>
        <v>0</v>
      </c>
      <c r="Y331" s="1340">
        <f t="shared" si="107"/>
        <v>0</v>
      </c>
      <c r="Z331" s="1340">
        <f t="shared" si="107"/>
        <v>0</v>
      </c>
      <c r="AA331" s="1341">
        <f t="shared" si="107"/>
        <v>0</v>
      </c>
      <c r="AB331" s="1299"/>
    </row>
    <row r="332" spans="2:28" x14ac:dyDescent="0.25">
      <c r="B332" s="612"/>
      <c r="C332" s="610" t="s">
        <v>66</v>
      </c>
      <c r="D332" s="610"/>
      <c r="E332" s="610"/>
      <c r="F332" s="610"/>
      <c r="G332" s="1338">
        <f>SUM(G329:G331)</f>
        <v>317433576.64233571</v>
      </c>
      <c r="H332" s="1338">
        <f>SUM(H329:H331)</f>
        <v>295808340.16786575</v>
      </c>
      <c r="I332" s="1338">
        <f t="shared" ref="I332:AA332" si="108">SUM(I329:I331)</f>
        <v>272966852.70389211</v>
      </c>
      <c r="J332" s="1338">
        <f t="shared" si="108"/>
        <v>248840709.6125643</v>
      </c>
      <c r="K332" s="1338">
        <f t="shared" si="108"/>
        <v>223357659.02834612</v>
      </c>
      <c r="L332" s="1338">
        <f t="shared" si="108"/>
        <v>196441385.4814465</v>
      </c>
      <c r="M332" s="1338">
        <f t="shared" si="108"/>
        <v>168011281.35175461</v>
      </c>
      <c r="N332" s="1338">
        <f t="shared" si="108"/>
        <v>137982205.46884042</v>
      </c>
      <c r="O332" s="1338">
        <f t="shared" si="108"/>
        <v>106264228.13508698</v>
      </c>
      <c r="P332" s="1338">
        <f t="shared" si="108"/>
        <v>72762361.808361158</v>
      </c>
      <c r="Q332" s="1338">
        <f t="shared" si="108"/>
        <v>37376276.637684032</v>
      </c>
      <c r="R332" s="1338">
        <f t="shared" si="108"/>
        <v>0</v>
      </c>
      <c r="S332" s="1338">
        <f t="shared" si="108"/>
        <v>0</v>
      </c>
      <c r="T332" s="1338">
        <f t="shared" si="108"/>
        <v>0</v>
      </c>
      <c r="U332" s="1338">
        <f t="shared" si="108"/>
        <v>0</v>
      </c>
      <c r="V332" s="1338">
        <f t="shared" si="108"/>
        <v>0</v>
      </c>
      <c r="W332" s="1338">
        <f t="shared" si="108"/>
        <v>0</v>
      </c>
      <c r="X332" s="1338">
        <f t="shared" si="108"/>
        <v>0</v>
      </c>
      <c r="Y332" s="1338">
        <f t="shared" si="108"/>
        <v>0</v>
      </c>
      <c r="Z332" s="1338">
        <f t="shared" si="108"/>
        <v>0</v>
      </c>
      <c r="AA332" s="1339">
        <f t="shared" si="108"/>
        <v>0</v>
      </c>
      <c r="AB332" s="1299"/>
    </row>
    <row r="333" spans="2:28" x14ac:dyDescent="0.25">
      <c r="B333" s="612"/>
      <c r="C333" s="610"/>
      <c r="D333" s="610"/>
      <c r="E333" s="610"/>
      <c r="F333" s="610"/>
      <c r="G333" s="1338"/>
      <c r="H333" s="1338"/>
      <c r="I333" s="1338"/>
      <c r="J333" s="1338"/>
      <c r="K333" s="1338"/>
      <c r="L333" s="1338"/>
      <c r="M333" s="1338"/>
      <c r="N333" s="1338"/>
      <c r="O333" s="1338"/>
      <c r="P333" s="1338"/>
      <c r="Q333" s="1338"/>
      <c r="R333" s="1338"/>
      <c r="S333" s="1338"/>
      <c r="T333" s="1338"/>
      <c r="U333" s="1338"/>
      <c r="V333" s="1338"/>
      <c r="W333" s="1338"/>
      <c r="X333" s="1338"/>
      <c r="Y333" s="1338"/>
      <c r="Z333" s="1338"/>
      <c r="AA333" s="1339"/>
      <c r="AB333" s="1299"/>
    </row>
    <row r="334" spans="2:28" x14ac:dyDescent="0.25">
      <c r="B334" s="612"/>
      <c r="C334" s="619" t="s">
        <v>71</v>
      </c>
      <c r="D334" s="610"/>
      <c r="E334" s="610"/>
      <c r="F334" s="610"/>
      <c r="G334" s="1338"/>
      <c r="H334" s="1338"/>
      <c r="I334" s="1338"/>
      <c r="J334" s="1338"/>
      <c r="K334" s="1338"/>
      <c r="L334" s="1338"/>
      <c r="M334" s="1338"/>
      <c r="N334" s="1338"/>
      <c r="O334" s="1338"/>
      <c r="P334" s="1338"/>
      <c r="Q334" s="1338"/>
      <c r="R334" s="1338"/>
      <c r="S334" s="1338"/>
      <c r="T334" s="1338"/>
      <c r="U334" s="1338"/>
      <c r="V334" s="1338"/>
      <c r="W334" s="1338"/>
      <c r="X334" s="1338"/>
      <c r="Y334" s="1338"/>
      <c r="Z334" s="1338"/>
      <c r="AA334" s="1339"/>
      <c r="AB334" s="1299"/>
    </row>
    <row r="335" spans="2:28" x14ac:dyDescent="0.25">
      <c r="B335" s="612"/>
      <c r="C335" s="610" t="s">
        <v>233</v>
      </c>
      <c r="D335" s="610"/>
      <c r="E335" s="610"/>
      <c r="F335" s="610"/>
      <c r="G335" s="1338"/>
      <c r="H335" s="1338">
        <f>IF($G$319&gt;0, $G$319*'III. Inputs, Renewable Energy'!$V$49/10000,0)</f>
        <v>0</v>
      </c>
      <c r="I335" s="1342">
        <v>0</v>
      </c>
      <c r="J335" s="1342">
        <v>0</v>
      </c>
      <c r="K335" s="1342">
        <v>0</v>
      </c>
      <c r="L335" s="1342">
        <v>0</v>
      </c>
      <c r="M335" s="1342">
        <v>0</v>
      </c>
      <c r="N335" s="1342">
        <v>0</v>
      </c>
      <c r="O335" s="1342">
        <v>0</v>
      </c>
      <c r="P335" s="1342">
        <v>0</v>
      </c>
      <c r="Q335" s="1342">
        <v>0</v>
      </c>
      <c r="R335" s="1342">
        <v>0</v>
      </c>
      <c r="S335" s="1342">
        <v>0</v>
      </c>
      <c r="T335" s="1342">
        <v>0</v>
      </c>
      <c r="U335" s="1342">
        <v>0</v>
      </c>
      <c r="V335" s="1342">
        <v>0</v>
      </c>
      <c r="W335" s="1342">
        <v>0</v>
      </c>
      <c r="X335" s="1342">
        <v>0</v>
      </c>
      <c r="Y335" s="1342">
        <v>0</v>
      </c>
      <c r="Z335" s="1342">
        <v>0</v>
      </c>
      <c r="AA335" s="1343">
        <v>0</v>
      </c>
      <c r="AB335" s="1299"/>
    </row>
    <row r="336" spans="2:28" x14ac:dyDescent="0.25">
      <c r="B336" s="612"/>
      <c r="C336" s="610"/>
      <c r="D336" s="610"/>
      <c r="E336" s="610"/>
      <c r="F336" s="610"/>
      <c r="G336" s="610"/>
      <c r="H336" s="610"/>
      <c r="I336" s="610"/>
      <c r="J336" s="610"/>
      <c r="K336" s="610"/>
      <c r="L336" s="610"/>
      <c r="M336" s="610"/>
      <c r="N336" s="610"/>
      <c r="O336" s="610"/>
      <c r="P336" s="610"/>
      <c r="Q336" s="610"/>
      <c r="R336" s="610"/>
      <c r="S336" s="610"/>
      <c r="T336" s="610"/>
      <c r="U336" s="610"/>
      <c r="V336" s="610"/>
      <c r="W336" s="610"/>
      <c r="X336" s="610"/>
      <c r="Y336" s="610"/>
      <c r="Z336" s="610"/>
      <c r="AA336" s="611"/>
    </row>
    <row r="337" spans="1:27" x14ac:dyDescent="0.25">
      <c r="B337" s="612"/>
      <c r="C337" s="610"/>
      <c r="D337" s="610"/>
      <c r="E337" s="610"/>
      <c r="F337" s="610"/>
      <c r="G337" s="610"/>
      <c r="H337" s="610"/>
      <c r="I337" s="610"/>
      <c r="J337" s="610"/>
      <c r="K337" s="610"/>
      <c r="L337" s="610"/>
      <c r="M337" s="610"/>
      <c r="N337" s="610"/>
      <c r="O337" s="610"/>
      <c r="P337" s="610"/>
      <c r="Q337" s="610"/>
      <c r="R337" s="610"/>
      <c r="S337" s="610"/>
      <c r="T337" s="610"/>
      <c r="U337" s="610"/>
      <c r="V337" s="610"/>
      <c r="W337" s="610"/>
      <c r="X337" s="610"/>
      <c r="Y337" s="610"/>
      <c r="Z337" s="610"/>
      <c r="AA337" s="611"/>
    </row>
    <row r="338" spans="1:27" x14ac:dyDescent="0.25">
      <c r="B338" s="609" t="s">
        <v>86</v>
      </c>
      <c r="C338" s="610"/>
      <c r="D338" s="610"/>
      <c r="E338" s="610"/>
      <c r="F338" s="610"/>
      <c r="G338" s="610"/>
      <c r="H338" s="610"/>
      <c r="I338" s="610"/>
      <c r="J338" s="610"/>
      <c r="K338" s="610"/>
      <c r="L338" s="610"/>
      <c r="M338" s="610"/>
      <c r="N338" s="610"/>
      <c r="O338" s="610"/>
      <c r="P338" s="610"/>
      <c r="Q338" s="610"/>
      <c r="R338" s="610"/>
      <c r="S338" s="610"/>
      <c r="T338" s="610"/>
      <c r="U338" s="610"/>
      <c r="V338" s="610"/>
      <c r="W338" s="610"/>
      <c r="X338" s="610"/>
      <c r="Y338" s="610"/>
      <c r="Z338" s="610"/>
      <c r="AA338" s="611"/>
    </row>
    <row r="339" spans="1:27" x14ac:dyDescent="0.25">
      <c r="B339" s="612"/>
      <c r="C339" s="613" t="s">
        <v>84</v>
      </c>
      <c r="D339" s="610"/>
      <c r="E339" s="610"/>
      <c r="F339" s="1338">
        <f>IF('III. Inputs, Renewable Energy'!V188&gt;0, 'III. Inputs, Renewable Energy'!$U$14*'III. Inputs, Renewable Energy'!$U$15*'III. Inputs, Renewable Energy'!$V$27*'III. Inputs, Renewable Energy'!$V$188,0)</f>
        <v>0</v>
      </c>
      <c r="G339" s="610"/>
      <c r="H339" s="610"/>
      <c r="I339" s="610"/>
      <c r="J339" s="610"/>
      <c r="K339" s="610"/>
      <c r="L339" s="610"/>
      <c r="M339" s="610"/>
      <c r="N339" s="610"/>
      <c r="O339" s="610"/>
      <c r="P339" s="610"/>
      <c r="Q339" s="610"/>
      <c r="R339" s="610"/>
      <c r="S339" s="610"/>
      <c r="T339" s="610"/>
      <c r="U339" s="610"/>
      <c r="V339" s="610"/>
      <c r="W339" s="610"/>
      <c r="X339" s="610"/>
      <c r="Y339" s="610"/>
      <c r="Z339" s="610"/>
      <c r="AA339" s="611"/>
    </row>
    <row r="340" spans="1:27" x14ac:dyDescent="0.25">
      <c r="B340" s="612"/>
      <c r="C340" s="613" t="str">
        <f>'III. Inputs, Renewable Energy'!$N$189</f>
        <v xml:space="preserve">Term of Political Risk Insurance </v>
      </c>
      <c r="D340" s="610"/>
      <c r="E340" s="610"/>
      <c r="F340" s="621">
        <f>'III. Inputs, Renewable Energy'!V189</f>
        <v>0</v>
      </c>
      <c r="G340" s="610"/>
      <c r="H340" s="610"/>
      <c r="I340" s="610"/>
      <c r="J340" s="610"/>
      <c r="K340" s="610"/>
      <c r="L340" s="610"/>
      <c r="M340" s="610"/>
      <c r="N340" s="610"/>
      <c r="O340" s="610"/>
      <c r="P340" s="610"/>
      <c r="Q340" s="610"/>
      <c r="R340" s="610"/>
      <c r="S340" s="610"/>
      <c r="T340" s="610"/>
      <c r="U340" s="610"/>
      <c r="V340" s="610"/>
      <c r="W340" s="610"/>
      <c r="X340" s="610"/>
      <c r="Y340" s="610"/>
      <c r="Z340" s="610"/>
      <c r="AA340" s="611"/>
    </row>
    <row r="341" spans="1:27" x14ac:dyDescent="0.25">
      <c r="B341" s="612"/>
      <c r="C341" s="613" t="str">
        <f>'III. Inputs, Renewable Energy'!$N$190</f>
        <v xml:space="preserve">Front-end Fee </v>
      </c>
      <c r="D341" s="610"/>
      <c r="E341" s="610"/>
      <c r="F341" s="621">
        <f>'III. Inputs, Renewable Energy'!V190</f>
        <v>0</v>
      </c>
      <c r="G341" s="610"/>
      <c r="H341" s="610"/>
      <c r="I341" s="610"/>
      <c r="J341" s="610"/>
      <c r="K341" s="610"/>
      <c r="L341" s="610"/>
      <c r="M341" s="610"/>
      <c r="N341" s="610"/>
      <c r="O341" s="610"/>
      <c r="P341" s="610"/>
      <c r="Q341" s="610"/>
      <c r="R341" s="610"/>
      <c r="S341" s="610"/>
      <c r="T341" s="610"/>
      <c r="U341" s="610"/>
      <c r="V341" s="610"/>
      <c r="W341" s="610"/>
      <c r="X341" s="610"/>
      <c r="Y341" s="610"/>
      <c r="Z341" s="610"/>
      <c r="AA341" s="611"/>
    </row>
    <row r="342" spans="1:27" x14ac:dyDescent="0.25">
      <c r="B342" s="612"/>
      <c r="C342" s="613" t="str">
        <f>'III. Inputs, Renewable Energy'!$N$191</f>
        <v xml:space="preserve">Annual Political Risk Insurance Premium </v>
      </c>
      <c r="D342" s="610"/>
      <c r="E342" s="610"/>
      <c r="F342" s="621">
        <f>'III. Inputs, Renewable Energy'!V191</f>
        <v>0</v>
      </c>
      <c r="G342" s="610"/>
      <c r="H342" s="610"/>
      <c r="I342" s="610"/>
      <c r="J342" s="610"/>
      <c r="K342" s="610"/>
      <c r="L342" s="610"/>
      <c r="M342" s="610"/>
      <c r="N342" s="610"/>
      <c r="O342" s="610"/>
      <c r="P342" s="610"/>
      <c r="Q342" s="610"/>
      <c r="R342" s="610"/>
      <c r="S342" s="610"/>
      <c r="T342" s="610"/>
      <c r="U342" s="610"/>
      <c r="V342" s="610"/>
      <c r="W342" s="610"/>
      <c r="X342" s="610"/>
      <c r="Y342" s="610"/>
      <c r="Z342" s="610"/>
      <c r="AA342" s="611"/>
    </row>
    <row r="343" spans="1:27" x14ac:dyDescent="0.25">
      <c r="B343" s="612"/>
      <c r="C343" s="610"/>
      <c r="D343" s="610"/>
      <c r="E343" s="610"/>
      <c r="F343" s="610"/>
      <c r="G343" s="610"/>
      <c r="H343" s="610"/>
      <c r="I343" s="610"/>
      <c r="J343" s="610"/>
      <c r="K343" s="610"/>
      <c r="L343" s="610"/>
      <c r="M343" s="610"/>
      <c r="N343" s="610"/>
      <c r="O343" s="610"/>
      <c r="P343" s="610"/>
      <c r="Q343" s="610"/>
      <c r="R343" s="610"/>
      <c r="S343" s="610"/>
      <c r="T343" s="610"/>
      <c r="U343" s="610"/>
      <c r="V343" s="610"/>
      <c r="W343" s="610"/>
      <c r="X343" s="610"/>
      <c r="Y343" s="610"/>
      <c r="Z343" s="610"/>
      <c r="AA343" s="611"/>
    </row>
    <row r="344" spans="1:27" x14ac:dyDescent="0.25">
      <c r="B344" s="612"/>
      <c r="C344" s="619" t="s">
        <v>71</v>
      </c>
      <c r="D344" s="610"/>
      <c r="E344" s="610"/>
      <c r="F344" s="610"/>
      <c r="G344" s="610"/>
      <c r="H344" s="610"/>
      <c r="I344" s="610"/>
      <c r="J344" s="610"/>
      <c r="K344" s="610"/>
      <c r="L344" s="610"/>
      <c r="M344" s="610"/>
      <c r="N344" s="610"/>
      <c r="O344" s="610"/>
      <c r="P344" s="610"/>
      <c r="Q344" s="610"/>
      <c r="R344" s="610"/>
      <c r="S344" s="610"/>
      <c r="T344" s="610"/>
      <c r="U344" s="610"/>
      <c r="V344" s="610"/>
      <c r="W344" s="610"/>
      <c r="X344" s="610"/>
      <c r="Y344" s="610"/>
      <c r="Z344" s="610"/>
      <c r="AA344" s="611"/>
    </row>
    <row r="345" spans="1:27" x14ac:dyDescent="0.25">
      <c r="B345" s="612"/>
      <c r="C345" s="610" t="str">
        <f>'III. Inputs, Renewable Energy'!$N$190</f>
        <v xml:space="preserve">Front-end Fee </v>
      </c>
      <c r="D345" s="610"/>
      <c r="E345" s="610"/>
      <c r="F345" s="610"/>
      <c r="G345" s="610"/>
      <c r="H345" s="1338">
        <f>IF(F339&gt;0, F339*F341/10000, 0)</f>
        <v>0</v>
      </c>
      <c r="I345" s="1342">
        <v>0</v>
      </c>
      <c r="J345" s="1342">
        <v>0</v>
      </c>
      <c r="K345" s="1342">
        <v>0</v>
      </c>
      <c r="L345" s="1342">
        <v>0</v>
      </c>
      <c r="M345" s="1342">
        <v>0</v>
      </c>
      <c r="N345" s="1342">
        <v>0</v>
      </c>
      <c r="O345" s="1342">
        <v>0</v>
      </c>
      <c r="P345" s="1342">
        <v>0</v>
      </c>
      <c r="Q345" s="1342">
        <v>0</v>
      </c>
      <c r="R345" s="1342">
        <v>0</v>
      </c>
      <c r="S345" s="1342">
        <v>0</v>
      </c>
      <c r="T345" s="1342">
        <v>0</v>
      </c>
      <c r="U345" s="1342">
        <v>0</v>
      </c>
      <c r="V345" s="1342">
        <v>0</v>
      </c>
      <c r="W345" s="1342">
        <v>0</v>
      </c>
      <c r="X345" s="1342">
        <v>0</v>
      </c>
      <c r="Y345" s="1342">
        <v>0</v>
      </c>
      <c r="Z345" s="1342">
        <v>0</v>
      </c>
      <c r="AA345" s="1343">
        <v>0</v>
      </c>
    </row>
    <row r="346" spans="1:27" x14ac:dyDescent="0.25">
      <c r="B346" s="612"/>
      <c r="C346" s="618" t="str">
        <f>'III. Inputs, Renewable Energy'!$N$191</f>
        <v xml:space="preserve">Annual Political Risk Insurance Premium </v>
      </c>
      <c r="D346" s="618"/>
      <c r="E346" s="618"/>
      <c r="F346" s="618"/>
      <c r="G346" s="618"/>
      <c r="H346" s="1340">
        <f>IF(H$196&gt;$F$340,0,($F$339*$F$342/10000))</f>
        <v>0</v>
      </c>
      <c r="I346" s="1340">
        <f t="shared" ref="I346:AA346" si="109">IF(I$196&gt;$F$340,0,($F$339*$F$342/10000))</f>
        <v>0</v>
      </c>
      <c r="J346" s="1340">
        <f t="shared" si="109"/>
        <v>0</v>
      </c>
      <c r="K346" s="1340">
        <f t="shared" si="109"/>
        <v>0</v>
      </c>
      <c r="L346" s="1340">
        <f t="shared" si="109"/>
        <v>0</v>
      </c>
      <c r="M346" s="1340">
        <f t="shared" si="109"/>
        <v>0</v>
      </c>
      <c r="N346" s="1340">
        <f t="shared" si="109"/>
        <v>0</v>
      </c>
      <c r="O346" s="1340">
        <f t="shared" si="109"/>
        <v>0</v>
      </c>
      <c r="P346" s="1340">
        <f t="shared" si="109"/>
        <v>0</v>
      </c>
      <c r="Q346" s="1340">
        <f t="shared" si="109"/>
        <v>0</v>
      </c>
      <c r="R346" s="1340">
        <f t="shared" si="109"/>
        <v>0</v>
      </c>
      <c r="S346" s="1340">
        <f t="shared" si="109"/>
        <v>0</v>
      </c>
      <c r="T346" s="1340">
        <f t="shared" si="109"/>
        <v>0</v>
      </c>
      <c r="U346" s="1340">
        <f t="shared" si="109"/>
        <v>0</v>
      </c>
      <c r="V346" s="1340">
        <f t="shared" si="109"/>
        <v>0</v>
      </c>
      <c r="W346" s="1340">
        <f t="shared" si="109"/>
        <v>0</v>
      </c>
      <c r="X346" s="1340">
        <f t="shared" si="109"/>
        <v>0</v>
      </c>
      <c r="Y346" s="1340">
        <f t="shared" si="109"/>
        <v>0</v>
      </c>
      <c r="Z346" s="1340">
        <f t="shared" si="109"/>
        <v>0</v>
      </c>
      <c r="AA346" s="1341">
        <f t="shared" si="109"/>
        <v>0</v>
      </c>
    </row>
    <row r="347" spans="1:27" x14ac:dyDescent="0.25">
      <c r="B347" s="612"/>
      <c r="C347" s="610" t="s">
        <v>85</v>
      </c>
      <c r="D347" s="610"/>
      <c r="E347" s="610"/>
      <c r="F347" s="610"/>
      <c r="G347" s="610"/>
      <c r="H347" s="1338">
        <f>H345+H346</f>
        <v>0</v>
      </c>
      <c r="I347" s="1338">
        <f t="shared" ref="I347:AA347" si="110">I345+I346</f>
        <v>0</v>
      </c>
      <c r="J347" s="1338">
        <f t="shared" si="110"/>
        <v>0</v>
      </c>
      <c r="K347" s="1338">
        <f t="shared" si="110"/>
        <v>0</v>
      </c>
      <c r="L347" s="1338">
        <f t="shared" si="110"/>
        <v>0</v>
      </c>
      <c r="M347" s="1338">
        <f t="shared" si="110"/>
        <v>0</v>
      </c>
      <c r="N347" s="1338">
        <f t="shared" si="110"/>
        <v>0</v>
      </c>
      <c r="O347" s="1338">
        <f t="shared" si="110"/>
        <v>0</v>
      </c>
      <c r="P347" s="1338">
        <f t="shared" si="110"/>
        <v>0</v>
      </c>
      <c r="Q347" s="1338">
        <f t="shared" si="110"/>
        <v>0</v>
      </c>
      <c r="R347" s="1338">
        <f t="shared" si="110"/>
        <v>0</v>
      </c>
      <c r="S347" s="1338">
        <f t="shared" si="110"/>
        <v>0</v>
      </c>
      <c r="T347" s="1338">
        <f t="shared" si="110"/>
        <v>0</v>
      </c>
      <c r="U347" s="1338">
        <f t="shared" si="110"/>
        <v>0</v>
      </c>
      <c r="V347" s="1338">
        <f t="shared" si="110"/>
        <v>0</v>
      </c>
      <c r="W347" s="1338">
        <f t="shared" si="110"/>
        <v>0</v>
      </c>
      <c r="X347" s="1338">
        <f t="shared" si="110"/>
        <v>0</v>
      </c>
      <c r="Y347" s="1338">
        <f t="shared" si="110"/>
        <v>0</v>
      </c>
      <c r="Z347" s="1338">
        <f t="shared" si="110"/>
        <v>0</v>
      </c>
      <c r="AA347" s="1339">
        <f t="shared" si="110"/>
        <v>0</v>
      </c>
    </row>
    <row r="348" spans="1:27" ht="13.8" thickBot="1" x14ac:dyDescent="0.3">
      <c r="B348" s="622"/>
      <c r="C348" s="623"/>
      <c r="D348" s="623"/>
      <c r="E348" s="623"/>
      <c r="F348" s="623"/>
      <c r="G348" s="623"/>
      <c r="H348" s="623"/>
      <c r="I348" s="623"/>
      <c r="J348" s="623"/>
      <c r="K348" s="623"/>
      <c r="L348" s="623"/>
      <c r="M348" s="623"/>
      <c r="N348" s="623"/>
      <c r="O348" s="623"/>
      <c r="P348" s="623"/>
      <c r="Q348" s="623"/>
      <c r="R348" s="623"/>
      <c r="S348" s="623"/>
      <c r="T348" s="623"/>
      <c r="U348" s="623"/>
      <c r="V348" s="623"/>
      <c r="W348" s="623"/>
      <c r="X348" s="623"/>
      <c r="Y348" s="623"/>
      <c r="Z348" s="623"/>
      <c r="AA348" s="624"/>
    </row>
    <row r="349" spans="1:27" s="19" customFormat="1" x14ac:dyDescent="0.25">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s="19" customFormat="1" x14ac:dyDescent="0.25">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s="8" customFormat="1" ht="12.75" customHeight="1" x14ac:dyDescent="0.25">
      <c r="A351" s="44" t="s">
        <v>264</v>
      </c>
      <c r="B351" s="44"/>
      <c r="C351" s="44"/>
      <c r="D351" s="44"/>
      <c r="E351" s="44"/>
      <c r="F351" s="44"/>
      <c r="G351" s="44"/>
      <c r="H351" s="44"/>
      <c r="I351" s="44"/>
      <c r="J351" s="45"/>
      <c r="K351" s="46"/>
      <c r="L351" s="46"/>
      <c r="M351" s="46"/>
      <c r="N351" s="46"/>
      <c r="O351" s="46"/>
      <c r="P351" s="46"/>
      <c r="Q351" s="46"/>
      <c r="R351" s="46"/>
      <c r="S351" s="46"/>
      <c r="T351" s="46"/>
      <c r="U351" s="46"/>
      <c r="V351" s="46"/>
      <c r="W351" s="46"/>
      <c r="X351" s="46"/>
      <c r="Y351" s="46"/>
      <c r="Z351" s="46"/>
      <c r="AA351" s="46"/>
    </row>
    <row r="352" spans="1:27" x14ac:dyDescent="0.25"/>
    <row r="353" spans="2:27" s="36" customFormat="1" x14ac:dyDescent="0.25">
      <c r="B353" s="214" t="s">
        <v>58</v>
      </c>
      <c r="C353" s="214"/>
      <c r="D353" s="215"/>
      <c r="E353" s="215"/>
      <c r="F353" s="216"/>
      <c r="G353" s="216">
        <v>0</v>
      </c>
      <c r="H353" s="216">
        <v>1</v>
      </c>
      <c r="I353" s="216">
        <v>2</v>
      </c>
      <c r="J353" s="216">
        <v>3</v>
      </c>
      <c r="K353" s="216">
        <v>4</v>
      </c>
      <c r="L353" s="216">
        <v>5</v>
      </c>
      <c r="M353" s="216">
        <v>6</v>
      </c>
      <c r="N353" s="216">
        <v>7</v>
      </c>
      <c r="O353" s="216">
        <v>8</v>
      </c>
      <c r="P353" s="216">
        <v>9</v>
      </c>
      <c r="Q353" s="216">
        <v>10</v>
      </c>
      <c r="R353" s="216">
        <v>11</v>
      </c>
      <c r="S353" s="216">
        <v>12</v>
      </c>
      <c r="T353" s="216">
        <v>13</v>
      </c>
      <c r="U353" s="216">
        <v>14</v>
      </c>
      <c r="V353" s="216">
        <v>15</v>
      </c>
      <c r="W353" s="216">
        <v>16</v>
      </c>
      <c r="X353" s="216">
        <v>17</v>
      </c>
      <c r="Y353" s="216">
        <v>18</v>
      </c>
      <c r="Z353" s="216">
        <v>19</v>
      </c>
      <c r="AA353" s="216">
        <v>20</v>
      </c>
    </row>
    <row r="354" spans="2:27" ht="13.8" thickBot="1" x14ac:dyDescent="0.3">
      <c r="F354" s="207"/>
    </row>
    <row r="355" spans="2:27" x14ac:dyDescent="0.25">
      <c r="B355" s="625" t="s">
        <v>504</v>
      </c>
      <c r="C355" s="626"/>
      <c r="D355" s="626"/>
      <c r="E355" s="626"/>
      <c r="F355" s="626"/>
      <c r="G355" s="626"/>
      <c r="H355" s="626"/>
      <c r="I355" s="626"/>
      <c r="J355" s="626"/>
      <c r="K355" s="626"/>
      <c r="L355" s="626"/>
      <c r="M355" s="626"/>
      <c r="N355" s="626"/>
      <c r="O355" s="626"/>
      <c r="P355" s="626"/>
      <c r="Q355" s="626"/>
      <c r="R355" s="626"/>
      <c r="S355" s="626"/>
      <c r="T355" s="626"/>
      <c r="U355" s="626"/>
      <c r="V355" s="626"/>
      <c r="W355" s="626"/>
      <c r="X355" s="626"/>
      <c r="Y355" s="626"/>
      <c r="Z355" s="626"/>
      <c r="AA355" s="627"/>
    </row>
    <row r="356" spans="2:27" x14ac:dyDescent="0.25">
      <c r="B356" s="628"/>
      <c r="C356" s="629"/>
      <c r="D356" s="629"/>
      <c r="E356" s="629"/>
      <c r="F356" s="629"/>
      <c r="G356" s="629"/>
      <c r="H356" s="629"/>
      <c r="I356" s="629"/>
      <c r="J356" s="629"/>
      <c r="K356" s="629"/>
      <c r="L356" s="629"/>
      <c r="M356" s="629"/>
      <c r="N356" s="629"/>
      <c r="O356" s="629"/>
      <c r="P356" s="629"/>
      <c r="Q356" s="629"/>
      <c r="R356" s="629"/>
      <c r="S356" s="629"/>
      <c r="T356" s="629"/>
      <c r="U356" s="629"/>
      <c r="V356" s="629"/>
      <c r="W356" s="629"/>
      <c r="X356" s="629"/>
      <c r="Y356" s="629"/>
      <c r="Z356" s="629"/>
      <c r="AA356" s="630"/>
    </row>
    <row r="357" spans="2:27" x14ac:dyDescent="0.25">
      <c r="B357" s="628"/>
      <c r="C357" s="631" t="s">
        <v>64</v>
      </c>
      <c r="D357" s="632">
        <f>'III. Inputs, Renewable Energy'!$U$16</f>
        <v>20</v>
      </c>
      <c r="E357" s="633" t="s">
        <v>20</v>
      </c>
      <c r="F357" s="629"/>
      <c r="G357" s="629"/>
      <c r="H357" s="629"/>
      <c r="I357" s="629"/>
      <c r="J357" s="629"/>
      <c r="K357" s="629"/>
      <c r="L357" s="629"/>
      <c r="M357" s="629"/>
      <c r="N357" s="629"/>
      <c r="O357" s="629"/>
      <c r="P357" s="629"/>
      <c r="Q357" s="629"/>
      <c r="R357" s="629"/>
      <c r="S357" s="629"/>
      <c r="T357" s="629"/>
      <c r="U357" s="629"/>
      <c r="V357" s="629"/>
      <c r="W357" s="629"/>
      <c r="X357" s="629"/>
      <c r="Y357" s="629"/>
      <c r="Z357" s="629"/>
      <c r="AA357" s="630"/>
    </row>
    <row r="358" spans="2:27" x14ac:dyDescent="0.25">
      <c r="B358" s="628"/>
      <c r="C358" s="629"/>
      <c r="D358" s="629"/>
      <c r="E358" s="629"/>
      <c r="F358" s="629"/>
      <c r="G358" s="629"/>
      <c r="H358" s="629"/>
      <c r="I358" s="629"/>
      <c r="J358" s="629"/>
      <c r="K358" s="629"/>
      <c r="L358" s="629"/>
      <c r="M358" s="629"/>
      <c r="N358" s="629"/>
      <c r="O358" s="629"/>
      <c r="P358" s="629"/>
      <c r="Q358" s="629"/>
      <c r="R358" s="629"/>
      <c r="S358" s="629"/>
      <c r="T358" s="629"/>
      <c r="U358" s="629"/>
      <c r="V358" s="629"/>
      <c r="W358" s="629"/>
      <c r="X358" s="629"/>
      <c r="Y358" s="629"/>
      <c r="Z358" s="629"/>
      <c r="AA358" s="630"/>
    </row>
    <row r="359" spans="2:27" x14ac:dyDescent="0.25">
      <c r="B359" s="628"/>
      <c r="C359" s="629" t="s">
        <v>59</v>
      </c>
      <c r="D359" s="629"/>
      <c r="E359" s="629"/>
      <c r="F359" s="629"/>
      <c r="G359" s="634"/>
      <c r="H359" s="635">
        <f>IF(H353&gt;$D$357,0,1/$D$357)</f>
        <v>0.05</v>
      </c>
      <c r="I359" s="635">
        <f t="shared" ref="I359:AA359" si="111">IF(I353&gt;$D$357,0,1/$D$357)</f>
        <v>0.05</v>
      </c>
      <c r="J359" s="635">
        <f t="shared" si="111"/>
        <v>0.05</v>
      </c>
      <c r="K359" s="635">
        <f t="shared" si="111"/>
        <v>0.05</v>
      </c>
      <c r="L359" s="635">
        <f t="shared" si="111"/>
        <v>0.05</v>
      </c>
      <c r="M359" s="635">
        <f t="shared" si="111"/>
        <v>0.05</v>
      </c>
      <c r="N359" s="635">
        <f t="shared" si="111"/>
        <v>0.05</v>
      </c>
      <c r="O359" s="635">
        <f t="shared" si="111"/>
        <v>0.05</v>
      </c>
      <c r="P359" s="635">
        <f t="shared" si="111"/>
        <v>0.05</v>
      </c>
      <c r="Q359" s="635">
        <f t="shared" si="111"/>
        <v>0.05</v>
      </c>
      <c r="R359" s="635">
        <f t="shared" si="111"/>
        <v>0.05</v>
      </c>
      <c r="S359" s="635">
        <f t="shared" si="111"/>
        <v>0.05</v>
      </c>
      <c r="T359" s="635">
        <f t="shared" si="111"/>
        <v>0.05</v>
      </c>
      <c r="U359" s="635">
        <f t="shared" si="111"/>
        <v>0.05</v>
      </c>
      <c r="V359" s="635">
        <f t="shared" si="111"/>
        <v>0.05</v>
      </c>
      <c r="W359" s="635">
        <f t="shared" si="111"/>
        <v>0.05</v>
      </c>
      <c r="X359" s="635">
        <f t="shared" si="111"/>
        <v>0.05</v>
      </c>
      <c r="Y359" s="635">
        <f t="shared" si="111"/>
        <v>0.05</v>
      </c>
      <c r="Z359" s="635">
        <f t="shared" si="111"/>
        <v>0.05</v>
      </c>
      <c r="AA359" s="636">
        <f t="shared" si="111"/>
        <v>0.05</v>
      </c>
    </row>
    <row r="360" spans="2:27" x14ac:dyDescent="0.25">
      <c r="B360" s="628"/>
      <c r="C360" s="629" t="s">
        <v>60</v>
      </c>
      <c r="D360" s="629"/>
      <c r="E360" s="629"/>
      <c r="F360" s="629"/>
      <c r="G360" s="637"/>
      <c r="H360" s="635">
        <v>0</v>
      </c>
      <c r="I360" s="635">
        <v>0</v>
      </c>
      <c r="J360" s="635">
        <v>0</v>
      </c>
      <c r="K360" s="635">
        <v>0</v>
      </c>
      <c r="L360" s="635">
        <v>0</v>
      </c>
      <c r="M360" s="635">
        <v>0</v>
      </c>
      <c r="N360" s="635">
        <v>0</v>
      </c>
      <c r="O360" s="635">
        <v>0</v>
      </c>
      <c r="P360" s="635">
        <v>0</v>
      </c>
      <c r="Q360" s="635">
        <v>0</v>
      </c>
      <c r="R360" s="635">
        <v>0</v>
      </c>
      <c r="S360" s="635">
        <v>0</v>
      </c>
      <c r="T360" s="635">
        <v>0</v>
      </c>
      <c r="U360" s="635">
        <v>0</v>
      </c>
      <c r="V360" s="635">
        <v>0</v>
      </c>
      <c r="W360" s="635">
        <v>0</v>
      </c>
      <c r="X360" s="635">
        <v>0</v>
      </c>
      <c r="Y360" s="635">
        <v>0</v>
      </c>
      <c r="Z360" s="635">
        <v>0</v>
      </c>
      <c r="AA360" s="636">
        <v>0</v>
      </c>
    </row>
    <row r="361" spans="2:27" x14ac:dyDescent="0.25">
      <c r="B361" s="628"/>
      <c r="C361" s="629"/>
      <c r="D361" s="629"/>
      <c r="E361" s="629"/>
      <c r="F361" s="629"/>
      <c r="G361" s="629"/>
      <c r="H361" s="629"/>
      <c r="I361" s="629"/>
      <c r="J361" s="629"/>
      <c r="K361" s="629"/>
      <c r="L361" s="629"/>
      <c r="M361" s="629"/>
      <c r="N361" s="629"/>
      <c r="O361" s="629"/>
      <c r="P361" s="629"/>
      <c r="Q361" s="629"/>
      <c r="R361" s="629"/>
      <c r="S361" s="629"/>
      <c r="T361" s="629"/>
      <c r="U361" s="629"/>
      <c r="V361" s="629"/>
      <c r="W361" s="629"/>
      <c r="X361" s="629"/>
      <c r="Y361" s="629"/>
      <c r="Z361" s="629"/>
      <c r="AA361" s="630"/>
    </row>
    <row r="362" spans="2:27" x14ac:dyDescent="0.25">
      <c r="B362" s="628"/>
      <c r="C362" s="629"/>
      <c r="D362" s="629"/>
      <c r="E362" s="629"/>
      <c r="F362" s="638" t="s">
        <v>61</v>
      </c>
      <c r="G362" s="638" t="s">
        <v>62</v>
      </c>
      <c r="H362" s="629"/>
      <c r="I362" s="629"/>
      <c r="J362" s="629"/>
      <c r="K362" s="629"/>
      <c r="L362" s="629"/>
      <c r="M362" s="629"/>
      <c r="N362" s="629"/>
      <c r="O362" s="629"/>
      <c r="P362" s="629"/>
      <c r="Q362" s="629"/>
      <c r="R362" s="629"/>
      <c r="S362" s="629"/>
      <c r="T362" s="629"/>
      <c r="U362" s="629"/>
      <c r="V362" s="629"/>
      <c r="W362" s="629"/>
      <c r="X362" s="629"/>
      <c r="Y362" s="629"/>
      <c r="Z362" s="629"/>
      <c r="AA362" s="630"/>
    </row>
    <row r="363" spans="2:27" x14ac:dyDescent="0.25">
      <c r="B363" s="628"/>
      <c r="C363" s="629" t="s">
        <v>57</v>
      </c>
      <c r="D363" s="629"/>
      <c r="E363" s="629"/>
      <c r="F363" s="635">
        <f>'III. Inputs, Renewable Energy'!S230</f>
        <v>0.95</v>
      </c>
      <c r="G363" s="1344">
        <f>'III. Inputs, Renewable Energy'!$U$14*'III. Inputs, Renewable Energy'!$U$15*F363</f>
        <v>831894890.51094866</v>
      </c>
      <c r="H363" s="1344">
        <f xml:space="preserve"> $G$363*H359</f>
        <v>41594744.525547437</v>
      </c>
      <c r="I363" s="1344">
        <f t="shared" ref="I363:AA363" si="112" xml:space="preserve"> $G$363*I359</f>
        <v>41594744.525547437</v>
      </c>
      <c r="J363" s="1344">
        <f t="shared" si="112"/>
        <v>41594744.525547437</v>
      </c>
      <c r="K363" s="1344">
        <f t="shared" si="112"/>
        <v>41594744.525547437</v>
      </c>
      <c r="L363" s="1344">
        <f t="shared" si="112"/>
        <v>41594744.525547437</v>
      </c>
      <c r="M363" s="1344">
        <f t="shared" si="112"/>
        <v>41594744.525547437</v>
      </c>
      <c r="N363" s="1344">
        <f t="shared" si="112"/>
        <v>41594744.525547437</v>
      </c>
      <c r="O363" s="1344">
        <f t="shared" si="112"/>
        <v>41594744.525547437</v>
      </c>
      <c r="P363" s="1344">
        <f t="shared" si="112"/>
        <v>41594744.525547437</v>
      </c>
      <c r="Q363" s="1344">
        <f t="shared" si="112"/>
        <v>41594744.525547437</v>
      </c>
      <c r="R363" s="1344">
        <f t="shared" si="112"/>
        <v>41594744.525547437</v>
      </c>
      <c r="S363" s="1344">
        <f t="shared" si="112"/>
        <v>41594744.525547437</v>
      </c>
      <c r="T363" s="1344">
        <f t="shared" si="112"/>
        <v>41594744.525547437</v>
      </c>
      <c r="U363" s="1344">
        <f t="shared" si="112"/>
        <v>41594744.525547437</v>
      </c>
      <c r="V363" s="1344">
        <f t="shared" si="112"/>
        <v>41594744.525547437</v>
      </c>
      <c r="W363" s="1344">
        <f t="shared" si="112"/>
        <v>41594744.525547437</v>
      </c>
      <c r="X363" s="1344">
        <f t="shared" si="112"/>
        <v>41594744.525547437</v>
      </c>
      <c r="Y363" s="1344">
        <f t="shared" si="112"/>
        <v>41594744.525547437</v>
      </c>
      <c r="Z363" s="1344">
        <f t="shared" si="112"/>
        <v>41594744.525547437</v>
      </c>
      <c r="AA363" s="1345">
        <f t="shared" si="112"/>
        <v>41594744.525547437</v>
      </c>
    </row>
    <row r="364" spans="2:27" x14ac:dyDescent="0.25">
      <c r="B364" s="628"/>
      <c r="C364" s="639" t="s">
        <v>18</v>
      </c>
      <c r="D364" s="639"/>
      <c r="E364" s="639"/>
      <c r="F364" s="640">
        <f>'III. Inputs, Renewable Energy'!S231</f>
        <v>0.05</v>
      </c>
      <c r="G364" s="1346">
        <f>'III. Inputs, Renewable Energy'!$U$14*'III. Inputs, Renewable Energy'!$U$15*F364</f>
        <v>43783941.605839409</v>
      </c>
      <c r="H364" s="1346">
        <f>$G$364*H360</f>
        <v>0</v>
      </c>
      <c r="I364" s="1346">
        <f t="shared" ref="I364:AA364" si="113">$G$364*I360</f>
        <v>0</v>
      </c>
      <c r="J364" s="1346">
        <f t="shared" si="113"/>
        <v>0</v>
      </c>
      <c r="K364" s="1346">
        <f t="shared" si="113"/>
        <v>0</v>
      </c>
      <c r="L364" s="1346">
        <f t="shared" si="113"/>
        <v>0</v>
      </c>
      <c r="M364" s="1346">
        <f t="shared" si="113"/>
        <v>0</v>
      </c>
      <c r="N364" s="1346">
        <f t="shared" si="113"/>
        <v>0</v>
      </c>
      <c r="O364" s="1346">
        <f t="shared" si="113"/>
        <v>0</v>
      </c>
      <c r="P364" s="1346">
        <f t="shared" si="113"/>
        <v>0</v>
      </c>
      <c r="Q364" s="1346">
        <f t="shared" si="113"/>
        <v>0</v>
      </c>
      <c r="R364" s="1346">
        <f t="shared" si="113"/>
        <v>0</v>
      </c>
      <c r="S364" s="1346">
        <f t="shared" si="113"/>
        <v>0</v>
      </c>
      <c r="T364" s="1346">
        <f t="shared" si="113"/>
        <v>0</v>
      </c>
      <c r="U364" s="1346">
        <f t="shared" si="113"/>
        <v>0</v>
      </c>
      <c r="V364" s="1346">
        <f t="shared" si="113"/>
        <v>0</v>
      </c>
      <c r="W364" s="1346">
        <f t="shared" si="113"/>
        <v>0</v>
      </c>
      <c r="X364" s="1346">
        <f t="shared" si="113"/>
        <v>0</v>
      </c>
      <c r="Y364" s="1346">
        <f t="shared" si="113"/>
        <v>0</v>
      </c>
      <c r="Z364" s="1346">
        <f t="shared" si="113"/>
        <v>0</v>
      </c>
      <c r="AA364" s="1347">
        <f t="shared" si="113"/>
        <v>0</v>
      </c>
    </row>
    <row r="365" spans="2:27" x14ac:dyDescent="0.25">
      <c r="B365" s="628"/>
      <c r="C365" s="629" t="s">
        <v>63</v>
      </c>
      <c r="D365" s="629"/>
      <c r="E365" s="629"/>
      <c r="F365" s="629"/>
      <c r="G365" s="1344">
        <f>G363+G364</f>
        <v>875678832.11678803</v>
      </c>
      <c r="H365" s="1344">
        <f>H363+H364</f>
        <v>41594744.525547437</v>
      </c>
      <c r="I365" s="1344">
        <f t="shared" ref="I365:AA365" si="114">I363+I364</f>
        <v>41594744.525547437</v>
      </c>
      <c r="J365" s="1344">
        <f t="shared" si="114"/>
        <v>41594744.525547437</v>
      </c>
      <c r="K365" s="1344">
        <f t="shared" si="114"/>
        <v>41594744.525547437</v>
      </c>
      <c r="L365" s="1344">
        <f t="shared" si="114"/>
        <v>41594744.525547437</v>
      </c>
      <c r="M365" s="1344">
        <f t="shared" si="114"/>
        <v>41594744.525547437</v>
      </c>
      <c r="N365" s="1344">
        <f t="shared" si="114"/>
        <v>41594744.525547437</v>
      </c>
      <c r="O365" s="1344">
        <f t="shared" si="114"/>
        <v>41594744.525547437</v>
      </c>
      <c r="P365" s="1344">
        <f t="shared" si="114"/>
        <v>41594744.525547437</v>
      </c>
      <c r="Q365" s="1344">
        <f t="shared" si="114"/>
        <v>41594744.525547437</v>
      </c>
      <c r="R365" s="1344">
        <f t="shared" si="114"/>
        <v>41594744.525547437</v>
      </c>
      <c r="S365" s="1344">
        <f t="shared" si="114"/>
        <v>41594744.525547437</v>
      </c>
      <c r="T365" s="1344">
        <f t="shared" si="114"/>
        <v>41594744.525547437</v>
      </c>
      <c r="U365" s="1344">
        <f t="shared" si="114"/>
        <v>41594744.525547437</v>
      </c>
      <c r="V365" s="1344">
        <f t="shared" si="114"/>
        <v>41594744.525547437</v>
      </c>
      <c r="W365" s="1344">
        <f t="shared" si="114"/>
        <v>41594744.525547437</v>
      </c>
      <c r="X365" s="1344">
        <f t="shared" si="114"/>
        <v>41594744.525547437</v>
      </c>
      <c r="Y365" s="1344">
        <f t="shared" si="114"/>
        <v>41594744.525547437</v>
      </c>
      <c r="Z365" s="1344">
        <f t="shared" si="114"/>
        <v>41594744.525547437</v>
      </c>
      <c r="AA365" s="1345">
        <f t="shared" si="114"/>
        <v>41594744.525547437</v>
      </c>
    </row>
    <row r="366" spans="2:27" x14ac:dyDescent="0.25">
      <c r="B366" s="628"/>
      <c r="C366" s="629"/>
      <c r="D366" s="629"/>
      <c r="E366" s="629"/>
      <c r="F366" s="629"/>
      <c r="G366" s="629"/>
      <c r="H366" s="629"/>
      <c r="I366" s="629"/>
      <c r="J366" s="629"/>
      <c r="K366" s="629"/>
      <c r="L366" s="629"/>
      <c r="M366" s="629"/>
      <c r="N366" s="629"/>
      <c r="O366" s="629"/>
      <c r="P366" s="629"/>
      <c r="Q366" s="629"/>
      <c r="R366" s="629"/>
      <c r="S366" s="629"/>
      <c r="T366" s="629"/>
      <c r="U366" s="629"/>
      <c r="V366" s="629"/>
      <c r="W366" s="629"/>
      <c r="X366" s="629"/>
      <c r="Y366" s="629"/>
      <c r="Z366" s="629"/>
      <c r="AA366" s="630"/>
    </row>
    <row r="367" spans="2:27" ht="13.8" thickBot="1" x14ac:dyDescent="0.3">
      <c r="B367" s="641"/>
      <c r="C367" s="642"/>
      <c r="D367" s="642"/>
      <c r="E367" s="642"/>
      <c r="F367" s="642"/>
      <c r="G367" s="642"/>
      <c r="H367" s="642"/>
      <c r="I367" s="642"/>
      <c r="J367" s="642"/>
      <c r="K367" s="642"/>
      <c r="L367" s="642"/>
      <c r="M367" s="642"/>
      <c r="N367" s="642"/>
      <c r="O367" s="642"/>
      <c r="P367" s="642"/>
      <c r="Q367" s="642"/>
      <c r="R367" s="642"/>
      <c r="S367" s="642"/>
      <c r="T367" s="642"/>
      <c r="U367" s="642"/>
      <c r="V367" s="642"/>
      <c r="W367" s="642"/>
      <c r="X367" s="642"/>
      <c r="Y367" s="642"/>
      <c r="Z367" s="642"/>
      <c r="AA367" s="643"/>
    </row>
    <row r="368" spans="2:27" ht="13.8" thickBot="1" x14ac:dyDescent="0.3"/>
    <row r="369" spans="2:27" x14ac:dyDescent="0.25">
      <c r="B369" s="573" t="s">
        <v>496</v>
      </c>
      <c r="C369" s="64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5"/>
    </row>
    <row r="370" spans="2:27" x14ac:dyDescent="0.25">
      <c r="B370" s="576"/>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577"/>
    </row>
    <row r="371" spans="2:27" x14ac:dyDescent="0.25">
      <c r="B371" s="576"/>
      <c r="C371" s="645" t="s">
        <v>64</v>
      </c>
      <c r="D371" s="646">
        <f>'III. Inputs, Renewable Energy'!$U$16</f>
        <v>20</v>
      </c>
      <c r="E371" s="647" t="s">
        <v>20</v>
      </c>
      <c r="F371" s="38"/>
      <c r="G371" s="38"/>
      <c r="H371" s="38"/>
      <c r="I371" s="38"/>
      <c r="J371" s="38"/>
      <c r="K371" s="38"/>
      <c r="L371" s="38"/>
      <c r="M371" s="38"/>
      <c r="N371" s="38"/>
      <c r="O371" s="38"/>
      <c r="P371" s="38"/>
      <c r="Q371" s="38"/>
      <c r="R371" s="38"/>
      <c r="S371" s="38"/>
      <c r="T371" s="38"/>
      <c r="U371" s="38"/>
      <c r="V371" s="38"/>
      <c r="W371" s="38"/>
      <c r="X371" s="38"/>
      <c r="Y371" s="38"/>
      <c r="Z371" s="38"/>
      <c r="AA371" s="577"/>
    </row>
    <row r="372" spans="2:27" x14ac:dyDescent="0.25">
      <c r="B372" s="576"/>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577"/>
    </row>
    <row r="373" spans="2:27" x14ac:dyDescent="0.25">
      <c r="B373" s="576"/>
      <c r="C373" s="38" t="s">
        <v>59</v>
      </c>
      <c r="D373" s="38"/>
      <c r="E373" s="38"/>
      <c r="F373" s="38"/>
      <c r="G373" s="648"/>
      <c r="H373" s="581">
        <f>IF(H353&gt;$D$371,0,1/$D$371)</f>
        <v>0.05</v>
      </c>
      <c r="I373" s="581">
        <f t="shared" ref="I373:AA373" si="115">IF(I353&gt;$D$371,0,1/$D$371)</f>
        <v>0.05</v>
      </c>
      <c r="J373" s="581">
        <f t="shared" si="115"/>
        <v>0.05</v>
      </c>
      <c r="K373" s="581">
        <f t="shared" si="115"/>
        <v>0.05</v>
      </c>
      <c r="L373" s="581">
        <f t="shared" si="115"/>
        <v>0.05</v>
      </c>
      <c r="M373" s="581">
        <f t="shared" si="115"/>
        <v>0.05</v>
      </c>
      <c r="N373" s="581">
        <f t="shared" si="115"/>
        <v>0.05</v>
      </c>
      <c r="O373" s="581">
        <f t="shared" si="115"/>
        <v>0.05</v>
      </c>
      <c r="P373" s="581">
        <f t="shared" si="115"/>
        <v>0.05</v>
      </c>
      <c r="Q373" s="581">
        <f t="shared" si="115"/>
        <v>0.05</v>
      </c>
      <c r="R373" s="581">
        <f t="shared" si="115"/>
        <v>0.05</v>
      </c>
      <c r="S373" s="581">
        <f t="shared" si="115"/>
        <v>0.05</v>
      </c>
      <c r="T373" s="581">
        <f t="shared" si="115"/>
        <v>0.05</v>
      </c>
      <c r="U373" s="581">
        <f t="shared" si="115"/>
        <v>0.05</v>
      </c>
      <c r="V373" s="581">
        <f t="shared" si="115"/>
        <v>0.05</v>
      </c>
      <c r="W373" s="581">
        <f t="shared" si="115"/>
        <v>0.05</v>
      </c>
      <c r="X373" s="581">
        <f t="shared" si="115"/>
        <v>0.05</v>
      </c>
      <c r="Y373" s="581">
        <f t="shared" si="115"/>
        <v>0.05</v>
      </c>
      <c r="Z373" s="581">
        <f t="shared" si="115"/>
        <v>0.05</v>
      </c>
      <c r="AA373" s="649">
        <f t="shared" si="115"/>
        <v>0.05</v>
      </c>
    </row>
    <row r="374" spans="2:27" x14ac:dyDescent="0.25">
      <c r="B374" s="576"/>
      <c r="C374" s="38" t="s">
        <v>60</v>
      </c>
      <c r="D374" s="38"/>
      <c r="E374" s="38"/>
      <c r="F374" s="38"/>
      <c r="G374" s="650"/>
      <c r="H374" s="581">
        <v>0</v>
      </c>
      <c r="I374" s="581">
        <v>0</v>
      </c>
      <c r="J374" s="581">
        <v>0</v>
      </c>
      <c r="K374" s="581">
        <v>0</v>
      </c>
      <c r="L374" s="581">
        <v>0</v>
      </c>
      <c r="M374" s="581">
        <v>0</v>
      </c>
      <c r="N374" s="581">
        <v>0</v>
      </c>
      <c r="O374" s="581">
        <v>0</v>
      </c>
      <c r="P374" s="581">
        <v>0</v>
      </c>
      <c r="Q374" s="581">
        <v>0</v>
      </c>
      <c r="R374" s="581">
        <v>0</v>
      </c>
      <c r="S374" s="581">
        <v>0</v>
      </c>
      <c r="T374" s="581">
        <v>0</v>
      </c>
      <c r="U374" s="581">
        <v>0</v>
      </c>
      <c r="V374" s="581">
        <v>0</v>
      </c>
      <c r="W374" s="581">
        <v>0</v>
      </c>
      <c r="X374" s="581">
        <v>0</v>
      </c>
      <c r="Y374" s="581">
        <v>0</v>
      </c>
      <c r="Z374" s="581">
        <v>0</v>
      </c>
      <c r="AA374" s="649">
        <v>0</v>
      </c>
    </row>
    <row r="375" spans="2:27" x14ac:dyDescent="0.25">
      <c r="B375" s="576"/>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577"/>
    </row>
    <row r="376" spans="2:27" x14ac:dyDescent="0.25">
      <c r="B376" s="576"/>
      <c r="C376" s="38"/>
      <c r="D376" s="38"/>
      <c r="E376" s="38"/>
      <c r="F376" s="598" t="s">
        <v>61</v>
      </c>
      <c r="G376" s="598" t="s">
        <v>62</v>
      </c>
      <c r="H376" s="38"/>
      <c r="I376" s="38"/>
      <c r="J376" s="38"/>
      <c r="K376" s="38"/>
      <c r="L376" s="38"/>
      <c r="M376" s="38"/>
      <c r="N376" s="38"/>
      <c r="O376" s="38"/>
      <c r="P376" s="38"/>
      <c r="Q376" s="38"/>
      <c r="R376" s="38"/>
      <c r="S376" s="38"/>
      <c r="T376" s="38"/>
      <c r="U376" s="38"/>
      <c r="V376" s="38"/>
      <c r="W376" s="38"/>
      <c r="X376" s="38"/>
      <c r="Y376" s="38"/>
      <c r="Z376" s="38"/>
      <c r="AA376" s="577"/>
    </row>
    <row r="377" spans="2:27" x14ac:dyDescent="0.25">
      <c r="B377" s="576"/>
      <c r="C377" s="38" t="s">
        <v>57</v>
      </c>
      <c r="D377" s="38"/>
      <c r="E377" s="38"/>
      <c r="F377" s="581">
        <f>'III. Inputs, Renewable Energy'!V230</f>
        <v>0.95</v>
      </c>
      <c r="G377" s="1328">
        <f>'III. Inputs, Renewable Energy'!$U$14*'III. Inputs, Renewable Energy'!$U$15*F377</f>
        <v>831894890.51094866</v>
      </c>
      <c r="H377" s="1328">
        <f>$G$377*H373</f>
        <v>41594744.525547437</v>
      </c>
      <c r="I377" s="1328">
        <f t="shared" ref="I377:AA377" si="116">$G$377*I373</f>
        <v>41594744.525547437</v>
      </c>
      <c r="J377" s="1328">
        <f t="shared" si="116"/>
        <v>41594744.525547437</v>
      </c>
      <c r="K377" s="1328">
        <f t="shared" si="116"/>
        <v>41594744.525547437</v>
      </c>
      <c r="L377" s="1328">
        <f t="shared" si="116"/>
        <v>41594744.525547437</v>
      </c>
      <c r="M377" s="1328">
        <f t="shared" si="116"/>
        <v>41594744.525547437</v>
      </c>
      <c r="N377" s="1328">
        <f t="shared" si="116"/>
        <v>41594744.525547437</v>
      </c>
      <c r="O377" s="1328">
        <f t="shared" si="116"/>
        <v>41594744.525547437</v>
      </c>
      <c r="P377" s="1328">
        <f t="shared" si="116"/>
        <v>41594744.525547437</v>
      </c>
      <c r="Q377" s="1328">
        <f t="shared" si="116"/>
        <v>41594744.525547437</v>
      </c>
      <c r="R377" s="1328">
        <f t="shared" si="116"/>
        <v>41594744.525547437</v>
      </c>
      <c r="S377" s="1328">
        <f t="shared" si="116"/>
        <v>41594744.525547437</v>
      </c>
      <c r="T377" s="1328">
        <f t="shared" si="116"/>
        <v>41594744.525547437</v>
      </c>
      <c r="U377" s="1328">
        <f t="shared" si="116"/>
        <v>41594744.525547437</v>
      </c>
      <c r="V377" s="1328">
        <f t="shared" si="116"/>
        <v>41594744.525547437</v>
      </c>
      <c r="W377" s="1328">
        <f t="shared" si="116"/>
        <v>41594744.525547437</v>
      </c>
      <c r="X377" s="1328">
        <f t="shared" si="116"/>
        <v>41594744.525547437</v>
      </c>
      <c r="Y377" s="1328">
        <f t="shared" si="116"/>
        <v>41594744.525547437</v>
      </c>
      <c r="Z377" s="1328">
        <f t="shared" si="116"/>
        <v>41594744.525547437</v>
      </c>
      <c r="AA377" s="1331">
        <f t="shared" si="116"/>
        <v>41594744.525547437</v>
      </c>
    </row>
    <row r="378" spans="2:27" x14ac:dyDescent="0.25">
      <c r="B378" s="576"/>
      <c r="C378" s="39" t="s">
        <v>18</v>
      </c>
      <c r="D378" s="39"/>
      <c r="E378" s="39"/>
      <c r="F378" s="651">
        <f>'III. Inputs, Renewable Energy'!V231</f>
        <v>0.05</v>
      </c>
      <c r="G378" s="1332">
        <f>'III. Inputs, Renewable Energy'!$U$14*'III. Inputs, Renewable Energy'!$U$15*F378</f>
        <v>43783941.605839409</v>
      </c>
      <c r="H378" s="1332">
        <f>$G$378*H374</f>
        <v>0</v>
      </c>
      <c r="I378" s="1332">
        <f t="shared" ref="I378:AA378" si="117">$G$378*I374</f>
        <v>0</v>
      </c>
      <c r="J378" s="1332">
        <f t="shared" si="117"/>
        <v>0</v>
      </c>
      <c r="K378" s="1332">
        <f t="shared" si="117"/>
        <v>0</v>
      </c>
      <c r="L378" s="1332">
        <f t="shared" si="117"/>
        <v>0</v>
      </c>
      <c r="M378" s="1332">
        <f t="shared" si="117"/>
        <v>0</v>
      </c>
      <c r="N378" s="1332">
        <f t="shared" si="117"/>
        <v>0</v>
      </c>
      <c r="O378" s="1332">
        <f t="shared" si="117"/>
        <v>0</v>
      </c>
      <c r="P378" s="1332">
        <f t="shared" si="117"/>
        <v>0</v>
      </c>
      <c r="Q378" s="1332">
        <f t="shared" si="117"/>
        <v>0</v>
      </c>
      <c r="R378" s="1332">
        <f t="shared" si="117"/>
        <v>0</v>
      </c>
      <c r="S378" s="1332">
        <f t="shared" si="117"/>
        <v>0</v>
      </c>
      <c r="T378" s="1332">
        <f t="shared" si="117"/>
        <v>0</v>
      </c>
      <c r="U378" s="1332">
        <f t="shared" si="117"/>
        <v>0</v>
      </c>
      <c r="V378" s="1332">
        <f t="shared" si="117"/>
        <v>0</v>
      </c>
      <c r="W378" s="1332">
        <f t="shared" si="117"/>
        <v>0</v>
      </c>
      <c r="X378" s="1332">
        <f t="shared" si="117"/>
        <v>0</v>
      </c>
      <c r="Y378" s="1332">
        <f t="shared" si="117"/>
        <v>0</v>
      </c>
      <c r="Z378" s="1332">
        <f t="shared" si="117"/>
        <v>0</v>
      </c>
      <c r="AA378" s="1333">
        <f t="shared" si="117"/>
        <v>0</v>
      </c>
    </row>
    <row r="379" spans="2:27" x14ac:dyDescent="0.25">
      <c r="B379" s="576"/>
      <c r="C379" s="38" t="s">
        <v>63</v>
      </c>
      <c r="D379" s="38"/>
      <c r="E379" s="38"/>
      <c r="F379" s="38"/>
      <c r="G379" s="1328">
        <f>G377+G378</f>
        <v>875678832.11678803</v>
      </c>
      <c r="H379" s="1328">
        <f>H377+H378</f>
        <v>41594744.525547437</v>
      </c>
      <c r="I379" s="1328">
        <f t="shared" ref="I379:AA379" si="118">I377+I378</f>
        <v>41594744.525547437</v>
      </c>
      <c r="J379" s="1328">
        <f t="shared" si="118"/>
        <v>41594744.525547437</v>
      </c>
      <c r="K379" s="1328">
        <f t="shared" si="118"/>
        <v>41594744.525547437</v>
      </c>
      <c r="L379" s="1328">
        <f t="shared" si="118"/>
        <v>41594744.525547437</v>
      </c>
      <c r="M379" s="1328">
        <f t="shared" si="118"/>
        <v>41594744.525547437</v>
      </c>
      <c r="N379" s="1328">
        <f t="shared" si="118"/>
        <v>41594744.525547437</v>
      </c>
      <c r="O379" s="1328">
        <f t="shared" si="118"/>
        <v>41594744.525547437</v>
      </c>
      <c r="P379" s="1328">
        <f t="shared" si="118"/>
        <v>41594744.525547437</v>
      </c>
      <c r="Q379" s="1328">
        <f t="shared" si="118"/>
        <v>41594744.525547437</v>
      </c>
      <c r="R379" s="1328">
        <f t="shared" si="118"/>
        <v>41594744.525547437</v>
      </c>
      <c r="S379" s="1328">
        <f t="shared" si="118"/>
        <v>41594744.525547437</v>
      </c>
      <c r="T379" s="1328">
        <f t="shared" si="118"/>
        <v>41594744.525547437</v>
      </c>
      <c r="U379" s="1328">
        <f t="shared" si="118"/>
        <v>41594744.525547437</v>
      </c>
      <c r="V379" s="1328">
        <f t="shared" si="118"/>
        <v>41594744.525547437</v>
      </c>
      <c r="W379" s="1328">
        <f t="shared" si="118"/>
        <v>41594744.525547437</v>
      </c>
      <c r="X379" s="1328">
        <f t="shared" si="118"/>
        <v>41594744.525547437</v>
      </c>
      <c r="Y379" s="1328">
        <f t="shared" si="118"/>
        <v>41594744.525547437</v>
      </c>
      <c r="Z379" s="1328">
        <f t="shared" si="118"/>
        <v>41594744.525547437</v>
      </c>
      <c r="AA379" s="1331">
        <f t="shared" si="118"/>
        <v>41594744.525547437</v>
      </c>
    </row>
    <row r="380" spans="2:27" x14ac:dyDescent="0.25">
      <c r="B380" s="576"/>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577"/>
    </row>
    <row r="381" spans="2:27" ht="13.8" thickBot="1" x14ac:dyDescent="0.3">
      <c r="B381" s="599"/>
      <c r="C381" s="592"/>
      <c r="D381" s="592"/>
      <c r="E381" s="592"/>
      <c r="F381" s="592"/>
      <c r="G381" s="592"/>
      <c r="H381" s="592"/>
      <c r="I381" s="592"/>
      <c r="J381" s="592"/>
      <c r="K381" s="592"/>
      <c r="L381" s="592"/>
      <c r="M381" s="592"/>
      <c r="N381" s="592"/>
      <c r="O381" s="592"/>
      <c r="P381" s="592"/>
      <c r="Q381" s="592"/>
      <c r="R381" s="592"/>
      <c r="S381" s="592"/>
      <c r="T381" s="592"/>
      <c r="U381" s="592"/>
      <c r="V381" s="592"/>
      <c r="W381" s="592"/>
      <c r="X381" s="592"/>
      <c r="Y381" s="592"/>
      <c r="Z381" s="592"/>
      <c r="AA381" s="593"/>
    </row>
    <row r="382" spans="2:27" x14ac:dyDescent="0.25">
      <c r="F382" s="683"/>
    </row>
    <row r="383" spans="2:27" hidden="1" x14ac:dyDescent="0.25"/>
    <row r="384" spans="2:27" hidden="1" x14ac:dyDescent="0.25"/>
    <row r="385" hidden="1" x14ac:dyDescent="0.25"/>
    <row r="386" hidden="1" x14ac:dyDescent="0.25"/>
    <row r="387" hidden="1" x14ac:dyDescent="0.25"/>
    <row r="388" hidden="1" x14ac:dyDescent="0.25"/>
    <row r="389" hidden="1" x14ac:dyDescent="0.25"/>
    <row r="390" x14ac:dyDescent="0.25"/>
  </sheetData>
  <sheetProtection formatCells="0" formatColumns="0" formatRows="0" insertColumns="0" insertRows="0"/>
  <pageMargins left="0.7" right="0.7" top="0.75" bottom="0.75" header="0.3" footer="0.3"/>
  <pageSetup scale="30" fitToHeight="0" orientation="landscape" horizontalDpi="4294967293"/>
  <headerFooter>
    <oddFooter>&amp;L&amp;A&amp;R&amp;P of &amp;N</oddFooter>
  </headerFooter>
  <rowBreaks count="2" manualBreakCount="2">
    <brk id="192" max="16383" man="1"/>
    <brk id="272" max="16383" man="1"/>
  </rowBreaks>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B390"/>
  <sheetViews>
    <sheetView showGridLines="0" zoomScale="85" zoomScaleNormal="85" zoomScalePageLayoutView="85" workbookViewId="0">
      <pane xSplit="8" ySplit="23" topLeftCell="I24" activePane="bottomRight" state="frozen"/>
      <selection pane="topRight" activeCell="I1" sqref="I1"/>
      <selection pane="bottomLeft" activeCell="A24" sqref="A24"/>
      <selection pane="bottomRight" activeCell="I24" sqref="I24"/>
    </sheetView>
  </sheetViews>
  <sheetFormatPr defaultColWidth="0" defaultRowHeight="13.2" zeroHeight="1" outlineLevelRow="1" x14ac:dyDescent="0.25"/>
  <cols>
    <col min="1" max="2" width="1.6640625" style="12" customWidth="1"/>
    <col min="3" max="3" width="41.6640625" style="12" bestFit="1" customWidth="1"/>
    <col min="4" max="4" width="9.109375" style="12" customWidth="1"/>
    <col min="5" max="5" width="16.44140625" style="12" customWidth="1"/>
    <col min="6" max="6" width="16" style="12" bestFit="1" customWidth="1"/>
    <col min="7" max="27" width="15.109375" style="12" customWidth="1"/>
    <col min="28" max="28" width="1" style="12" customWidth="1"/>
    <col min="29" max="16384" width="0" style="12" hidden="1"/>
  </cols>
  <sheetData>
    <row r="1" spans="1:27" x14ac:dyDescent="0.25">
      <c r="A1" s="707" t="s">
        <v>630</v>
      </c>
    </row>
    <row r="2" spans="1:27" x14ac:dyDescent="0.25"/>
    <row r="3" spans="1:27" s="58" customFormat="1" x14ac:dyDescent="0.25">
      <c r="A3" s="5" t="s">
        <v>505</v>
      </c>
      <c r="B3" s="5"/>
      <c r="C3" s="5"/>
      <c r="D3" s="5"/>
      <c r="E3" s="5"/>
      <c r="F3" s="5"/>
      <c r="G3" s="5"/>
      <c r="H3" s="5"/>
      <c r="I3" s="5"/>
      <c r="J3" s="5"/>
      <c r="K3" s="6"/>
      <c r="L3" s="6"/>
      <c r="M3" s="7"/>
      <c r="N3" s="7"/>
      <c r="O3" s="6"/>
      <c r="P3" s="6"/>
      <c r="Q3" s="6"/>
      <c r="R3" s="6"/>
      <c r="S3" s="6"/>
      <c r="T3" s="6"/>
      <c r="U3" s="6"/>
      <c r="V3" s="6"/>
      <c r="W3" s="6"/>
      <c r="X3" s="6"/>
      <c r="Y3" s="6"/>
      <c r="Z3" s="6"/>
      <c r="AA3" s="6"/>
    </row>
    <row r="4" spans="1:27" s="8" customFormat="1" ht="12.75" customHeight="1" x14ac:dyDescent="0.25">
      <c r="Q4" s="1117"/>
      <c r="R4" s="1117"/>
      <c r="S4" s="1117"/>
      <c r="V4" s="1116"/>
      <c r="W4" s="1116"/>
      <c r="X4" s="1116"/>
      <c r="Y4" s="1116"/>
      <c r="Z4" s="1116"/>
      <c r="AA4" s="1116"/>
    </row>
    <row r="5" spans="1:27" s="8" customFormat="1" ht="12.75" customHeight="1" x14ac:dyDescent="0.25">
      <c r="B5" s="8" t="s">
        <v>214</v>
      </c>
      <c r="T5" s="50"/>
      <c r="W5" s="50"/>
      <c r="X5" s="50"/>
      <c r="Y5" s="50"/>
      <c r="Z5" s="50"/>
      <c r="AA5" s="50"/>
    </row>
    <row r="6" spans="1:27" s="8" customFormat="1" ht="12.75" customHeight="1" x14ac:dyDescent="0.25">
      <c r="C6" s="8" t="s">
        <v>519</v>
      </c>
      <c r="T6" s="51"/>
      <c r="W6" s="51"/>
      <c r="X6" s="51"/>
      <c r="Y6" s="51"/>
      <c r="Z6" s="51"/>
      <c r="AA6" s="51"/>
    </row>
    <row r="7" spans="1:27" s="8" customFormat="1" ht="12.75" customHeight="1" x14ac:dyDescent="0.25">
      <c r="C7" s="8" t="s">
        <v>520</v>
      </c>
      <c r="T7" s="51"/>
      <c r="W7" s="51"/>
      <c r="X7" s="51"/>
      <c r="Y7" s="51"/>
      <c r="Z7" s="51"/>
      <c r="AA7" s="51"/>
    </row>
    <row r="8" spans="1:27" s="8" customFormat="1" ht="12.75" customHeight="1" x14ac:dyDescent="0.25">
      <c r="C8" s="8" t="s">
        <v>333</v>
      </c>
      <c r="T8" s="50"/>
      <c r="W8" s="50"/>
      <c r="X8" s="50"/>
      <c r="Y8" s="50"/>
      <c r="Z8" s="50"/>
      <c r="AA8" s="50"/>
    </row>
    <row r="9" spans="1:27" s="8" customFormat="1" x14ac:dyDescent="0.25">
      <c r="C9" s="8" t="s">
        <v>265</v>
      </c>
      <c r="Q9" s="1117"/>
      <c r="R9" s="1117"/>
      <c r="S9" s="1117"/>
    </row>
    <row r="10" spans="1:27" s="8" customFormat="1" ht="12.75" customHeight="1" x14ac:dyDescent="0.25">
      <c r="Q10" s="1117"/>
      <c r="R10" s="1117"/>
      <c r="S10" s="1117"/>
    </row>
    <row r="11" spans="1:27" s="8" customFormat="1" ht="12.75" customHeight="1" x14ac:dyDescent="0.25">
      <c r="A11" s="44" t="s">
        <v>506</v>
      </c>
      <c r="B11" s="44"/>
      <c r="C11" s="44"/>
      <c r="D11" s="44"/>
      <c r="E11" s="44"/>
      <c r="F11" s="44"/>
      <c r="G11" s="44"/>
      <c r="H11" s="44"/>
      <c r="I11" s="44"/>
      <c r="J11" s="45"/>
      <c r="K11" s="46"/>
      <c r="L11" s="46"/>
      <c r="M11" s="46"/>
      <c r="N11" s="46"/>
      <c r="O11" s="46"/>
      <c r="P11" s="46"/>
      <c r="Q11" s="46"/>
      <c r="R11" s="46"/>
      <c r="S11" s="46"/>
      <c r="T11" s="46"/>
      <c r="U11" s="46"/>
      <c r="V11" s="46"/>
      <c r="W11" s="46"/>
      <c r="X11" s="46"/>
      <c r="Y11" s="46"/>
      <c r="Z11" s="46"/>
      <c r="AA11" s="46"/>
    </row>
    <row r="12" spans="1:27" x14ac:dyDescent="0.25"/>
    <row r="13" spans="1:27" ht="13.95" thickBot="1" x14ac:dyDescent="0.3">
      <c r="B13" s="36"/>
    </row>
    <row r="14" spans="1:27" x14ac:dyDescent="0.25">
      <c r="B14" s="538" t="s">
        <v>507</v>
      </c>
      <c r="C14" s="539"/>
      <c r="D14" s="539"/>
      <c r="E14" s="539"/>
      <c r="F14" s="539"/>
      <c r="G14" s="539"/>
      <c r="H14" s="539"/>
      <c r="I14" s="539"/>
      <c r="J14" s="539"/>
      <c r="K14" s="539"/>
      <c r="L14" s="539"/>
      <c r="M14" s="539"/>
      <c r="N14" s="539"/>
      <c r="O14" s="539"/>
      <c r="P14" s="539"/>
      <c r="Q14" s="539"/>
      <c r="R14" s="539"/>
      <c r="S14" s="539"/>
      <c r="T14" s="539"/>
      <c r="U14" s="539"/>
      <c r="V14" s="539"/>
      <c r="W14" s="539"/>
      <c r="X14" s="539"/>
      <c r="Y14" s="539"/>
      <c r="Z14" s="539"/>
      <c r="AA14" s="540"/>
    </row>
    <row r="15" spans="1:27" x14ac:dyDescent="0.25">
      <c r="B15" s="541"/>
      <c r="C15" s="542"/>
      <c r="D15" s="542"/>
      <c r="E15" s="542"/>
      <c r="F15" s="542"/>
      <c r="G15" s="542"/>
      <c r="H15" s="542"/>
      <c r="I15" s="542"/>
      <c r="J15" s="542"/>
      <c r="K15" s="542"/>
      <c r="L15" s="542"/>
      <c r="M15" s="542"/>
      <c r="N15" s="542"/>
      <c r="O15" s="542"/>
      <c r="P15" s="542"/>
      <c r="Q15" s="542"/>
      <c r="R15" s="542"/>
      <c r="S15" s="542"/>
      <c r="T15" s="542"/>
      <c r="U15" s="542"/>
      <c r="V15" s="542"/>
      <c r="W15" s="542"/>
      <c r="X15" s="542"/>
      <c r="Y15" s="542"/>
      <c r="Z15" s="542"/>
      <c r="AA15" s="543"/>
    </row>
    <row r="16" spans="1:27" x14ac:dyDescent="0.25">
      <c r="B16" s="544" t="s">
        <v>58</v>
      </c>
      <c r="C16" s="545"/>
      <c r="D16" s="545"/>
      <c r="E16" s="546"/>
      <c r="F16" s="545"/>
      <c r="G16" s="546">
        <v>0</v>
      </c>
      <c r="H16" s="546">
        <v>1</v>
      </c>
      <c r="I16" s="546">
        <v>2</v>
      </c>
      <c r="J16" s="546">
        <v>3</v>
      </c>
      <c r="K16" s="546">
        <v>4</v>
      </c>
      <c r="L16" s="546">
        <v>5</v>
      </c>
      <c r="M16" s="546">
        <v>6</v>
      </c>
      <c r="N16" s="546">
        <v>7</v>
      </c>
      <c r="O16" s="546">
        <v>8</v>
      </c>
      <c r="P16" s="546">
        <v>9</v>
      </c>
      <c r="Q16" s="546">
        <v>10</v>
      </c>
      <c r="R16" s="546">
        <v>11</v>
      </c>
      <c r="S16" s="546">
        <v>12</v>
      </c>
      <c r="T16" s="546">
        <v>13</v>
      </c>
      <c r="U16" s="546">
        <v>14</v>
      </c>
      <c r="V16" s="546">
        <v>15</v>
      </c>
      <c r="W16" s="546">
        <v>16</v>
      </c>
      <c r="X16" s="546">
        <v>17</v>
      </c>
      <c r="Y16" s="546">
        <v>18</v>
      </c>
      <c r="Z16" s="546">
        <v>19</v>
      </c>
      <c r="AA16" s="547">
        <v>20</v>
      </c>
    </row>
    <row r="17" spans="2:27" x14ac:dyDescent="0.25">
      <c r="B17" s="541"/>
      <c r="C17" s="542"/>
      <c r="D17" s="542"/>
      <c r="E17" s="542"/>
      <c r="F17" s="542"/>
      <c r="G17" s="542"/>
      <c r="H17" s="542"/>
      <c r="I17" s="542"/>
      <c r="J17" s="542"/>
      <c r="K17" s="542"/>
      <c r="L17" s="542"/>
      <c r="M17" s="542"/>
      <c r="N17" s="542"/>
      <c r="O17" s="542"/>
      <c r="P17" s="542"/>
      <c r="Q17" s="542"/>
      <c r="R17" s="542"/>
      <c r="S17" s="542"/>
      <c r="T17" s="542"/>
      <c r="U17" s="542"/>
      <c r="V17" s="542"/>
      <c r="W17" s="542"/>
      <c r="X17" s="542"/>
      <c r="Y17" s="542"/>
      <c r="Z17" s="542"/>
      <c r="AA17" s="543"/>
    </row>
    <row r="18" spans="2:27" x14ac:dyDescent="0.25">
      <c r="B18" s="541" t="s">
        <v>13</v>
      </c>
      <c r="C18" s="542"/>
      <c r="D18" s="542"/>
      <c r="E18" s="210"/>
      <c r="F18" s="542"/>
      <c r="G18" s="542"/>
      <c r="H18" s="548">
        <f>IF(H$16&gt;'III. Inputs, Renewable Energy'!$U$16,0, 'III. Inputs, Renewable Energy'!$U$216)</f>
        <v>1</v>
      </c>
      <c r="I18" s="548">
        <f>IF(I$16&gt;'III. Inputs, Renewable Energy'!$U$16,0, 'III. Inputs, Renewable Energy'!$U$216)</f>
        <v>1</v>
      </c>
      <c r="J18" s="548">
        <f>IF(J$16&gt;'III. Inputs, Renewable Energy'!$U$16,0, 'III. Inputs, Renewable Energy'!$U$216)</f>
        <v>1</v>
      </c>
      <c r="K18" s="548">
        <f>IF(K$16&gt;'III. Inputs, Renewable Energy'!$U$16,0, 'III. Inputs, Renewable Energy'!$U$216)</f>
        <v>1</v>
      </c>
      <c r="L18" s="548">
        <f>IF(L$16&gt;'III. Inputs, Renewable Energy'!$U$16,0, 'III. Inputs, Renewable Energy'!$U$216)</f>
        <v>1</v>
      </c>
      <c r="M18" s="548">
        <f>IF(M$16&gt;'III. Inputs, Renewable Energy'!$U$16,0, 'III. Inputs, Renewable Energy'!$U$216)</f>
        <v>1</v>
      </c>
      <c r="N18" s="548">
        <f>IF(N$16&gt;'III. Inputs, Renewable Energy'!$U$16,0, 'III. Inputs, Renewable Energy'!$U$216)</f>
        <v>1</v>
      </c>
      <c r="O18" s="548">
        <f>IF(O$16&gt;'III. Inputs, Renewable Energy'!$U$16,0, 'III. Inputs, Renewable Energy'!$U$216)</f>
        <v>1</v>
      </c>
      <c r="P18" s="548">
        <f>IF(P$16&gt;'III. Inputs, Renewable Energy'!$U$16,0, 'III. Inputs, Renewable Energy'!$U$216)</f>
        <v>1</v>
      </c>
      <c r="Q18" s="548">
        <f>IF(Q$16&gt;'III. Inputs, Renewable Energy'!$U$16,0, 'III. Inputs, Renewable Energy'!$U$216)</f>
        <v>1</v>
      </c>
      <c r="R18" s="548">
        <f>IF(R$16&gt;'III. Inputs, Renewable Energy'!$U$16,0, 'III. Inputs, Renewable Energy'!$U$216)</f>
        <v>1</v>
      </c>
      <c r="S18" s="548">
        <f>IF(S$16&gt;'III. Inputs, Renewable Energy'!$U$16,0, 'III. Inputs, Renewable Energy'!$U$216)</f>
        <v>1</v>
      </c>
      <c r="T18" s="548">
        <f>IF(T$16&gt;'III. Inputs, Renewable Energy'!$U$16,0, 'III. Inputs, Renewable Energy'!$U$216)</f>
        <v>1</v>
      </c>
      <c r="U18" s="548">
        <f>IF(U$16&gt;'III. Inputs, Renewable Energy'!$U$16,0, 'III. Inputs, Renewable Energy'!$U$216)</f>
        <v>1</v>
      </c>
      <c r="V18" s="548">
        <f>IF(V$16&gt;'III. Inputs, Renewable Energy'!$U$16,0, 'III. Inputs, Renewable Energy'!$U$216)</f>
        <v>1</v>
      </c>
      <c r="W18" s="548">
        <f>IF(W$16&gt;'III. Inputs, Renewable Energy'!$U$16,0, 'III. Inputs, Renewable Energy'!$U$216)</f>
        <v>1</v>
      </c>
      <c r="X18" s="548">
        <f>IF(X$16&gt;'III. Inputs, Renewable Energy'!$U$16,0, 'III. Inputs, Renewable Energy'!$U$216)</f>
        <v>1</v>
      </c>
      <c r="Y18" s="548">
        <f>IF(Y$16&gt;'III. Inputs, Renewable Energy'!$U$16,0, 'III. Inputs, Renewable Energy'!$U$216)</f>
        <v>1</v>
      </c>
      <c r="Z18" s="548">
        <f>IF(Z$16&gt;'III. Inputs, Renewable Energy'!$U$16,0, 'III. Inputs, Renewable Energy'!$U$216)</f>
        <v>1</v>
      </c>
      <c r="AA18" s="549">
        <f>IF(AA$16&gt;'III. Inputs, Renewable Energy'!$U$16,0, 'III. Inputs, Renewable Energy'!$U$216)</f>
        <v>1</v>
      </c>
    </row>
    <row r="19" spans="2:27" ht="4.5" customHeight="1" x14ac:dyDescent="0.25">
      <c r="B19" s="541"/>
      <c r="C19" s="542"/>
      <c r="D19" s="542"/>
      <c r="E19" s="210"/>
      <c r="F19" s="542"/>
      <c r="G19" s="542"/>
      <c r="H19" s="542"/>
      <c r="I19" s="542"/>
      <c r="J19" s="542"/>
      <c r="K19" s="542"/>
      <c r="L19" s="542"/>
      <c r="M19" s="542"/>
      <c r="N19" s="542"/>
      <c r="O19" s="542"/>
      <c r="P19" s="542"/>
      <c r="Q19" s="542"/>
      <c r="R19" s="542"/>
      <c r="S19" s="542"/>
      <c r="T19" s="542"/>
      <c r="U19" s="542"/>
      <c r="V19" s="542"/>
      <c r="W19" s="542"/>
      <c r="X19" s="542"/>
      <c r="Y19" s="542"/>
      <c r="Z19" s="542"/>
      <c r="AA19" s="543"/>
    </row>
    <row r="20" spans="2:27" x14ac:dyDescent="0.25">
      <c r="B20" s="541" t="s">
        <v>97</v>
      </c>
      <c r="C20" s="542"/>
      <c r="D20" s="542"/>
      <c r="E20" s="542"/>
      <c r="F20" s="210" t="s">
        <v>98</v>
      </c>
      <c r="G20" s="542"/>
      <c r="H20" s="550">
        <f>IF(H$16&gt;'III. Inputs, Renewable Energy'!$U$16, 0, 'III. Inputs, Renewable Energy'!$U$14*'III. Inputs, Renewable Energy'!$U$214*$H$18)</f>
        <v>1404288</v>
      </c>
      <c r="I20" s="550">
        <f>IF(I$16&gt;'III. Inputs, Renewable Energy'!$U$16, 0, 'III. Inputs, Renewable Energy'!$U$14*'III. Inputs, Renewable Energy'!$U$214*$H$18)</f>
        <v>1404288</v>
      </c>
      <c r="J20" s="550">
        <f>IF(J$16&gt;'III. Inputs, Renewable Energy'!$U$16, 0, 'III. Inputs, Renewable Energy'!$U$14*'III. Inputs, Renewable Energy'!$U$214*$H$18)</f>
        <v>1404288</v>
      </c>
      <c r="K20" s="550">
        <f>IF(K$16&gt;'III. Inputs, Renewable Energy'!$U$16, 0, 'III. Inputs, Renewable Energy'!$U$14*'III. Inputs, Renewable Energy'!$U$214*$H$18)</f>
        <v>1404288</v>
      </c>
      <c r="L20" s="550">
        <f>IF(L$16&gt;'III. Inputs, Renewable Energy'!$U$16, 0, 'III. Inputs, Renewable Energy'!$U$14*'III. Inputs, Renewable Energy'!$U$214*$H$18)</f>
        <v>1404288</v>
      </c>
      <c r="M20" s="550">
        <f>IF(M$16&gt;'III. Inputs, Renewable Energy'!$U$16, 0, 'III. Inputs, Renewable Energy'!$U$14*'III. Inputs, Renewable Energy'!$U$214*$H$18)</f>
        <v>1404288</v>
      </c>
      <c r="N20" s="550">
        <f>IF(N$16&gt;'III. Inputs, Renewable Energy'!$U$16, 0, 'III. Inputs, Renewable Energy'!$U$14*'III. Inputs, Renewable Energy'!$U$214*$H$18)</f>
        <v>1404288</v>
      </c>
      <c r="O20" s="550">
        <f>IF(O$16&gt;'III. Inputs, Renewable Energy'!$U$16, 0, 'III. Inputs, Renewable Energy'!$U$14*'III. Inputs, Renewable Energy'!$U$214*$H$18)</f>
        <v>1404288</v>
      </c>
      <c r="P20" s="550">
        <f>IF(P$16&gt;'III. Inputs, Renewable Energy'!$U$16, 0, 'III. Inputs, Renewable Energy'!$U$14*'III. Inputs, Renewable Energy'!$U$214*$H$18)</f>
        <v>1404288</v>
      </c>
      <c r="Q20" s="550">
        <f>IF(Q$16&gt;'III. Inputs, Renewable Energy'!$U$16, 0, 'III. Inputs, Renewable Energy'!$U$14*'III. Inputs, Renewable Energy'!$U$214*$H$18)</f>
        <v>1404288</v>
      </c>
      <c r="R20" s="550">
        <f>IF(R$16&gt;'III. Inputs, Renewable Energy'!$U$16, 0, 'III. Inputs, Renewable Energy'!$U$14*'III. Inputs, Renewable Energy'!$U$214*$H$18)</f>
        <v>1404288</v>
      </c>
      <c r="S20" s="550">
        <f>IF(S$16&gt;'III. Inputs, Renewable Energy'!$U$16, 0, 'III. Inputs, Renewable Energy'!$U$14*'III. Inputs, Renewable Energy'!$U$214*$H$18)</f>
        <v>1404288</v>
      </c>
      <c r="T20" s="550">
        <f>IF(T$16&gt;'III. Inputs, Renewable Energy'!$U$16, 0, 'III. Inputs, Renewable Energy'!$U$14*'III. Inputs, Renewable Energy'!$U$214*$H$18)</f>
        <v>1404288</v>
      </c>
      <c r="U20" s="550">
        <f>IF(U$16&gt;'III. Inputs, Renewable Energy'!$U$16, 0, 'III. Inputs, Renewable Energy'!$U$14*'III. Inputs, Renewable Energy'!$U$214*$H$18)</f>
        <v>1404288</v>
      </c>
      <c r="V20" s="550">
        <f>IF(V$16&gt;'III. Inputs, Renewable Energy'!$U$16, 0, 'III. Inputs, Renewable Energy'!$U$14*'III. Inputs, Renewable Energy'!$U$214*$H$18)</f>
        <v>1404288</v>
      </c>
      <c r="W20" s="550">
        <f>IF(W$16&gt;'III. Inputs, Renewable Energy'!$U$16, 0, 'III. Inputs, Renewable Energy'!$U$14*'III. Inputs, Renewable Energy'!$U$214*$H$18)</f>
        <v>1404288</v>
      </c>
      <c r="X20" s="550">
        <f>IF(X$16&gt;'III. Inputs, Renewable Energy'!$U$16, 0, 'III. Inputs, Renewable Energy'!$U$14*'III. Inputs, Renewable Energy'!$U$214*$H$18)</f>
        <v>1404288</v>
      </c>
      <c r="Y20" s="550">
        <f>IF(Y$16&gt;'III. Inputs, Renewable Energy'!$U$16, 0, 'III. Inputs, Renewable Energy'!$U$14*'III. Inputs, Renewable Energy'!$U$214*$H$18)</f>
        <v>1404288</v>
      </c>
      <c r="Z20" s="550">
        <f>IF(Z$16&gt;'III. Inputs, Renewable Energy'!$U$16, 0, 'III. Inputs, Renewable Energy'!$U$14*'III. Inputs, Renewable Energy'!$U$214*$H$18)</f>
        <v>1404288</v>
      </c>
      <c r="AA20" s="551">
        <f>IF(AA$16&gt;'III. Inputs, Renewable Energy'!$U$16, 0, 'III. Inputs, Renewable Energy'!$U$14*'III. Inputs, Renewable Energy'!$U$214*$H$18)</f>
        <v>1404288</v>
      </c>
    </row>
    <row r="21" spans="2:27" ht="7.5" customHeight="1" x14ac:dyDescent="0.25">
      <c r="B21" s="541"/>
      <c r="C21" s="542"/>
      <c r="D21" s="542"/>
      <c r="E21" s="210"/>
      <c r="F21" s="542"/>
      <c r="G21" s="542"/>
      <c r="H21" s="542"/>
      <c r="I21" s="542"/>
      <c r="J21" s="542"/>
      <c r="K21" s="542"/>
      <c r="L21" s="542"/>
      <c r="M21" s="542"/>
      <c r="N21" s="542"/>
      <c r="O21" s="542"/>
      <c r="P21" s="542"/>
      <c r="Q21" s="542"/>
      <c r="R21" s="542"/>
      <c r="S21" s="542"/>
      <c r="T21" s="542"/>
      <c r="U21" s="542"/>
      <c r="V21" s="542"/>
      <c r="W21" s="542"/>
      <c r="X21" s="542"/>
      <c r="Y21" s="542"/>
      <c r="Z21" s="542"/>
      <c r="AA21" s="543"/>
    </row>
    <row r="22" spans="2:27" x14ac:dyDescent="0.25">
      <c r="B22" s="544" t="s">
        <v>99</v>
      </c>
      <c r="C22" s="552"/>
      <c r="D22" s="552"/>
      <c r="E22" s="184"/>
      <c r="F22" s="184"/>
      <c r="G22" s="184"/>
      <c r="H22" s="184"/>
      <c r="I22" s="184"/>
      <c r="J22" s="184"/>
      <c r="K22" s="184"/>
      <c r="L22" s="184"/>
      <c r="M22" s="184"/>
      <c r="N22" s="184"/>
      <c r="O22" s="184"/>
      <c r="P22" s="184"/>
      <c r="Q22" s="184"/>
      <c r="R22" s="184"/>
      <c r="S22" s="184"/>
      <c r="T22" s="184"/>
      <c r="U22" s="184"/>
      <c r="V22" s="184"/>
      <c r="W22" s="184"/>
      <c r="X22" s="184"/>
      <c r="Y22" s="184"/>
      <c r="Z22" s="184"/>
      <c r="AA22" s="553"/>
    </row>
    <row r="23" spans="2:27" x14ac:dyDescent="0.25">
      <c r="B23" s="541"/>
      <c r="C23" s="542"/>
      <c r="D23" s="542"/>
      <c r="E23" s="210"/>
      <c r="F23" s="542"/>
      <c r="G23" s="542"/>
      <c r="H23" s="542"/>
      <c r="I23" s="542"/>
      <c r="J23" s="542"/>
      <c r="K23" s="542"/>
      <c r="L23" s="542"/>
      <c r="M23" s="542"/>
      <c r="N23" s="542"/>
      <c r="O23" s="542"/>
      <c r="P23" s="542"/>
      <c r="Q23" s="542"/>
      <c r="R23" s="542"/>
      <c r="S23" s="542"/>
      <c r="T23" s="542"/>
      <c r="U23" s="542"/>
      <c r="V23" s="542"/>
      <c r="W23" s="542"/>
      <c r="X23" s="542"/>
      <c r="Y23" s="542"/>
      <c r="Z23" s="542"/>
      <c r="AA23" s="543"/>
    </row>
    <row r="24" spans="2:27" x14ac:dyDescent="0.25">
      <c r="B24" s="541" t="s">
        <v>100</v>
      </c>
      <c r="C24" s="542"/>
      <c r="D24" s="542"/>
      <c r="E24" s="210"/>
      <c r="F24" s="210" t="s">
        <v>631</v>
      </c>
      <c r="G24" s="1320"/>
      <c r="H24" s="1348">
        <v>0</v>
      </c>
      <c r="I24" s="1348">
        <v>0</v>
      </c>
      <c r="J24" s="1348">
        <v>0</v>
      </c>
      <c r="K24" s="1348">
        <v>0</v>
      </c>
      <c r="L24" s="1348">
        <v>0</v>
      </c>
      <c r="M24" s="1348">
        <v>0</v>
      </c>
      <c r="N24" s="1348">
        <v>0</v>
      </c>
      <c r="O24" s="1348">
        <v>0</v>
      </c>
      <c r="P24" s="1348">
        <v>0</v>
      </c>
      <c r="Q24" s="1348">
        <v>0</v>
      </c>
      <c r="R24" s="1348">
        <v>0</v>
      </c>
      <c r="S24" s="1348">
        <v>0</v>
      </c>
      <c r="T24" s="1348">
        <v>0</v>
      </c>
      <c r="U24" s="1348">
        <v>0</v>
      </c>
      <c r="V24" s="1348">
        <v>0</v>
      </c>
      <c r="W24" s="1348">
        <v>0</v>
      </c>
      <c r="X24" s="1348">
        <v>0</v>
      </c>
      <c r="Y24" s="1348">
        <v>0</v>
      </c>
      <c r="Z24" s="1348">
        <v>0</v>
      </c>
      <c r="AA24" s="1348">
        <v>0</v>
      </c>
    </row>
    <row r="25" spans="2:27" x14ac:dyDescent="0.25">
      <c r="B25" s="541"/>
      <c r="C25" s="542"/>
      <c r="D25" s="542"/>
      <c r="E25" s="210"/>
      <c r="F25" s="210"/>
      <c r="G25" s="1320"/>
      <c r="H25" s="1321"/>
      <c r="I25" s="1321"/>
      <c r="J25" s="1321"/>
      <c r="K25" s="1321"/>
      <c r="L25" s="1321"/>
      <c r="M25" s="1321"/>
      <c r="N25" s="1321"/>
      <c r="O25" s="1321"/>
      <c r="P25" s="1321"/>
      <c r="Q25" s="1321"/>
      <c r="R25" s="1321"/>
      <c r="S25" s="1321"/>
      <c r="T25" s="1321"/>
      <c r="U25" s="1321"/>
      <c r="V25" s="1321"/>
      <c r="W25" s="1321"/>
      <c r="X25" s="1321"/>
      <c r="Y25" s="1321"/>
      <c r="Z25" s="1321"/>
      <c r="AA25" s="1322"/>
    </row>
    <row r="26" spans="2:27" x14ac:dyDescent="0.25">
      <c r="B26" s="541" t="s">
        <v>101</v>
      </c>
      <c r="C26" s="542"/>
      <c r="D26" s="542"/>
      <c r="E26" s="210"/>
      <c r="F26" s="210" t="s">
        <v>631</v>
      </c>
      <c r="G26" s="1320"/>
      <c r="H26" s="1320">
        <f>H365</f>
        <v>2796800</v>
      </c>
      <c r="I26" s="1320">
        <f>I365</f>
        <v>2796800</v>
      </c>
      <c r="J26" s="1320">
        <f t="shared" ref="J26:AA26" si="0">J365</f>
        <v>2796800</v>
      </c>
      <c r="K26" s="1320">
        <f t="shared" si="0"/>
        <v>2796800</v>
      </c>
      <c r="L26" s="1320">
        <f t="shared" si="0"/>
        <v>2796800</v>
      </c>
      <c r="M26" s="1320">
        <f t="shared" si="0"/>
        <v>2796800</v>
      </c>
      <c r="N26" s="1320">
        <f t="shared" si="0"/>
        <v>2796800</v>
      </c>
      <c r="O26" s="1320">
        <f t="shared" si="0"/>
        <v>2796800</v>
      </c>
      <c r="P26" s="1320">
        <f t="shared" si="0"/>
        <v>2796800</v>
      </c>
      <c r="Q26" s="1320">
        <f t="shared" si="0"/>
        <v>2796800</v>
      </c>
      <c r="R26" s="1320">
        <f t="shared" si="0"/>
        <v>2796800</v>
      </c>
      <c r="S26" s="1320">
        <f t="shared" si="0"/>
        <v>2796800</v>
      </c>
      <c r="T26" s="1320">
        <f t="shared" si="0"/>
        <v>2796800</v>
      </c>
      <c r="U26" s="1320">
        <f t="shared" si="0"/>
        <v>2796800</v>
      </c>
      <c r="V26" s="1320">
        <f t="shared" si="0"/>
        <v>2796800</v>
      </c>
      <c r="W26" s="1320">
        <f t="shared" si="0"/>
        <v>2796800</v>
      </c>
      <c r="X26" s="1320">
        <f t="shared" si="0"/>
        <v>2796800</v>
      </c>
      <c r="Y26" s="1320">
        <f t="shared" si="0"/>
        <v>2796800</v>
      </c>
      <c r="Z26" s="1320">
        <f t="shared" si="0"/>
        <v>2796800</v>
      </c>
      <c r="AA26" s="1323">
        <f t="shared" si="0"/>
        <v>2796800</v>
      </c>
    </row>
    <row r="27" spans="2:27" x14ac:dyDescent="0.25">
      <c r="B27" s="541"/>
      <c r="C27" s="542"/>
      <c r="D27" s="542"/>
      <c r="E27" s="210"/>
      <c r="F27" s="210"/>
      <c r="G27" s="1320"/>
      <c r="H27" s="1320"/>
      <c r="I27" s="1320"/>
      <c r="J27" s="1320"/>
      <c r="K27" s="1320"/>
      <c r="L27" s="1320"/>
      <c r="M27" s="1320"/>
      <c r="N27" s="1320"/>
      <c r="O27" s="1320"/>
      <c r="P27" s="1320"/>
      <c r="Q27" s="1320"/>
      <c r="R27" s="1320"/>
      <c r="S27" s="1320"/>
      <c r="T27" s="1320"/>
      <c r="U27" s="1320"/>
      <c r="V27" s="1320"/>
      <c r="W27" s="1320"/>
      <c r="X27" s="1320"/>
      <c r="Y27" s="1320"/>
      <c r="Z27" s="1320"/>
      <c r="AA27" s="1323"/>
    </row>
    <row r="28" spans="2:27" x14ac:dyDescent="0.25">
      <c r="B28" s="541" t="s">
        <v>257</v>
      </c>
      <c r="C28" s="542"/>
      <c r="D28" s="542"/>
      <c r="E28" s="210"/>
      <c r="F28" s="210" t="s">
        <v>631</v>
      </c>
      <c r="G28" s="1320"/>
      <c r="H28" s="1320">
        <f>H206</f>
        <v>0</v>
      </c>
      <c r="I28" s="1320">
        <f>I206</f>
        <v>0</v>
      </c>
      <c r="J28" s="1320">
        <f t="shared" ref="J28:AA28" si="1">J206</f>
        <v>0</v>
      </c>
      <c r="K28" s="1320">
        <f t="shared" si="1"/>
        <v>0</v>
      </c>
      <c r="L28" s="1320">
        <f t="shared" si="1"/>
        <v>0</v>
      </c>
      <c r="M28" s="1320">
        <f t="shared" si="1"/>
        <v>0</v>
      </c>
      <c r="N28" s="1320">
        <f t="shared" si="1"/>
        <v>0</v>
      </c>
      <c r="O28" s="1320">
        <f t="shared" si="1"/>
        <v>0</v>
      </c>
      <c r="P28" s="1320">
        <f t="shared" si="1"/>
        <v>0</v>
      </c>
      <c r="Q28" s="1320">
        <f t="shared" si="1"/>
        <v>0</v>
      </c>
      <c r="R28" s="1320">
        <f t="shared" si="1"/>
        <v>0</v>
      </c>
      <c r="S28" s="1320">
        <f t="shared" si="1"/>
        <v>0</v>
      </c>
      <c r="T28" s="1320">
        <f t="shared" si="1"/>
        <v>0</v>
      </c>
      <c r="U28" s="1320">
        <f t="shared" si="1"/>
        <v>0</v>
      </c>
      <c r="V28" s="1320">
        <f t="shared" si="1"/>
        <v>0</v>
      </c>
      <c r="W28" s="1320">
        <f t="shared" si="1"/>
        <v>0</v>
      </c>
      <c r="X28" s="1320">
        <f t="shared" si="1"/>
        <v>0</v>
      </c>
      <c r="Y28" s="1320">
        <f t="shared" si="1"/>
        <v>0</v>
      </c>
      <c r="Z28" s="1320">
        <f t="shared" si="1"/>
        <v>0</v>
      </c>
      <c r="AA28" s="1323">
        <f t="shared" si="1"/>
        <v>0</v>
      </c>
    </row>
    <row r="29" spans="2:27" x14ac:dyDescent="0.25">
      <c r="B29" s="541" t="s">
        <v>189</v>
      </c>
      <c r="C29" s="542"/>
      <c r="D29" s="542"/>
      <c r="E29" s="210"/>
      <c r="F29" s="210" t="s">
        <v>631</v>
      </c>
      <c r="G29" s="1320"/>
      <c r="H29" s="1320">
        <f>H227</f>
        <v>0</v>
      </c>
      <c r="I29" s="1320">
        <f>I227</f>
        <v>0</v>
      </c>
      <c r="J29" s="1320">
        <f t="shared" ref="J29:AA29" si="2">J227</f>
        <v>0</v>
      </c>
      <c r="K29" s="1320">
        <f t="shared" si="2"/>
        <v>0</v>
      </c>
      <c r="L29" s="1320">
        <f t="shared" si="2"/>
        <v>0</v>
      </c>
      <c r="M29" s="1320">
        <f t="shared" si="2"/>
        <v>0</v>
      </c>
      <c r="N29" s="1320">
        <f t="shared" si="2"/>
        <v>0</v>
      </c>
      <c r="O29" s="1320">
        <f t="shared" si="2"/>
        <v>0</v>
      </c>
      <c r="P29" s="1320">
        <f t="shared" si="2"/>
        <v>0</v>
      </c>
      <c r="Q29" s="1320">
        <f t="shared" si="2"/>
        <v>0</v>
      </c>
      <c r="R29" s="1320">
        <f t="shared" si="2"/>
        <v>0</v>
      </c>
      <c r="S29" s="1320">
        <f t="shared" si="2"/>
        <v>0</v>
      </c>
      <c r="T29" s="1320">
        <f t="shared" si="2"/>
        <v>0</v>
      </c>
      <c r="U29" s="1320">
        <f t="shared" si="2"/>
        <v>0</v>
      </c>
      <c r="V29" s="1320">
        <f t="shared" si="2"/>
        <v>0</v>
      </c>
      <c r="W29" s="1320">
        <f t="shared" si="2"/>
        <v>0</v>
      </c>
      <c r="X29" s="1320">
        <f t="shared" si="2"/>
        <v>0</v>
      </c>
      <c r="Y29" s="1320">
        <f t="shared" si="2"/>
        <v>0</v>
      </c>
      <c r="Z29" s="1320">
        <f t="shared" si="2"/>
        <v>0</v>
      </c>
      <c r="AA29" s="1323">
        <f t="shared" si="2"/>
        <v>0</v>
      </c>
    </row>
    <row r="30" spans="2:27" x14ac:dyDescent="0.25">
      <c r="B30" s="541" t="s">
        <v>190</v>
      </c>
      <c r="C30" s="542"/>
      <c r="D30" s="542"/>
      <c r="E30" s="210"/>
      <c r="F30" s="210" t="s">
        <v>631</v>
      </c>
      <c r="G30" s="1320"/>
      <c r="H30" s="1320">
        <f>H248</f>
        <v>2679039.9999999995</v>
      </c>
      <c r="I30" s="1320">
        <f>I248</f>
        <v>2480510.5711532631</v>
      </c>
      <c r="J30" s="1320">
        <f t="shared" ref="J30:AA30" si="3">J248</f>
        <v>2269076.7294314895</v>
      </c>
      <c r="K30" s="1320">
        <f t="shared" si="3"/>
        <v>2043899.6879978001</v>
      </c>
      <c r="L30" s="1320">
        <f t="shared" si="3"/>
        <v>1804086.138870921</v>
      </c>
      <c r="M30" s="1320">
        <f t="shared" si="3"/>
        <v>1548684.7090507944</v>
      </c>
      <c r="N30" s="1320">
        <f t="shared" si="3"/>
        <v>1276682.1862923601</v>
      </c>
      <c r="O30" s="1320">
        <f t="shared" si="3"/>
        <v>986999.49955462746</v>
      </c>
      <c r="P30" s="1320">
        <f t="shared" si="3"/>
        <v>678487.43817894184</v>
      </c>
      <c r="Q30" s="1320">
        <f t="shared" si="3"/>
        <v>349922.09281383676</v>
      </c>
      <c r="R30" s="1320">
        <f t="shared" si="3"/>
        <v>0</v>
      </c>
      <c r="S30" s="1320">
        <f t="shared" si="3"/>
        <v>0</v>
      </c>
      <c r="T30" s="1320">
        <f t="shared" si="3"/>
        <v>0</v>
      </c>
      <c r="U30" s="1320">
        <f t="shared" si="3"/>
        <v>0</v>
      </c>
      <c r="V30" s="1320">
        <f t="shared" si="3"/>
        <v>0</v>
      </c>
      <c r="W30" s="1320">
        <f t="shared" si="3"/>
        <v>0</v>
      </c>
      <c r="X30" s="1320">
        <f t="shared" si="3"/>
        <v>0</v>
      </c>
      <c r="Y30" s="1320">
        <f t="shared" si="3"/>
        <v>0</v>
      </c>
      <c r="Z30" s="1320">
        <f t="shared" si="3"/>
        <v>0</v>
      </c>
      <c r="AA30" s="1323">
        <f t="shared" si="3"/>
        <v>0</v>
      </c>
    </row>
    <row r="31" spans="2:27" x14ac:dyDescent="0.25">
      <c r="B31" s="541" t="s">
        <v>132</v>
      </c>
      <c r="C31" s="542"/>
      <c r="D31" s="542"/>
      <c r="E31" s="210"/>
      <c r="F31" s="210" t="s">
        <v>631</v>
      </c>
      <c r="G31" s="1320"/>
      <c r="H31" s="1320">
        <f>(H217+H238+H259)</f>
        <v>0</v>
      </c>
      <c r="I31" s="1320">
        <f>(I217+I238+I259)</f>
        <v>0</v>
      </c>
      <c r="J31" s="1320">
        <f t="shared" ref="J31:AA31" si="4">(J217+J238+J259)</f>
        <v>0</v>
      </c>
      <c r="K31" s="1320">
        <f t="shared" si="4"/>
        <v>0</v>
      </c>
      <c r="L31" s="1320">
        <f t="shared" si="4"/>
        <v>0</v>
      </c>
      <c r="M31" s="1320">
        <f t="shared" si="4"/>
        <v>0</v>
      </c>
      <c r="N31" s="1320">
        <f t="shared" si="4"/>
        <v>0</v>
      </c>
      <c r="O31" s="1320">
        <f t="shared" si="4"/>
        <v>0</v>
      </c>
      <c r="P31" s="1320">
        <f t="shared" si="4"/>
        <v>0</v>
      </c>
      <c r="Q31" s="1320">
        <f t="shared" si="4"/>
        <v>0</v>
      </c>
      <c r="R31" s="1320">
        <f t="shared" si="4"/>
        <v>0</v>
      </c>
      <c r="S31" s="1320">
        <f t="shared" si="4"/>
        <v>0</v>
      </c>
      <c r="T31" s="1320">
        <f t="shared" si="4"/>
        <v>0</v>
      </c>
      <c r="U31" s="1320">
        <f t="shared" si="4"/>
        <v>0</v>
      </c>
      <c r="V31" s="1320">
        <f t="shared" si="4"/>
        <v>0</v>
      </c>
      <c r="W31" s="1320">
        <f t="shared" si="4"/>
        <v>0</v>
      </c>
      <c r="X31" s="1320">
        <f t="shared" si="4"/>
        <v>0</v>
      </c>
      <c r="Y31" s="1320">
        <f t="shared" si="4"/>
        <v>0</v>
      </c>
      <c r="Z31" s="1320">
        <f t="shared" si="4"/>
        <v>0</v>
      </c>
      <c r="AA31" s="1323">
        <f t="shared" si="4"/>
        <v>0</v>
      </c>
    </row>
    <row r="32" spans="2:27" x14ac:dyDescent="0.25">
      <c r="B32" s="541" t="s">
        <v>191</v>
      </c>
      <c r="C32" s="542"/>
      <c r="D32" s="542"/>
      <c r="E32" s="210"/>
      <c r="F32" s="210" t="s">
        <v>631</v>
      </c>
      <c r="G32" s="1320"/>
      <c r="H32" s="1320">
        <f>H239+H240</f>
        <v>0</v>
      </c>
      <c r="I32" s="1320">
        <f>+I240</f>
        <v>0</v>
      </c>
      <c r="J32" s="1320">
        <f t="shared" ref="J32:AA32" si="5">+J240</f>
        <v>0</v>
      </c>
      <c r="K32" s="1320">
        <f t="shared" si="5"/>
        <v>0</v>
      </c>
      <c r="L32" s="1320">
        <f t="shared" si="5"/>
        <v>0</v>
      </c>
      <c r="M32" s="1320">
        <f t="shared" si="5"/>
        <v>0</v>
      </c>
      <c r="N32" s="1320">
        <f t="shared" si="5"/>
        <v>0</v>
      </c>
      <c r="O32" s="1320">
        <f t="shared" si="5"/>
        <v>0</v>
      </c>
      <c r="P32" s="1320">
        <f t="shared" si="5"/>
        <v>0</v>
      </c>
      <c r="Q32" s="1320">
        <f t="shared" si="5"/>
        <v>0</v>
      </c>
      <c r="R32" s="1320">
        <f t="shared" si="5"/>
        <v>0</v>
      </c>
      <c r="S32" s="1320">
        <f t="shared" si="5"/>
        <v>0</v>
      </c>
      <c r="T32" s="1320">
        <f t="shared" si="5"/>
        <v>0</v>
      </c>
      <c r="U32" s="1320">
        <f t="shared" si="5"/>
        <v>0</v>
      </c>
      <c r="V32" s="1320">
        <f t="shared" si="5"/>
        <v>0</v>
      </c>
      <c r="W32" s="1320">
        <f t="shared" si="5"/>
        <v>0</v>
      </c>
      <c r="X32" s="1320">
        <f t="shared" si="5"/>
        <v>0</v>
      </c>
      <c r="Y32" s="1320">
        <f t="shared" si="5"/>
        <v>0</v>
      </c>
      <c r="Z32" s="1320">
        <f t="shared" si="5"/>
        <v>0</v>
      </c>
      <c r="AA32" s="1323">
        <f t="shared" si="5"/>
        <v>0</v>
      </c>
    </row>
    <row r="33" spans="2:27" x14ac:dyDescent="0.25">
      <c r="B33" s="541" t="s">
        <v>134</v>
      </c>
      <c r="C33" s="542"/>
      <c r="D33" s="542"/>
      <c r="E33" s="210"/>
      <c r="F33" s="210" t="s">
        <v>631</v>
      </c>
      <c r="G33" s="1320"/>
      <c r="H33" s="1320">
        <f>(H269+H270)</f>
        <v>0</v>
      </c>
      <c r="I33" s="1320">
        <f>(+I270)</f>
        <v>0</v>
      </c>
      <c r="J33" s="1320">
        <f t="shared" ref="J33:AA33" si="6">(+J270)</f>
        <v>0</v>
      </c>
      <c r="K33" s="1320">
        <f t="shared" si="6"/>
        <v>0</v>
      </c>
      <c r="L33" s="1320">
        <f t="shared" si="6"/>
        <v>0</v>
      </c>
      <c r="M33" s="1320">
        <f t="shared" si="6"/>
        <v>0</v>
      </c>
      <c r="N33" s="1320">
        <f t="shared" si="6"/>
        <v>0</v>
      </c>
      <c r="O33" s="1320">
        <f t="shared" si="6"/>
        <v>0</v>
      </c>
      <c r="P33" s="1320">
        <f t="shared" si="6"/>
        <v>0</v>
      </c>
      <c r="Q33" s="1320">
        <f t="shared" si="6"/>
        <v>0</v>
      </c>
      <c r="R33" s="1320">
        <f t="shared" si="6"/>
        <v>0</v>
      </c>
      <c r="S33" s="1320">
        <f t="shared" si="6"/>
        <v>0</v>
      </c>
      <c r="T33" s="1320">
        <f t="shared" si="6"/>
        <v>0</v>
      </c>
      <c r="U33" s="1320">
        <f t="shared" si="6"/>
        <v>0</v>
      </c>
      <c r="V33" s="1320">
        <f t="shared" si="6"/>
        <v>0</v>
      </c>
      <c r="W33" s="1320">
        <f t="shared" si="6"/>
        <v>0</v>
      </c>
      <c r="X33" s="1320">
        <f t="shared" si="6"/>
        <v>0</v>
      </c>
      <c r="Y33" s="1320">
        <f t="shared" si="6"/>
        <v>0</v>
      </c>
      <c r="Z33" s="1320">
        <f t="shared" si="6"/>
        <v>0</v>
      </c>
      <c r="AA33" s="1323">
        <f t="shared" si="6"/>
        <v>0</v>
      </c>
    </row>
    <row r="34" spans="2:27" x14ac:dyDescent="0.25">
      <c r="B34" s="541"/>
      <c r="C34" s="542"/>
      <c r="D34" s="542"/>
      <c r="E34" s="210"/>
      <c r="F34" s="210"/>
      <c r="G34" s="1320"/>
      <c r="H34" s="1320"/>
      <c r="I34" s="1320"/>
      <c r="J34" s="1320"/>
      <c r="K34" s="1320"/>
      <c r="L34" s="1320"/>
      <c r="M34" s="1320"/>
      <c r="N34" s="1320"/>
      <c r="O34" s="1320"/>
      <c r="P34" s="1320"/>
      <c r="Q34" s="1320"/>
      <c r="R34" s="1320"/>
      <c r="S34" s="1320"/>
      <c r="T34" s="1320"/>
      <c r="U34" s="1320"/>
      <c r="V34" s="1320"/>
      <c r="W34" s="1320"/>
      <c r="X34" s="1320"/>
      <c r="Y34" s="1320"/>
      <c r="Z34" s="1320"/>
      <c r="AA34" s="1323"/>
    </row>
    <row r="35" spans="2:27" x14ac:dyDescent="0.25">
      <c r="B35" s="541"/>
      <c r="C35" s="542"/>
      <c r="D35" s="542"/>
      <c r="E35" s="210"/>
      <c r="F35" s="210"/>
      <c r="G35" s="1320"/>
      <c r="H35" s="1320"/>
      <c r="I35" s="1320"/>
      <c r="J35" s="1320"/>
      <c r="K35" s="1320"/>
      <c r="L35" s="1320"/>
      <c r="M35" s="1320"/>
      <c r="N35" s="1320"/>
      <c r="O35" s="1320"/>
      <c r="P35" s="1320"/>
      <c r="Q35" s="1320"/>
      <c r="R35" s="1320"/>
      <c r="S35" s="1320"/>
      <c r="T35" s="1320"/>
      <c r="U35" s="1320"/>
      <c r="V35" s="1320"/>
      <c r="W35" s="1320"/>
      <c r="X35" s="1320"/>
      <c r="Y35" s="1320"/>
      <c r="Z35" s="1320"/>
      <c r="AA35" s="1323"/>
    </row>
    <row r="36" spans="2:27" x14ac:dyDescent="0.25">
      <c r="B36" s="554" t="s">
        <v>518</v>
      </c>
      <c r="C36" s="542"/>
      <c r="D36" s="542"/>
      <c r="E36" s="210"/>
      <c r="F36" s="210"/>
      <c r="G36" s="1320"/>
      <c r="H36" s="1320"/>
      <c r="I36" s="1320"/>
      <c r="J36" s="1320"/>
      <c r="K36" s="1320"/>
      <c r="L36" s="1320"/>
      <c r="M36" s="1320"/>
      <c r="N36" s="1320"/>
      <c r="O36" s="1320"/>
      <c r="P36" s="1320"/>
      <c r="Q36" s="1320"/>
      <c r="R36" s="1320"/>
      <c r="S36" s="1320"/>
      <c r="T36" s="1320"/>
      <c r="U36" s="1320"/>
      <c r="V36" s="1320"/>
      <c r="W36" s="1320"/>
      <c r="X36" s="1320"/>
      <c r="Y36" s="1320"/>
      <c r="Z36" s="1320"/>
      <c r="AA36" s="1323"/>
    </row>
    <row r="37" spans="2:27" x14ac:dyDescent="0.25">
      <c r="B37" s="541"/>
      <c r="C37" s="542"/>
      <c r="D37" s="542"/>
      <c r="E37" s="210"/>
      <c r="F37" s="210"/>
      <c r="G37" s="1320"/>
      <c r="H37" s="1320"/>
      <c r="I37" s="1320"/>
      <c r="J37" s="1320"/>
      <c r="K37" s="1320"/>
      <c r="L37" s="1320"/>
      <c r="M37" s="1320"/>
      <c r="N37" s="1320"/>
      <c r="O37" s="1320"/>
      <c r="P37" s="1320"/>
      <c r="Q37" s="1320"/>
      <c r="R37" s="1320"/>
      <c r="S37" s="1320"/>
      <c r="T37" s="1320"/>
      <c r="U37" s="1320"/>
      <c r="V37" s="1320"/>
      <c r="W37" s="1320"/>
      <c r="X37" s="1320"/>
      <c r="Y37" s="1320"/>
      <c r="Z37" s="1320"/>
      <c r="AA37" s="1323"/>
    </row>
    <row r="38" spans="2:27" x14ac:dyDescent="0.25">
      <c r="B38" s="541" t="str">
        <f>B24</f>
        <v>Operations &amp; Maintenance Expenses</v>
      </c>
      <c r="C38" s="542"/>
      <c r="D38" s="542"/>
      <c r="E38" s="210"/>
      <c r="F38" s="210" t="s">
        <v>631</v>
      </c>
      <c r="G38" s="1320"/>
      <c r="H38" s="1320">
        <f>-H24</f>
        <v>0</v>
      </c>
      <c r="I38" s="1320">
        <f t="shared" ref="I38:AA38" si="7">-I24</f>
        <v>0</v>
      </c>
      <c r="J38" s="1320">
        <f t="shared" si="7"/>
        <v>0</v>
      </c>
      <c r="K38" s="1320">
        <f t="shared" si="7"/>
        <v>0</v>
      </c>
      <c r="L38" s="1320">
        <f t="shared" si="7"/>
        <v>0</v>
      </c>
      <c r="M38" s="1320">
        <f t="shared" si="7"/>
        <v>0</v>
      </c>
      <c r="N38" s="1320">
        <f t="shared" si="7"/>
        <v>0</v>
      </c>
      <c r="O38" s="1320">
        <f t="shared" si="7"/>
        <v>0</v>
      </c>
      <c r="P38" s="1320">
        <f t="shared" si="7"/>
        <v>0</v>
      </c>
      <c r="Q38" s="1320">
        <f t="shared" si="7"/>
        <v>0</v>
      </c>
      <c r="R38" s="1320">
        <f t="shared" si="7"/>
        <v>0</v>
      </c>
      <c r="S38" s="1320">
        <f t="shared" si="7"/>
        <v>0</v>
      </c>
      <c r="T38" s="1320">
        <f t="shared" si="7"/>
        <v>0</v>
      </c>
      <c r="U38" s="1320">
        <f t="shared" si="7"/>
        <v>0</v>
      </c>
      <c r="V38" s="1320">
        <f t="shared" si="7"/>
        <v>0</v>
      </c>
      <c r="W38" s="1320">
        <f t="shared" si="7"/>
        <v>0</v>
      </c>
      <c r="X38" s="1320">
        <f t="shared" si="7"/>
        <v>0</v>
      </c>
      <c r="Y38" s="1320">
        <f t="shared" si="7"/>
        <v>0</v>
      </c>
      <c r="Z38" s="1320">
        <f t="shared" si="7"/>
        <v>0</v>
      </c>
      <c r="AA38" s="1323">
        <f t="shared" si="7"/>
        <v>0</v>
      </c>
    </row>
    <row r="39" spans="2:27" x14ac:dyDescent="0.25">
      <c r="B39" s="541" t="str">
        <f>B31</f>
        <v xml:space="preserve">Front-end Fees </v>
      </c>
      <c r="C39" s="542"/>
      <c r="D39" s="542"/>
      <c r="E39" s="210"/>
      <c r="F39" s="210" t="s">
        <v>631</v>
      </c>
      <c r="G39" s="1320"/>
      <c r="H39" s="1320">
        <f>-H31</f>
        <v>0</v>
      </c>
      <c r="I39" s="1320">
        <f t="shared" ref="I39:AA41" si="8">-I31</f>
        <v>0</v>
      </c>
      <c r="J39" s="1320">
        <f t="shared" si="8"/>
        <v>0</v>
      </c>
      <c r="K39" s="1320">
        <f t="shared" si="8"/>
        <v>0</v>
      </c>
      <c r="L39" s="1320">
        <f t="shared" si="8"/>
        <v>0</v>
      </c>
      <c r="M39" s="1320">
        <f t="shared" si="8"/>
        <v>0</v>
      </c>
      <c r="N39" s="1320">
        <f t="shared" si="8"/>
        <v>0</v>
      </c>
      <c r="O39" s="1320">
        <f t="shared" si="8"/>
        <v>0</v>
      </c>
      <c r="P39" s="1320">
        <f t="shared" si="8"/>
        <v>0</v>
      </c>
      <c r="Q39" s="1320">
        <f t="shared" si="8"/>
        <v>0</v>
      </c>
      <c r="R39" s="1320">
        <f t="shared" si="8"/>
        <v>0</v>
      </c>
      <c r="S39" s="1320">
        <f t="shared" si="8"/>
        <v>0</v>
      </c>
      <c r="T39" s="1320">
        <f t="shared" si="8"/>
        <v>0</v>
      </c>
      <c r="U39" s="1320">
        <f t="shared" si="8"/>
        <v>0</v>
      </c>
      <c r="V39" s="1320">
        <f t="shared" si="8"/>
        <v>0</v>
      </c>
      <c r="W39" s="1320">
        <f t="shared" si="8"/>
        <v>0</v>
      </c>
      <c r="X39" s="1320">
        <f t="shared" si="8"/>
        <v>0</v>
      </c>
      <c r="Y39" s="1320">
        <f t="shared" si="8"/>
        <v>0</v>
      </c>
      <c r="Z39" s="1320">
        <f t="shared" si="8"/>
        <v>0</v>
      </c>
      <c r="AA39" s="1323">
        <f t="shared" si="8"/>
        <v>0</v>
      </c>
    </row>
    <row r="40" spans="2:27" x14ac:dyDescent="0.25">
      <c r="B40" s="541" t="str">
        <f>B32</f>
        <v xml:space="preserve">Public Guarantee Fees </v>
      </c>
      <c r="C40" s="542"/>
      <c r="D40" s="542"/>
      <c r="E40" s="210"/>
      <c r="F40" s="210" t="s">
        <v>631</v>
      </c>
      <c r="G40" s="1320"/>
      <c r="H40" s="1320">
        <f>-H32</f>
        <v>0</v>
      </c>
      <c r="I40" s="1320">
        <f t="shared" si="8"/>
        <v>0</v>
      </c>
      <c r="J40" s="1320">
        <f t="shared" si="8"/>
        <v>0</v>
      </c>
      <c r="K40" s="1320">
        <f t="shared" si="8"/>
        <v>0</v>
      </c>
      <c r="L40" s="1320">
        <f t="shared" si="8"/>
        <v>0</v>
      </c>
      <c r="M40" s="1320">
        <f t="shared" si="8"/>
        <v>0</v>
      </c>
      <c r="N40" s="1320">
        <f t="shared" si="8"/>
        <v>0</v>
      </c>
      <c r="O40" s="1320">
        <f t="shared" si="8"/>
        <v>0</v>
      </c>
      <c r="P40" s="1320">
        <f t="shared" si="8"/>
        <v>0</v>
      </c>
      <c r="Q40" s="1320">
        <f t="shared" si="8"/>
        <v>0</v>
      </c>
      <c r="R40" s="1320">
        <f t="shared" si="8"/>
        <v>0</v>
      </c>
      <c r="S40" s="1320">
        <f t="shared" si="8"/>
        <v>0</v>
      </c>
      <c r="T40" s="1320">
        <f t="shared" si="8"/>
        <v>0</v>
      </c>
      <c r="U40" s="1320">
        <f t="shared" si="8"/>
        <v>0</v>
      </c>
      <c r="V40" s="1320">
        <f t="shared" si="8"/>
        <v>0</v>
      </c>
      <c r="W40" s="1320">
        <f t="shared" si="8"/>
        <v>0</v>
      </c>
      <c r="X40" s="1320">
        <f t="shared" si="8"/>
        <v>0</v>
      </c>
      <c r="Y40" s="1320">
        <f t="shared" si="8"/>
        <v>0</v>
      </c>
      <c r="Z40" s="1320">
        <f t="shared" si="8"/>
        <v>0</v>
      </c>
      <c r="AA40" s="1323">
        <f t="shared" si="8"/>
        <v>0</v>
      </c>
    </row>
    <row r="41" spans="2:27" x14ac:dyDescent="0.25">
      <c r="B41" s="541" t="str">
        <f>B33</f>
        <v>Political Risk Insurance - Fees &amp; Annual Premium Payments</v>
      </c>
      <c r="C41" s="542"/>
      <c r="D41" s="542"/>
      <c r="E41" s="210"/>
      <c r="F41" s="210" t="s">
        <v>631</v>
      </c>
      <c r="G41" s="1320"/>
      <c r="H41" s="1320">
        <f>-H33</f>
        <v>0</v>
      </c>
      <c r="I41" s="1320">
        <f t="shared" si="8"/>
        <v>0</v>
      </c>
      <c r="J41" s="1320">
        <f t="shared" si="8"/>
        <v>0</v>
      </c>
      <c r="K41" s="1320">
        <f t="shared" si="8"/>
        <v>0</v>
      </c>
      <c r="L41" s="1320">
        <f t="shared" si="8"/>
        <v>0</v>
      </c>
      <c r="M41" s="1320">
        <f t="shared" si="8"/>
        <v>0</v>
      </c>
      <c r="N41" s="1320">
        <f t="shared" si="8"/>
        <v>0</v>
      </c>
      <c r="O41" s="1320">
        <f t="shared" si="8"/>
        <v>0</v>
      </c>
      <c r="P41" s="1320">
        <f t="shared" si="8"/>
        <v>0</v>
      </c>
      <c r="Q41" s="1320">
        <f t="shared" si="8"/>
        <v>0</v>
      </c>
      <c r="R41" s="1320">
        <f t="shared" si="8"/>
        <v>0</v>
      </c>
      <c r="S41" s="1320">
        <f t="shared" si="8"/>
        <v>0</v>
      </c>
      <c r="T41" s="1320">
        <f t="shared" si="8"/>
        <v>0</v>
      </c>
      <c r="U41" s="1320">
        <f t="shared" si="8"/>
        <v>0</v>
      </c>
      <c r="V41" s="1320">
        <f t="shared" si="8"/>
        <v>0</v>
      </c>
      <c r="W41" s="1320">
        <f t="shared" si="8"/>
        <v>0</v>
      </c>
      <c r="X41" s="1320">
        <f t="shared" si="8"/>
        <v>0</v>
      </c>
      <c r="Y41" s="1320">
        <f t="shared" si="8"/>
        <v>0</v>
      </c>
      <c r="Z41" s="1320">
        <f t="shared" si="8"/>
        <v>0</v>
      </c>
      <c r="AA41" s="1323">
        <f t="shared" si="8"/>
        <v>0</v>
      </c>
    </row>
    <row r="42" spans="2:27" x14ac:dyDescent="0.25">
      <c r="B42" s="541" t="s">
        <v>102</v>
      </c>
      <c r="C42" s="542"/>
      <c r="D42" s="542"/>
      <c r="E42" s="210"/>
      <c r="F42" s="210" t="s">
        <v>631</v>
      </c>
      <c r="G42" s="1320"/>
      <c r="H42" s="1320">
        <f>-(H208+H229+H250)</f>
        <v>-5733338.9053344019</v>
      </c>
      <c r="I42" s="1320">
        <f t="shared" ref="I42:AA42" si="9">-(I208+I229+I250)</f>
        <v>-5733338.9053344019</v>
      </c>
      <c r="J42" s="1320">
        <f t="shared" si="9"/>
        <v>-5733338.9053344019</v>
      </c>
      <c r="K42" s="1320">
        <f t="shared" si="9"/>
        <v>-5733338.9053344028</v>
      </c>
      <c r="L42" s="1320">
        <f t="shared" si="9"/>
        <v>-5733338.9053344019</v>
      </c>
      <c r="M42" s="1320">
        <f t="shared" si="9"/>
        <v>-5733338.9053344019</v>
      </c>
      <c r="N42" s="1320">
        <f t="shared" si="9"/>
        <v>-5733338.9053344019</v>
      </c>
      <c r="O42" s="1320">
        <f t="shared" si="9"/>
        <v>-5733338.9053344028</v>
      </c>
      <c r="P42" s="1320">
        <f t="shared" si="9"/>
        <v>-5733338.9053344028</v>
      </c>
      <c r="Q42" s="1320">
        <f t="shared" si="9"/>
        <v>-5733338.9053344019</v>
      </c>
      <c r="R42" s="1320">
        <f t="shared" si="9"/>
        <v>0</v>
      </c>
      <c r="S42" s="1320">
        <f t="shared" si="9"/>
        <v>0</v>
      </c>
      <c r="T42" s="1320">
        <f t="shared" si="9"/>
        <v>0</v>
      </c>
      <c r="U42" s="1320">
        <f t="shared" si="9"/>
        <v>0</v>
      </c>
      <c r="V42" s="1320">
        <f t="shared" si="9"/>
        <v>0</v>
      </c>
      <c r="W42" s="1320">
        <f t="shared" si="9"/>
        <v>0</v>
      </c>
      <c r="X42" s="1320">
        <f t="shared" si="9"/>
        <v>0</v>
      </c>
      <c r="Y42" s="1320">
        <f t="shared" si="9"/>
        <v>0</v>
      </c>
      <c r="Z42" s="1320">
        <f t="shared" si="9"/>
        <v>0</v>
      </c>
      <c r="AA42" s="1323">
        <f t="shared" si="9"/>
        <v>0</v>
      </c>
    </row>
    <row r="43" spans="2:27" x14ac:dyDescent="0.25">
      <c r="B43" s="555" t="s">
        <v>103</v>
      </c>
      <c r="C43" s="552"/>
      <c r="D43" s="552"/>
      <c r="E43" s="184"/>
      <c r="F43" s="184" t="s">
        <v>631</v>
      </c>
      <c r="G43" s="1324"/>
      <c r="H43" s="1324">
        <f>(H24+H26+H31+H32+H33+H28+H29+H30)*'III. Inputs, Renewable Energy'!$U$17</f>
        <v>1642752</v>
      </c>
      <c r="I43" s="1324">
        <f>(I24+I26+I31+I32+I33+I28+I29+I30)*'III. Inputs, Renewable Energy'!$U$17</f>
        <v>1583193.1713459787</v>
      </c>
      <c r="J43" s="1324">
        <f>(J24+J26+J31+J32+J33+J28+J29+J30)*'III. Inputs, Renewable Energy'!$U$17</f>
        <v>1519763.0188294468</v>
      </c>
      <c r="K43" s="1324">
        <f>(K24+K26+K31+K32+K33+K28+K29+K30)*'III. Inputs, Renewable Energy'!$U$17</f>
        <v>1452209.9063993401</v>
      </c>
      <c r="L43" s="1324">
        <f>(L24+L26+L31+L32+L33+L28+L29+L30)*'III. Inputs, Renewable Energy'!$U$17</f>
        <v>1380265.8416612763</v>
      </c>
      <c r="M43" s="1324">
        <f>(M24+M26+M31+M32+M33+M28+M29+M30)*'III. Inputs, Renewable Energy'!$U$17</f>
        <v>1303645.4127152383</v>
      </c>
      <c r="N43" s="1324">
        <f>(N24+N26+N31+N32+N33+N28+N29+N30)*'III. Inputs, Renewable Energy'!$U$17</f>
        <v>1222044.6558877081</v>
      </c>
      <c r="O43" s="1324">
        <f>(O24+O26+O31+O32+O33+O28+O29+O30)*'III. Inputs, Renewable Energy'!$U$17</f>
        <v>1135139.8498663881</v>
      </c>
      <c r="P43" s="1324">
        <f>(P24+P26+P31+P32+P33+P28+P29+P30)*'III. Inputs, Renewable Energy'!$U$17</f>
        <v>1042586.2314536824</v>
      </c>
      <c r="Q43" s="1324">
        <f>(Q24+Q26+Q31+Q32+Q33+Q28+Q29+Q30)*'III. Inputs, Renewable Energy'!$U$17</f>
        <v>944016.62784415099</v>
      </c>
      <c r="R43" s="1324">
        <f>(R24+R26+R31+R32+R33+R28+R29+R30)*'III. Inputs, Renewable Energy'!$U$17</f>
        <v>839040</v>
      </c>
      <c r="S43" s="1324">
        <f>(S24+S26+S31+S32+S33+S28+S29+S30)*'III. Inputs, Renewable Energy'!$U$17</f>
        <v>839040</v>
      </c>
      <c r="T43" s="1324">
        <f>(T24+T26+T31+T32+T33+T28+T29+T30)*'III. Inputs, Renewable Energy'!$U$17</f>
        <v>839040</v>
      </c>
      <c r="U43" s="1324">
        <f>(U24+U26+U31+U32+U33+U28+U29+U30)*'III. Inputs, Renewable Energy'!$U$17</f>
        <v>839040</v>
      </c>
      <c r="V43" s="1324">
        <f>(V24+V26+V31+V32+V33+V28+V29+V30)*'III. Inputs, Renewable Energy'!$U$17</f>
        <v>839040</v>
      </c>
      <c r="W43" s="1324">
        <f>(W24+W26+W31+W32+W33+W28+W29+W30)*'III. Inputs, Renewable Energy'!$U$17</f>
        <v>839040</v>
      </c>
      <c r="X43" s="1324">
        <f>(X24+X26+X31+X32+X33+X28+X29+X30)*'III. Inputs, Renewable Energy'!$U$17</f>
        <v>839040</v>
      </c>
      <c r="Y43" s="1324">
        <f>(Y24+Y26+Y31+Y32+Y33+Y28+Y29+Y30)*'III. Inputs, Renewable Energy'!$U$17</f>
        <v>839040</v>
      </c>
      <c r="Z43" s="1324">
        <f>(Z24+Z26+Z31+Z32+Z33+Z28+Z29+Z30)*'III. Inputs, Renewable Energy'!$U$17</f>
        <v>839040</v>
      </c>
      <c r="AA43" s="1325">
        <f>(AA24+AA26+AA31+AA32+AA33+AA28+AA29+AA30)*'III. Inputs, Renewable Energy'!$U$17</f>
        <v>839040</v>
      </c>
    </row>
    <row r="44" spans="2:27" x14ac:dyDescent="0.25">
      <c r="B44" s="541" t="s">
        <v>104</v>
      </c>
      <c r="C44" s="542"/>
      <c r="D44" s="542"/>
      <c r="E44" s="210"/>
      <c r="F44" s="210" t="s">
        <v>631</v>
      </c>
      <c r="G44" s="1320">
        <f>-('III. Inputs, Renewable Energy'!U254+('III. Inputs, Renewable Energy'!U250*'III. Inputs, Renewable Energy'!U252*'III. Inputs, Renewable Energy'!U253))*('III. Inputs, Renewable Energy'!U14/'III. Inputs, Renewable Energy'!U255)*'III. Inputs, Renewable Energy'!$S$27</f>
        <v>-17663999.999999996</v>
      </c>
      <c r="H44" s="1320">
        <f>SUM(H38:H43)</f>
        <v>-4090586.9053344019</v>
      </c>
      <c r="I44" s="1320">
        <f>SUM(I38:I43)</f>
        <v>-4150145.7339884229</v>
      </c>
      <c r="J44" s="1320">
        <f t="shared" ref="J44:AA44" si="10">SUM(J38:J43)</f>
        <v>-4213575.8865049556</v>
      </c>
      <c r="K44" s="1320">
        <f t="shared" si="10"/>
        <v>-4281128.9989350624</v>
      </c>
      <c r="L44" s="1320">
        <f t="shared" si="10"/>
        <v>-4353073.0636731256</v>
      </c>
      <c r="M44" s="1320">
        <f t="shared" si="10"/>
        <v>-4429693.4926191634</v>
      </c>
      <c r="N44" s="1320">
        <f t="shared" si="10"/>
        <v>-4511294.2494466938</v>
      </c>
      <c r="O44" s="1320">
        <f t="shared" si="10"/>
        <v>-4598199.0554680144</v>
      </c>
      <c r="P44" s="1320">
        <f t="shared" si="10"/>
        <v>-4690752.6738807205</v>
      </c>
      <c r="Q44" s="1320">
        <f t="shared" si="10"/>
        <v>-4789322.2774902508</v>
      </c>
      <c r="R44" s="1320">
        <f t="shared" si="10"/>
        <v>839040</v>
      </c>
      <c r="S44" s="1320">
        <f t="shared" si="10"/>
        <v>839040</v>
      </c>
      <c r="T44" s="1320">
        <f t="shared" si="10"/>
        <v>839040</v>
      </c>
      <c r="U44" s="1320">
        <f t="shared" si="10"/>
        <v>839040</v>
      </c>
      <c r="V44" s="1320">
        <f t="shared" si="10"/>
        <v>839040</v>
      </c>
      <c r="W44" s="1320">
        <f t="shared" si="10"/>
        <v>839040</v>
      </c>
      <c r="X44" s="1320">
        <f t="shared" si="10"/>
        <v>839040</v>
      </c>
      <c r="Y44" s="1320">
        <f t="shared" si="10"/>
        <v>839040</v>
      </c>
      <c r="Z44" s="1320">
        <f t="shared" si="10"/>
        <v>839040</v>
      </c>
      <c r="AA44" s="1323">
        <f t="shared" si="10"/>
        <v>839040</v>
      </c>
    </row>
    <row r="45" spans="2:27" x14ac:dyDescent="0.25">
      <c r="B45" s="541"/>
      <c r="C45" s="542"/>
      <c r="D45" s="542"/>
      <c r="E45" s="210"/>
      <c r="F45" s="542"/>
      <c r="G45" s="542"/>
      <c r="H45" s="542"/>
      <c r="I45" s="542"/>
      <c r="J45" s="542"/>
      <c r="K45" s="542"/>
      <c r="L45" s="542"/>
      <c r="M45" s="542"/>
      <c r="N45" s="542"/>
      <c r="O45" s="542"/>
      <c r="P45" s="542"/>
      <c r="Q45" s="542"/>
      <c r="R45" s="542"/>
      <c r="S45" s="542"/>
      <c r="T45" s="542"/>
      <c r="U45" s="542"/>
      <c r="V45" s="542"/>
      <c r="W45" s="542"/>
      <c r="X45" s="542"/>
      <c r="Y45" s="542"/>
      <c r="Z45" s="542"/>
      <c r="AA45" s="543"/>
    </row>
    <row r="46" spans="2:27" x14ac:dyDescent="0.25">
      <c r="B46" s="541" t="s">
        <v>105</v>
      </c>
      <c r="C46" s="542"/>
      <c r="D46" s="542"/>
      <c r="E46" s="210"/>
      <c r="F46" s="542"/>
      <c r="G46" s="1126">
        <f>SUM('III. Inputs, Renewable Energy'!$S$35)</f>
        <v>0.15</v>
      </c>
      <c r="H46" s="542"/>
      <c r="I46" s="542"/>
      <c r="J46" s="542"/>
      <c r="K46" s="542"/>
      <c r="L46" s="542"/>
      <c r="M46" s="542"/>
      <c r="N46" s="542"/>
      <c r="O46" s="542"/>
      <c r="P46" s="542"/>
      <c r="Q46" s="542"/>
      <c r="R46" s="542"/>
      <c r="S46" s="542"/>
      <c r="T46" s="542"/>
      <c r="U46" s="542"/>
      <c r="V46" s="542"/>
      <c r="W46" s="542"/>
      <c r="X46" s="542"/>
      <c r="Y46" s="542"/>
      <c r="Z46" s="542"/>
      <c r="AA46" s="543"/>
    </row>
    <row r="47" spans="2:27" x14ac:dyDescent="0.25">
      <c r="B47" s="541" t="s">
        <v>106</v>
      </c>
      <c r="C47" s="542"/>
      <c r="D47" s="542"/>
      <c r="E47" s="210"/>
      <c r="F47" s="542"/>
      <c r="G47" s="1320">
        <f>NPV(G46,H44:AA44)+G44</f>
        <v>-38332199.91246824</v>
      </c>
      <c r="H47" s="542"/>
      <c r="I47" s="542"/>
      <c r="J47" s="542"/>
      <c r="K47" s="542"/>
      <c r="L47" s="542"/>
      <c r="M47" s="542"/>
      <c r="N47" s="542"/>
      <c r="O47" s="542"/>
      <c r="P47" s="542"/>
      <c r="Q47" s="542"/>
      <c r="R47" s="542"/>
      <c r="S47" s="542"/>
      <c r="T47" s="542"/>
      <c r="U47" s="542"/>
      <c r="V47" s="542"/>
      <c r="W47" s="542"/>
      <c r="X47" s="542"/>
      <c r="Y47" s="542"/>
      <c r="Z47" s="542"/>
      <c r="AA47" s="543"/>
    </row>
    <row r="48" spans="2:27" ht="17.25" customHeight="1" x14ac:dyDescent="0.25">
      <c r="B48" s="541" t="s">
        <v>107</v>
      </c>
      <c r="C48" s="542"/>
      <c r="D48" s="542"/>
      <c r="E48" s="210"/>
      <c r="F48" s="542"/>
      <c r="G48" s="1320">
        <f>-NPV($G$46,H20:AA20)</f>
        <v>-8789904.0765808616</v>
      </c>
      <c r="H48" s="542"/>
      <c r="I48" s="542"/>
      <c r="J48" s="542"/>
      <c r="K48" s="542"/>
      <c r="L48" s="542"/>
      <c r="M48" s="542"/>
      <c r="N48" s="542"/>
      <c r="O48" s="542"/>
      <c r="P48" s="542"/>
      <c r="Q48" s="542"/>
      <c r="R48" s="542"/>
      <c r="S48" s="542"/>
      <c r="T48" s="542"/>
      <c r="U48" s="542"/>
      <c r="V48" s="542"/>
      <c r="W48" s="542"/>
      <c r="X48" s="542"/>
      <c r="Y48" s="542"/>
      <c r="Z48" s="542"/>
      <c r="AA48" s="543"/>
    </row>
    <row r="49" spans="2:27" ht="17.25" customHeight="1" thickBot="1" x14ac:dyDescent="0.3">
      <c r="B49" s="541" t="s">
        <v>108</v>
      </c>
      <c r="C49" s="542"/>
      <c r="D49" s="542"/>
      <c r="E49" s="210"/>
      <c r="F49" s="210" t="s">
        <v>633</v>
      </c>
      <c r="G49" s="1326">
        <f>IF(OR(G47=0, G48=0), 0, G47/G48)</f>
        <v>4.3609349520204184</v>
      </c>
      <c r="H49" s="542"/>
      <c r="I49" s="542"/>
      <c r="J49" s="542"/>
      <c r="K49" s="542"/>
      <c r="L49" s="542"/>
      <c r="M49" s="542"/>
      <c r="N49" s="542"/>
      <c r="O49" s="542"/>
      <c r="P49" s="542"/>
      <c r="Q49" s="542"/>
      <c r="R49" s="542"/>
      <c r="S49" s="542"/>
      <c r="T49" s="542"/>
      <c r="U49" s="542"/>
      <c r="V49" s="542"/>
      <c r="W49" s="542"/>
      <c r="X49" s="542"/>
      <c r="Y49" s="542"/>
      <c r="Z49" s="542"/>
      <c r="AA49" s="543"/>
    </row>
    <row r="50" spans="2:27" ht="17.25" customHeight="1" thickBot="1" x14ac:dyDescent="0.3">
      <c r="B50" s="557" t="s">
        <v>109</v>
      </c>
      <c r="C50" s="558"/>
      <c r="D50" s="558"/>
      <c r="E50" s="559"/>
      <c r="F50" s="559" t="s">
        <v>632</v>
      </c>
      <c r="G50" s="1327">
        <f>$G$49/(1-'III. Inputs, Renewable Energy'!$U$17)</f>
        <v>6.2299070743148839</v>
      </c>
      <c r="H50" s="542"/>
      <c r="I50" s="542"/>
      <c r="J50" s="542"/>
      <c r="K50" s="542"/>
      <c r="L50" s="542"/>
      <c r="M50" s="542"/>
      <c r="N50" s="542"/>
      <c r="O50" s="542"/>
      <c r="P50" s="542"/>
      <c r="Q50" s="542"/>
      <c r="R50" s="542"/>
      <c r="S50" s="542"/>
      <c r="T50" s="542"/>
      <c r="U50" s="542"/>
      <c r="V50" s="542"/>
      <c r="W50" s="542"/>
      <c r="X50" s="542"/>
      <c r="Y50" s="542"/>
      <c r="Z50" s="542"/>
      <c r="AA50" s="543"/>
    </row>
    <row r="51" spans="2:27" ht="17.25" customHeight="1" thickBot="1" x14ac:dyDescent="0.3">
      <c r="B51" s="560"/>
      <c r="C51" s="561"/>
      <c r="D51" s="561"/>
      <c r="E51" s="562"/>
      <c r="F51" s="562"/>
      <c r="G51" s="563"/>
      <c r="H51" s="564"/>
      <c r="I51" s="564"/>
      <c r="J51" s="564"/>
      <c r="K51" s="564"/>
      <c r="L51" s="564"/>
      <c r="M51" s="564"/>
      <c r="N51" s="564"/>
      <c r="O51" s="564"/>
      <c r="P51" s="564"/>
      <c r="Q51" s="564"/>
      <c r="R51" s="564"/>
      <c r="S51" s="564"/>
      <c r="T51" s="564"/>
      <c r="U51" s="564"/>
      <c r="V51" s="564"/>
      <c r="W51" s="564"/>
      <c r="X51" s="564"/>
      <c r="Y51" s="564"/>
      <c r="Z51" s="564"/>
      <c r="AA51" s="565"/>
    </row>
    <row r="52" spans="2:27" ht="17.25" customHeight="1" thickBot="1" x14ac:dyDescent="0.3"/>
    <row r="53" spans="2:27" ht="10.5" customHeight="1" outlineLevel="1" x14ac:dyDescent="0.25">
      <c r="B53" s="566"/>
      <c r="C53" s="539"/>
      <c r="D53" s="539"/>
      <c r="E53" s="539"/>
      <c r="F53" s="539"/>
      <c r="G53" s="539"/>
      <c r="H53" s="539"/>
      <c r="I53" s="539"/>
      <c r="J53" s="539"/>
      <c r="K53" s="539"/>
      <c r="L53" s="539"/>
      <c r="M53" s="539"/>
      <c r="N53" s="539"/>
      <c r="O53" s="539"/>
      <c r="P53" s="539"/>
      <c r="Q53" s="539"/>
      <c r="R53" s="539"/>
      <c r="S53" s="539"/>
      <c r="T53" s="539"/>
      <c r="U53" s="539"/>
      <c r="V53" s="539"/>
      <c r="W53" s="539"/>
      <c r="X53" s="539"/>
      <c r="Y53" s="539"/>
      <c r="Z53" s="539"/>
      <c r="AA53" s="539"/>
    </row>
    <row r="54" spans="2:27" ht="17.25" customHeight="1" outlineLevel="1" x14ac:dyDescent="0.25">
      <c r="B54" s="554" t="s">
        <v>110</v>
      </c>
      <c r="C54" s="542"/>
      <c r="D54" s="542"/>
      <c r="E54" s="542"/>
      <c r="F54" s="542"/>
      <c r="G54" s="542"/>
      <c r="H54" s="542"/>
      <c r="I54" s="542"/>
      <c r="J54" s="542"/>
      <c r="K54" s="542"/>
      <c r="L54" s="542"/>
      <c r="M54" s="542"/>
      <c r="N54" s="542"/>
      <c r="O54" s="542"/>
      <c r="P54" s="542"/>
      <c r="Q54" s="542"/>
      <c r="R54" s="542"/>
      <c r="S54" s="542"/>
      <c r="T54" s="542"/>
      <c r="U54" s="542"/>
      <c r="V54" s="542"/>
      <c r="W54" s="542"/>
      <c r="X54" s="542"/>
      <c r="Y54" s="542"/>
      <c r="Z54" s="542"/>
      <c r="AA54" s="542"/>
    </row>
    <row r="55" spans="2:27" ht="6.75" customHeight="1" outlineLevel="1" x14ac:dyDescent="0.25">
      <c r="B55" s="541"/>
      <c r="C55" s="542"/>
      <c r="D55" s="542"/>
      <c r="E55" s="210"/>
      <c r="F55" s="542"/>
      <c r="G55" s="542"/>
      <c r="H55" s="542"/>
      <c r="I55" s="542"/>
      <c r="J55" s="542"/>
      <c r="K55" s="542"/>
      <c r="L55" s="542"/>
      <c r="M55" s="542"/>
      <c r="N55" s="542"/>
      <c r="O55" s="542"/>
      <c r="P55" s="542"/>
      <c r="Q55" s="542"/>
      <c r="R55" s="542"/>
      <c r="S55" s="542"/>
      <c r="T55" s="542"/>
      <c r="U55" s="542"/>
      <c r="V55" s="542"/>
      <c r="W55" s="542"/>
      <c r="X55" s="542"/>
      <c r="Y55" s="542"/>
      <c r="Z55" s="542"/>
      <c r="AA55" s="542"/>
    </row>
    <row r="56" spans="2:27" ht="17.25" customHeight="1" outlineLevel="1" x14ac:dyDescent="0.25">
      <c r="B56" s="544" t="s">
        <v>58</v>
      </c>
      <c r="C56" s="545"/>
      <c r="D56" s="545"/>
      <c r="E56" s="546"/>
      <c r="F56" s="545"/>
      <c r="G56" s="546">
        <f>G16</f>
        <v>0</v>
      </c>
      <c r="H56" s="546">
        <f t="shared" ref="H56:AA56" si="11">H16</f>
        <v>1</v>
      </c>
      <c r="I56" s="546">
        <f t="shared" si="11"/>
        <v>2</v>
      </c>
      <c r="J56" s="546">
        <f t="shared" si="11"/>
        <v>3</v>
      </c>
      <c r="K56" s="546">
        <f t="shared" si="11"/>
        <v>4</v>
      </c>
      <c r="L56" s="546">
        <f t="shared" si="11"/>
        <v>5</v>
      </c>
      <c r="M56" s="546">
        <f t="shared" si="11"/>
        <v>6</v>
      </c>
      <c r="N56" s="546">
        <f t="shared" si="11"/>
        <v>7</v>
      </c>
      <c r="O56" s="546">
        <f t="shared" si="11"/>
        <v>8</v>
      </c>
      <c r="P56" s="546">
        <f t="shared" si="11"/>
        <v>9</v>
      </c>
      <c r="Q56" s="546">
        <f t="shared" si="11"/>
        <v>10</v>
      </c>
      <c r="R56" s="546">
        <f t="shared" si="11"/>
        <v>11</v>
      </c>
      <c r="S56" s="546">
        <f t="shared" si="11"/>
        <v>12</v>
      </c>
      <c r="T56" s="546">
        <f t="shared" si="11"/>
        <v>13</v>
      </c>
      <c r="U56" s="546">
        <f t="shared" si="11"/>
        <v>14</v>
      </c>
      <c r="V56" s="546">
        <f t="shared" si="11"/>
        <v>15</v>
      </c>
      <c r="W56" s="546">
        <f t="shared" si="11"/>
        <v>16</v>
      </c>
      <c r="X56" s="546">
        <f t="shared" si="11"/>
        <v>17</v>
      </c>
      <c r="Y56" s="546">
        <f t="shared" si="11"/>
        <v>18</v>
      </c>
      <c r="Z56" s="546">
        <f t="shared" si="11"/>
        <v>19</v>
      </c>
      <c r="AA56" s="546">
        <f t="shared" si="11"/>
        <v>20</v>
      </c>
    </row>
    <row r="57" spans="2:27" ht="17.25" customHeight="1" outlineLevel="1" x14ac:dyDescent="0.25">
      <c r="B57" s="541"/>
      <c r="C57" s="542"/>
      <c r="D57" s="542"/>
      <c r="E57" s="210"/>
      <c r="F57" s="542"/>
      <c r="G57" s="210"/>
      <c r="H57" s="210"/>
      <c r="I57" s="542"/>
      <c r="J57" s="542"/>
      <c r="K57" s="542"/>
      <c r="L57" s="542"/>
      <c r="M57" s="542"/>
      <c r="N57" s="542"/>
      <c r="O57" s="542"/>
      <c r="P57" s="542"/>
      <c r="Q57" s="542"/>
      <c r="R57" s="542"/>
      <c r="S57" s="542"/>
      <c r="T57" s="542"/>
      <c r="U57" s="542"/>
      <c r="V57" s="542"/>
      <c r="W57" s="542"/>
      <c r="X57" s="542"/>
      <c r="Y57" s="542"/>
      <c r="Z57" s="542"/>
      <c r="AA57" s="542"/>
    </row>
    <row r="58" spans="2:27" ht="17.25" customHeight="1" outlineLevel="1" x14ac:dyDescent="0.25">
      <c r="B58" s="541" t="s">
        <v>97</v>
      </c>
      <c r="C58" s="542"/>
      <c r="D58" s="542"/>
      <c r="E58" s="210"/>
      <c r="F58" s="210" t="s">
        <v>98</v>
      </c>
      <c r="G58" s="210"/>
      <c r="H58" s="567">
        <f>H20</f>
        <v>1404288</v>
      </c>
      <c r="I58" s="567">
        <f t="shared" ref="I58:AA58" si="12">I20</f>
        <v>1404288</v>
      </c>
      <c r="J58" s="567">
        <f t="shared" si="12"/>
        <v>1404288</v>
      </c>
      <c r="K58" s="567">
        <f t="shared" si="12"/>
        <v>1404288</v>
      </c>
      <c r="L58" s="567">
        <f t="shared" si="12"/>
        <v>1404288</v>
      </c>
      <c r="M58" s="567">
        <f t="shared" si="12"/>
        <v>1404288</v>
      </c>
      <c r="N58" s="567">
        <f t="shared" si="12"/>
        <v>1404288</v>
      </c>
      <c r="O58" s="567">
        <f t="shared" si="12"/>
        <v>1404288</v>
      </c>
      <c r="P58" s="567">
        <f t="shared" si="12"/>
        <v>1404288</v>
      </c>
      <c r="Q58" s="567">
        <f t="shared" si="12"/>
        <v>1404288</v>
      </c>
      <c r="R58" s="567">
        <f t="shared" si="12"/>
        <v>1404288</v>
      </c>
      <c r="S58" s="567">
        <f t="shared" si="12"/>
        <v>1404288</v>
      </c>
      <c r="T58" s="567">
        <f t="shared" si="12"/>
        <v>1404288</v>
      </c>
      <c r="U58" s="567">
        <f t="shared" si="12"/>
        <v>1404288</v>
      </c>
      <c r="V58" s="567">
        <f t="shared" si="12"/>
        <v>1404288</v>
      </c>
      <c r="W58" s="567">
        <f t="shared" si="12"/>
        <v>1404288</v>
      </c>
      <c r="X58" s="567">
        <f t="shared" si="12"/>
        <v>1404288</v>
      </c>
      <c r="Y58" s="567">
        <f t="shared" si="12"/>
        <v>1404288</v>
      </c>
      <c r="Z58" s="567">
        <f t="shared" si="12"/>
        <v>1404288</v>
      </c>
      <c r="AA58" s="567">
        <f t="shared" si="12"/>
        <v>1404288</v>
      </c>
    </row>
    <row r="59" spans="2:27" ht="17.25" customHeight="1" outlineLevel="1" x14ac:dyDescent="0.25">
      <c r="B59" s="541"/>
      <c r="C59" s="542"/>
      <c r="D59" s="542"/>
      <c r="E59" s="210"/>
      <c r="F59" s="210"/>
      <c r="G59" s="210"/>
      <c r="H59" s="568"/>
      <c r="I59" s="568"/>
      <c r="J59" s="568"/>
      <c r="K59" s="568"/>
      <c r="L59" s="568"/>
      <c r="M59" s="568"/>
      <c r="N59" s="568"/>
      <c r="O59" s="568"/>
      <c r="P59" s="568"/>
      <c r="Q59" s="568"/>
      <c r="R59" s="568"/>
      <c r="S59" s="568"/>
      <c r="T59" s="568"/>
      <c r="U59" s="568"/>
      <c r="V59" s="568"/>
      <c r="W59" s="568"/>
      <c r="X59" s="568"/>
      <c r="Y59" s="568"/>
      <c r="Z59" s="568"/>
      <c r="AA59" s="568"/>
    </row>
    <row r="60" spans="2:27" ht="17.25" customHeight="1" outlineLevel="1" x14ac:dyDescent="0.25">
      <c r="B60" s="541" t="s">
        <v>111</v>
      </c>
      <c r="C60" s="542"/>
      <c r="D60" s="542"/>
      <c r="E60" s="210"/>
      <c r="F60" s="210" t="s">
        <v>632</v>
      </c>
      <c r="G60" s="1350"/>
      <c r="H60" s="1356">
        <f>$G$50</f>
        <v>6.2299070743148839</v>
      </c>
      <c r="I60" s="1356">
        <f t="shared" ref="I60:AA60" si="13">$G$50</f>
        <v>6.2299070743148839</v>
      </c>
      <c r="J60" s="1356">
        <f t="shared" si="13"/>
        <v>6.2299070743148839</v>
      </c>
      <c r="K60" s="1356">
        <f t="shared" si="13"/>
        <v>6.2299070743148839</v>
      </c>
      <c r="L60" s="1356">
        <f t="shared" si="13"/>
        <v>6.2299070743148839</v>
      </c>
      <c r="M60" s="1356">
        <f t="shared" si="13"/>
        <v>6.2299070743148839</v>
      </c>
      <c r="N60" s="1356">
        <f t="shared" si="13"/>
        <v>6.2299070743148839</v>
      </c>
      <c r="O60" s="1356">
        <f t="shared" si="13"/>
        <v>6.2299070743148839</v>
      </c>
      <c r="P60" s="1356">
        <f t="shared" si="13"/>
        <v>6.2299070743148839</v>
      </c>
      <c r="Q60" s="1356">
        <f t="shared" si="13"/>
        <v>6.2299070743148839</v>
      </c>
      <c r="R60" s="1356">
        <f t="shared" si="13"/>
        <v>6.2299070743148839</v>
      </c>
      <c r="S60" s="1356">
        <f t="shared" si="13"/>
        <v>6.2299070743148839</v>
      </c>
      <c r="T60" s="1356">
        <f t="shared" si="13"/>
        <v>6.2299070743148839</v>
      </c>
      <c r="U60" s="1356">
        <f t="shared" si="13"/>
        <v>6.2299070743148839</v>
      </c>
      <c r="V60" s="1356">
        <f t="shared" si="13"/>
        <v>6.2299070743148839</v>
      </c>
      <c r="W60" s="1356">
        <f t="shared" si="13"/>
        <v>6.2299070743148839</v>
      </c>
      <c r="X60" s="1356">
        <f t="shared" si="13"/>
        <v>6.2299070743148839</v>
      </c>
      <c r="Y60" s="1356">
        <f t="shared" si="13"/>
        <v>6.2299070743148839</v>
      </c>
      <c r="Z60" s="1356">
        <f t="shared" si="13"/>
        <v>6.2299070743148839</v>
      </c>
      <c r="AA60" s="1356">
        <f t="shared" si="13"/>
        <v>6.2299070743148839</v>
      </c>
    </row>
    <row r="61" spans="2:27" ht="17.25" customHeight="1" outlineLevel="1" x14ac:dyDescent="0.25">
      <c r="B61" s="555"/>
      <c r="C61" s="552"/>
      <c r="D61" s="552"/>
      <c r="E61" s="184"/>
      <c r="F61" s="184"/>
      <c r="G61" s="1354"/>
      <c r="H61" s="1355"/>
      <c r="I61" s="1355"/>
      <c r="J61" s="1355"/>
      <c r="K61" s="1355"/>
      <c r="L61" s="1355"/>
      <c r="M61" s="1355"/>
      <c r="N61" s="1355"/>
      <c r="O61" s="1355"/>
      <c r="P61" s="1355"/>
      <c r="Q61" s="1355"/>
      <c r="R61" s="1355"/>
      <c r="S61" s="1355"/>
      <c r="T61" s="1355"/>
      <c r="U61" s="1355"/>
      <c r="V61" s="1355"/>
      <c r="W61" s="1355"/>
      <c r="X61" s="1355"/>
      <c r="Y61" s="1355"/>
      <c r="Z61" s="1355"/>
      <c r="AA61" s="1355"/>
    </row>
    <row r="62" spans="2:27" ht="17.25" customHeight="1" outlineLevel="1" x14ac:dyDescent="0.25">
      <c r="B62" s="541" t="s">
        <v>112</v>
      </c>
      <c r="C62" s="542"/>
      <c r="D62" s="542"/>
      <c r="E62" s="210"/>
      <c r="F62" s="210" t="s">
        <v>631</v>
      </c>
      <c r="G62" s="1350"/>
      <c r="H62" s="1351">
        <f>H58*H60</f>
        <v>8748583.7455754988</v>
      </c>
      <c r="I62" s="1351">
        <f t="shared" ref="I62:AA62" si="14">I58*I60</f>
        <v>8748583.7455754988</v>
      </c>
      <c r="J62" s="1351">
        <f t="shared" si="14"/>
        <v>8748583.7455754988</v>
      </c>
      <c r="K62" s="1351">
        <f t="shared" si="14"/>
        <v>8748583.7455754988</v>
      </c>
      <c r="L62" s="1351">
        <f t="shared" si="14"/>
        <v>8748583.7455754988</v>
      </c>
      <c r="M62" s="1351">
        <f t="shared" si="14"/>
        <v>8748583.7455754988</v>
      </c>
      <c r="N62" s="1351">
        <f t="shared" si="14"/>
        <v>8748583.7455754988</v>
      </c>
      <c r="O62" s="1351">
        <f t="shared" si="14"/>
        <v>8748583.7455754988</v>
      </c>
      <c r="P62" s="1351">
        <f t="shared" si="14"/>
        <v>8748583.7455754988</v>
      </c>
      <c r="Q62" s="1351">
        <f t="shared" si="14"/>
        <v>8748583.7455754988</v>
      </c>
      <c r="R62" s="1351">
        <f t="shared" si="14"/>
        <v>8748583.7455754988</v>
      </c>
      <c r="S62" s="1351">
        <f t="shared" si="14"/>
        <v>8748583.7455754988</v>
      </c>
      <c r="T62" s="1351">
        <f t="shared" si="14"/>
        <v>8748583.7455754988</v>
      </c>
      <c r="U62" s="1351">
        <f t="shared" si="14"/>
        <v>8748583.7455754988</v>
      </c>
      <c r="V62" s="1351">
        <f t="shared" si="14"/>
        <v>8748583.7455754988</v>
      </c>
      <c r="W62" s="1351">
        <f t="shared" si="14"/>
        <v>8748583.7455754988</v>
      </c>
      <c r="X62" s="1351">
        <f t="shared" si="14"/>
        <v>8748583.7455754988</v>
      </c>
      <c r="Y62" s="1351">
        <f t="shared" si="14"/>
        <v>8748583.7455754988</v>
      </c>
      <c r="Z62" s="1351">
        <f t="shared" si="14"/>
        <v>8748583.7455754988</v>
      </c>
      <c r="AA62" s="1351">
        <f t="shared" si="14"/>
        <v>8748583.7455754988</v>
      </c>
    </row>
    <row r="63" spans="2:27" ht="6.75" customHeight="1" outlineLevel="1" x14ac:dyDescent="0.25">
      <c r="B63" s="541"/>
      <c r="C63" s="542"/>
      <c r="D63" s="542"/>
      <c r="E63" s="210"/>
      <c r="F63" s="210"/>
      <c r="G63" s="1350"/>
      <c r="H63" s="1351"/>
      <c r="I63" s="1351"/>
      <c r="J63" s="1351"/>
      <c r="K63" s="1351"/>
      <c r="L63" s="1351"/>
      <c r="M63" s="1351"/>
      <c r="N63" s="1351"/>
      <c r="O63" s="1351"/>
      <c r="P63" s="1351"/>
      <c r="Q63" s="1351"/>
      <c r="R63" s="1351"/>
      <c r="S63" s="1351"/>
      <c r="T63" s="1351"/>
      <c r="U63" s="1351"/>
      <c r="V63" s="1351"/>
      <c r="W63" s="1351"/>
      <c r="X63" s="1351"/>
      <c r="Y63" s="1351"/>
      <c r="Z63" s="1351"/>
      <c r="AA63" s="1351"/>
    </row>
    <row r="64" spans="2:27" ht="17.25" customHeight="1" outlineLevel="1" x14ac:dyDescent="0.25">
      <c r="B64" s="541" t="s">
        <v>113</v>
      </c>
      <c r="C64" s="542"/>
      <c r="D64" s="542"/>
      <c r="E64" s="210"/>
      <c r="F64" s="210" t="s">
        <v>631</v>
      </c>
      <c r="G64" s="1350"/>
      <c r="H64" s="1351">
        <f>-H24</f>
        <v>0</v>
      </c>
      <c r="I64" s="1351">
        <f t="shared" ref="I64:AA64" si="15">-I24</f>
        <v>0</v>
      </c>
      <c r="J64" s="1351">
        <f t="shared" si="15"/>
        <v>0</v>
      </c>
      <c r="K64" s="1351">
        <f t="shared" si="15"/>
        <v>0</v>
      </c>
      <c r="L64" s="1351">
        <f t="shared" si="15"/>
        <v>0</v>
      </c>
      <c r="M64" s="1351">
        <f t="shared" si="15"/>
        <v>0</v>
      </c>
      <c r="N64" s="1351">
        <f t="shared" si="15"/>
        <v>0</v>
      </c>
      <c r="O64" s="1351">
        <f t="shared" si="15"/>
        <v>0</v>
      </c>
      <c r="P64" s="1351">
        <f t="shared" si="15"/>
        <v>0</v>
      </c>
      <c r="Q64" s="1351">
        <f t="shared" si="15"/>
        <v>0</v>
      </c>
      <c r="R64" s="1351">
        <f t="shared" si="15"/>
        <v>0</v>
      </c>
      <c r="S64" s="1351">
        <f t="shared" si="15"/>
        <v>0</v>
      </c>
      <c r="T64" s="1351">
        <f t="shared" si="15"/>
        <v>0</v>
      </c>
      <c r="U64" s="1351">
        <f t="shared" si="15"/>
        <v>0</v>
      </c>
      <c r="V64" s="1351">
        <f t="shared" si="15"/>
        <v>0</v>
      </c>
      <c r="W64" s="1351">
        <f t="shared" si="15"/>
        <v>0</v>
      </c>
      <c r="X64" s="1351">
        <f t="shared" si="15"/>
        <v>0</v>
      </c>
      <c r="Y64" s="1351">
        <f t="shared" si="15"/>
        <v>0</v>
      </c>
      <c r="Z64" s="1351">
        <f t="shared" si="15"/>
        <v>0</v>
      </c>
      <c r="AA64" s="1351">
        <f t="shared" si="15"/>
        <v>0</v>
      </c>
    </row>
    <row r="65" spans="2:27" ht="4.5" customHeight="1" outlineLevel="1" x14ac:dyDescent="0.25">
      <c r="B65" s="541"/>
      <c r="C65" s="542"/>
      <c r="D65" s="542"/>
      <c r="E65" s="210"/>
      <c r="F65" s="210"/>
      <c r="G65" s="1350"/>
      <c r="H65" s="1351"/>
      <c r="I65" s="1351"/>
      <c r="J65" s="1351"/>
      <c r="K65" s="1351"/>
      <c r="L65" s="1351"/>
      <c r="M65" s="1351"/>
      <c r="N65" s="1351"/>
      <c r="O65" s="1351"/>
      <c r="P65" s="1351"/>
      <c r="Q65" s="1351"/>
      <c r="R65" s="1351"/>
      <c r="S65" s="1351"/>
      <c r="T65" s="1351"/>
      <c r="U65" s="1351"/>
      <c r="V65" s="1351"/>
      <c r="W65" s="1351"/>
      <c r="X65" s="1351"/>
      <c r="Y65" s="1351"/>
      <c r="Z65" s="1351"/>
      <c r="AA65" s="1351"/>
    </row>
    <row r="66" spans="2:27" ht="17.25" customHeight="1" outlineLevel="1" x14ac:dyDescent="0.25">
      <c r="B66" s="554" t="s">
        <v>114</v>
      </c>
      <c r="C66" s="570"/>
      <c r="D66" s="570"/>
      <c r="E66" s="571"/>
      <c r="F66" s="571"/>
      <c r="G66" s="1352"/>
      <c r="H66" s="1353">
        <f>H62+H64</f>
        <v>8748583.7455754988</v>
      </c>
      <c r="I66" s="1353">
        <f t="shared" ref="I66:AA66" si="16">I62+I64</f>
        <v>8748583.7455754988</v>
      </c>
      <c r="J66" s="1353">
        <f t="shared" si="16"/>
        <v>8748583.7455754988</v>
      </c>
      <c r="K66" s="1353">
        <f t="shared" si="16"/>
        <v>8748583.7455754988</v>
      </c>
      <c r="L66" s="1353">
        <f t="shared" si="16"/>
        <v>8748583.7455754988</v>
      </c>
      <c r="M66" s="1353">
        <f t="shared" si="16"/>
        <v>8748583.7455754988</v>
      </c>
      <c r="N66" s="1353">
        <f t="shared" si="16"/>
        <v>8748583.7455754988</v>
      </c>
      <c r="O66" s="1353">
        <f t="shared" si="16"/>
        <v>8748583.7455754988</v>
      </c>
      <c r="P66" s="1353">
        <f t="shared" si="16"/>
        <v>8748583.7455754988</v>
      </c>
      <c r="Q66" s="1353">
        <f t="shared" si="16"/>
        <v>8748583.7455754988</v>
      </c>
      <c r="R66" s="1353">
        <f t="shared" si="16"/>
        <v>8748583.7455754988</v>
      </c>
      <c r="S66" s="1353">
        <f t="shared" si="16"/>
        <v>8748583.7455754988</v>
      </c>
      <c r="T66" s="1353">
        <f t="shared" si="16"/>
        <v>8748583.7455754988</v>
      </c>
      <c r="U66" s="1353">
        <f t="shared" si="16"/>
        <v>8748583.7455754988</v>
      </c>
      <c r="V66" s="1353">
        <f t="shared" si="16"/>
        <v>8748583.7455754988</v>
      </c>
      <c r="W66" s="1353">
        <f t="shared" si="16"/>
        <v>8748583.7455754988</v>
      </c>
      <c r="X66" s="1353">
        <f t="shared" si="16"/>
        <v>8748583.7455754988</v>
      </c>
      <c r="Y66" s="1353">
        <f t="shared" si="16"/>
        <v>8748583.7455754988</v>
      </c>
      <c r="Z66" s="1353">
        <f t="shared" si="16"/>
        <v>8748583.7455754988</v>
      </c>
      <c r="AA66" s="1353">
        <f t="shared" si="16"/>
        <v>8748583.7455754988</v>
      </c>
    </row>
    <row r="67" spans="2:27" ht="7.5" customHeight="1" outlineLevel="1" x14ac:dyDescent="0.25">
      <c r="B67" s="541"/>
      <c r="C67" s="542"/>
      <c r="D67" s="542"/>
      <c r="E67" s="210"/>
      <c r="F67" s="210"/>
      <c r="G67" s="1350"/>
      <c r="H67" s="1351"/>
      <c r="I67" s="1351"/>
      <c r="J67" s="1351"/>
      <c r="K67" s="1351"/>
      <c r="L67" s="1351"/>
      <c r="M67" s="1351"/>
      <c r="N67" s="1351"/>
      <c r="O67" s="1351"/>
      <c r="P67" s="1351"/>
      <c r="Q67" s="1351"/>
      <c r="R67" s="1351"/>
      <c r="S67" s="1351"/>
      <c r="T67" s="1351"/>
      <c r="U67" s="1351"/>
      <c r="V67" s="1351"/>
      <c r="W67" s="1351"/>
      <c r="X67" s="1351"/>
      <c r="Y67" s="1351"/>
      <c r="Z67" s="1351"/>
      <c r="AA67" s="1351"/>
    </row>
    <row r="68" spans="2:27" ht="17.25" customHeight="1" outlineLevel="1" x14ac:dyDescent="0.25">
      <c r="B68" s="541" t="s">
        <v>115</v>
      </c>
      <c r="C68" s="542"/>
      <c r="D68" s="542"/>
      <c r="E68" s="210"/>
      <c r="F68" s="210"/>
      <c r="G68" s="1350"/>
      <c r="H68" s="1351">
        <f>-H26</f>
        <v>-2796800</v>
      </c>
      <c r="I68" s="1351">
        <f t="shared" ref="I68:AA68" si="17">-I26</f>
        <v>-2796800</v>
      </c>
      <c r="J68" s="1351">
        <f t="shared" si="17"/>
        <v>-2796800</v>
      </c>
      <c r="K68" s="1351">
        <f t="shared" si="17"/>
        <v>-2796800</v>
      </c>
      <c r="L68" s="1351">
        <f t="shared" si="17"/>
        <v>-2796800</v>
      </c>
      <c r="M68" s="1351">
        <f t="shared" si="17"/>
        <v>-2796800</v>
      </c>
      <c r="N68" s="1351">
        <f t="shared" si="17"/>
        <v>-2796800</v>
      </c>
      <c r="O68" s="1351">
        <f t="shared" si="17"/>
        <v>-2796800</v>
      </c>
      <c r="P68" s="1351">
        <f t="shared" si="17"/>
        <v>-2796800</v>
      </c>
      <c r="Q68" s="1351">
        <f t="shared" si="17"/>
        <v>-2796800</v>
      </c>
      <c r="R68" s="1351">
        <f t="shared" si="17"/>
        <v>-2796800</v>
      </c>
      <c r="S68" s="1351">
        <f t="shared" si="17"/>
        <v>-2796800</v>
      </c>
      <c r="T68" s="1351">
        <f t="shared" si="17"/>
        <v>-2796800</v>
      </c>
      <c r="U68" s="1351">
        <f t="shared" si="17"/>
        <v>-2796800</v>
      </c>
      <c r="V68" s="1351">
        <f t="shared" si="17"/>
        <v>-2796800</v>
      </c>
      <c r="W68" s="1351">
        <f t="shared" si="17"/>
        <v>-2796800</v>
      </c>
      <c r="X68" s="1351">
        <f t="shared" si="17"/>
        <v>-2796800</v>
      </c>
      <c r="Y68" s="1351">
        <f t="shared" si="17"/>
        <v>-2796800</v>
      </c>
      <c r="Z68" s="1351">
        <f t="shared" si="17"/>
        <v>-2796800</v>
      </c>
      <c r="AA68" s="1351">
        <f t="shared" si="17"/>
        <v>-2796800</v>
      </c>
    </row>
    <row r="69" spans="2:27" ht="9" customHeight="1" outlineLevel="1" x14ac:dyDescent="0.25">
      <c r="B69" s="541"/>
      <c r="C69" s="542"/>
      <c r="D69" s="542"/>
      <c r="E69" s="210"/>
      <c r="F69" s="210"/>
      <c r="G69" s="1350"/>
      <c r="H69" s="1351"/>
      <c r="I69" s="1351"/>
      <c r="J69" s="1351"/>
      <c r="K69" s="1351"/>
      <c r="L69" s="1351"/>
      <c r="M69" s="1351"/>
      <c r="N69" s="1351"/>
      <c r="O69" s="1351"/>
      <c r="P69" s="1351"/>
      <c r="Q69" s="1351"/>
      <c r="R69" s="1351"/>
      <c r="S69" s="1351"/>
      <c r="T69" s="1351"/>
      <c r="U69" s="1351"/>
      <c r="V69" s="1351"/>
      <c r="W69" s="1351"/>
      <c r="X69" s="1351"/>
      <c r="Y69" s="1351"/>
      <c r="Z69" s="1351"/>
      <c r="AA69" s="1351"/>
    </row>
    <row r="70" spans="2:27" ht="17.25" customHeight="1" outlineLevel="1" x14ac:dyDescent="0.25">
      <c r="B70" s="554" t="s">
        <v>116</v>
      </c>
      <c r="C70" s="570"/>
      <c r="D70" s="570"/>
      <c r="E70" s="571"/>
      <c r="F70" s="571"/>
      <c r="G70" s="1352"/>
      <c r="H70" s="1353">
        <f>H66+H68</f>
        <v>5951783.7455754988</v>
      </c>
      <c r="I70" s="1353">
        <f t="shared" ref="I70:AA70" si="18">I66+I68</f>
        <v>5951783.7455754988</v>
      </c>
      <c r="J70" s="1353">
        <f t="shared" si="18"/>
        <v>5951783.7455754988</v>
      </c>
      <c r="K70" s="1353">
        <f t="shared" si="18"/>
        <v>5951783.7455754988</v>
      </c>
      <c r="L70" s="1353">
        <f t="shared" si="18"/>
        <v>5951783.7455754988</v>
      </c>
      <c r="M70" s="1353">
        <f t="shared" si="18"/>
        <v>5951783.7455754988</v>
      </c>
      <c r="N70" s="1353">
        <f t="shared" si="18"/>
        <v>5951783.7455754988</v>
      </c>
      <c r="O70" s="1353">
        <f t="shared" si="18"/>
        <v>5951783.7455754988</v>
      </c>
      <c r="P70" s="1353">
        <f t="shared" si="18"/>
        <v>5951783.7455754988</v>
      </c>
      <c r="Q70" s="1353">
        <f t="shared" si="18"/>
        <v>5951783.7455754988</v>
      </c>
      <c r="R70" s="1353">
        <f t="shared" si="18"/>
        <v>5951783.7455754988</v>
      </c>
      <c r="S70" s="1353">
        <f t="shared" si="18"/>
        <v>5951783.7455754988</v>
      </c>
      <c r="T70" s="1353">
        <f t="shared" si="18"/>
        <v>5951783.7455754988</v>
      </c>
      <c r="U70" s="1353">
        <f t="shared" si="18"/>
        <v>5951783.7455754988</v>
      </c>
      <c r="V70" s="1353">
        <f t="shared" si="18"/>
        <v>5951783.7455754988</v>
      </c>
      <c r="W70" s="1353">
        <f t="shared" si="18"/>
        <v>5951783.7455754988</v>
      </c>
      <c r="X70" s="1353">
        <f t="shared" si="18"/>
        <v>5951783.7455754988</v>
      </c>
      <c r="Y70" s="1353">
        <f t="shared" si="18"/>
        <v>5951783.7455754988</v>
      </c>
      <c r="Z70" s="1353">
        <f t="shared" si="18"/>
        <v>5951783.7455754988</v>
      </c>
      <c r="AA70" s="1353">
        <f t="shared" si="18"/>
        <v>5951783.7455754988</v>
      </c>
    </row>
    <row r="71" spans="2:27" ht="6.75" customHeight="1" outlineLevel="1" x14ac:dyDescent="0.25">
      <c r="B71" s="541"/>
      <c r="C71" s="542"/>
      <c r="D71" s="542"/>
      <c r="E71" s="210"/>
      <c r="F71" s="210"/>
      <c r="G71" s="1350"/>
      <c r="H71" s="1351"/>
      <c r="I71" s="1351"/>
      <c r="J71" s="1351"/>
      <c r="K71" s="1351"/>
      <c r="L71" s="1351"/>
      <c r="M71" s="1351"/>
      <c r="N71" s="1351"/>
      <c r="O71" s="1351"/>
      <c r="P71" s="1351"/>
      <c r="Q71" s="1351"/>
      <c r="R71" s="1351"/>
      <c r="S71" s="1351"/>
      <c r="T71" s="1351"/>
      <c r="U71" s="1351"/>
      <c r="V71" s="1351"/>
      <c r="W71" s="1351"/>
      <c r="X71" s="1351"/>
      <c r="Y71" s="1351"/>
      <c r="Z71" s="1351"/>
      <c r="AA71" s="1351"/>
    </row>
    <row r="72" spans="2:27" ht="17.25" customHeight="1" outlineLevel="1" x14ac:dyDescent="0.25">
      <c r="B72" s="541" t="str">
        <f t="shared" ref="B72:B77" si="19">B28</f>
        <v xml:space="preserve">Interest Expense, public loan </v>
      </c>
      <c r="C72" s="542"/>
      <c r="D72" s="542"/>
      <c r="E72" s="210"/>
      <c r="F72" s="210"/>
      <c r="G72" s="1350"/>
      <c r="H72" s="1351">
        <f t="shared" ref="H72:AA77" si="20">-H28</f>
        <v>0</v>
      </c>
      <c r="I72" s="1351">
        <f t="shared" si="20"/>
        <v>0</v>
      </c>
      <c r="J72" s="1351">
        <f t="shared" si="20"/>
        <v>0</v>
      </c>
      <c r="K72" s="1351">
        <f t="shared" si="20"/>
        <v>0</v>
      </c>
      <c r="L72" s="1351">
        <f t="shared" si="20"/>
        <v>0</v>
      </c>
      <c r="M72" s="1351">
        <f t="shared" si="20"/>
        <v>0</v>
      </c>
      <c r="N72" s="1351">
        <f t="shared" si="20"/>
        <v>0</v>
      </c>
      <c r="O72" s="1351">
        <f t="shared" si="20"/>
        <v>0</v>
      </c>
      <c r="P72" s="1351">
        <f t="shared" si="20"/>
        <v>0</v>
      </c>
      <c r="Q72" s="1351">
        <f t="shared" si="20"/>
        <v>0</v>
      </c>
      <c r="R72" s="1351">
        <f t="shared" si="20"/>
        <v>0</v>
      </c>
      <c r="S72" s="1351">
        <f t="shared" si="20"/>
        <v>0</v>
      </c>
      <c r="T72" s="1351">
        <f t="shared" si="20"/>
        <v>0</v>
      </c>
      <c r="U72" s="1351">
        <f t="shared" si="20"/>
        <v>0</v>
      </c>
      <c r="V72" s="1351">
        <f t="shared" si="20"/>
        <v>0</v>
      </c>
      <c r="W72" s="1351">
        <f t="shared" si="20"/>
        <v>0</v>
      </c>
      <c r="X72" s="1351">
        <f t="shared" si="20"/>
        <v>0</v>
      </c>
      <c r="Y72" s="1351">
        <f t="shared" si="20"/>
        <v>0</v>
      </c>
      <c r="Z72" s="1351">
        <f t="shared" si="20"/>
        <v>0</v>
      </c>
      <c r="AA72" s="1351">
        <f t="shared" si="20"/>
        <v>0</v>
      </c>
    </row>
    <row r="73" spans="2:27" ht="17.25" customHeight="1" outlineLevel="1" x14ac:dyDescent="0.25">
      <c r="B73" s="541" t="str">
        <f t="shared" si="19"/>
        <v>Interest Expense, commercial loan with public guarantees</v>
      </c>
      <c r="C73" s="542"/>
      <c r="D73" s="542"/>
      <c r="E73" s="210"/>
      <c r="F73" s="210"/>
      <c r="G73" s="1350"/>
      <c r="H73" s="1351">
        <f t="shared" si="20"/>
        <v>0</v>
      </c>
      <c r="I73" s="1351">
        <f t="shared" si="20"/>
        <v>0</v>
      </c>
      <c r="J73" s="1351">
        <f t="shared" si="20"/>
        <v>0</v>
      </c>
      <c r="K73" s="1351">
        <f t="shared" si="20"/>
        <v>0</v>
      </c>
      <c r="L73" s="1351">
        <f t="shared" si="20"/>
        <v>0</v>
      </c>
      <c r="M73" s="1351">
        <f t="shared" si="20"/>
        <v>0</v>
      </c>
      <c r="N73" s="1351">
        <f t="shared" si="20"/>
        <v>0</v>
      </c>
      <c r="O73" s="1351">
        <f t="shared" si="20"/>
        <v>0</v>
      </c>
      <c r="P73" s="1351">
        <f t="shared" si="20"/>
        <v>0</v>
      </c>
      <c r="Q73" s="1351">
        <f t="shared" si="20"/>
        <v>0</v>
      </c>
      <c r="R73" s="1351">
        <f t="shared" si="20"/>
        <v>0</v>
      </c>
      <c r="S73" s="1351">
        <f t="shared" si="20"/>
        <v>0</v>
      </c>
      <c r="T73" s="1351">
        <f t="shared" si="20"/>
        <v>0</v>
      </c>
      <c r="U73" s="1351">
        <f t="shared" si="20"/>
        <v>0</v>
      </c>
      <c r="V73" s="1351">
        <f t="shared" si="20"/>
        <v>0</v>
      </c>
      <c r="W73" s="1351">
        <f t="shared" si="20"/>
        <v>0</v>
      </c>
      <c r="X73" s="1351">
        <f t="shared" si="20"/>
        <v>0</v>
      </c>
      <c r="Y73" s="1351">
        <f t="shared" si="20"/>
        <v>0</v>
      </c>
      <c r="Z73" s="1351">
        <f t="shared" si="20"/>
        <v>0</v>
      </c>
      <c r="AA73" s="1351">
        <f t="shared" si="20"/>
        <v>0</v>
      </c>
    </row>
    <row r="74" spans="2:27" ht="17.25" customHeight="1" outlineLevel="1" x14ac:dyDescent="0.25">
      <c r="B74" s="541" t="str">
        <f t="shared" si="19"/>
        <v>Interest Expense, commercial loan without public guarantees</v>
      </c>
      <c r="C74" s="542"/>
      <c r="D74" s="542"/>
      <c r="E74" s="210"/>
      <c r="F74" s="210"/>
      <c r="G74" s="1350"/>
      <c r="H74" s="1351">
        <f t="shared" si="20"/>
        <v>-2679039.9999999995</v>
      </c>
      <c r="I74" s="1351">
        <f t="shared" si="20"/>
        <v>-2480510.5711532631</v>
      </c>
      <c r="J74" s="1351">
        <f t="shared" si="20"/>
        <v>-2269076.7294314895</v>
      </c>
      <c r="K74" s="1351">
        <f t="shared" si="20"/>
        <v>-2043899.6879978001</v>
      </c>
      <c r="L74" s="1351">
        <f t="shared" si="20"/>
        <v>-1804086.138870921</v>
      </c>
      <c r="M74" s="1351">
        <f t="shared" si="20"/>
        <v>-1548684.7090507944</v>
      </c>
      <c r="N74" s="1351">
        <f t="shared" si="20"/>
        <v>-1276682.1862923601</v>
      </c>
      <c r="O74" s="1351">
        <f t="shared" si="20"/>
        <v>-986999.49955462746</v>
      </c>
      <c r="P74" s="1351">
        <f t="shared" si="20"/>
        <v>-678487.43817894184</v>
      </c>
      <c r="Q74" s="1351">
        <f t="shared" si="20"/>
        <v>-349922.09281383676</v>
      </c>
      <c r="R74" s="1351">
        <f t="shared" si="20"/>
        <v>0</v>
      </c>
      <c r="S74" s="1351">
        <f t="shared" si="20"/>
        <v>0</v>
      </c>
      <c r="T74" s="1351">
        <f t="shared" si="20"/>
        <v>0</v>
      </c>
      <c r="U74" s="1351">
        <f t="shared" si="20"/>
        <v>0</v>
      </c>
      <c r="V74" s="1351">
        <f t="shared" si="20"/>
        <v>0</v>
      </c>
      <c r="W74" s="1351">
        <f t="shared" si="20"/>
        <v>0</v>
      </c>
      <c r="X74" s="1351">
        <f t="shared" si="20"/>
        <v>0</v>
      </c>
      <c r="Y74" s="1351">
        <f t="shared" si="20"/>
        <v>0</v>
      </c>
      <c r="Z74" s="1351">
        <f t="shared" si="20"/>
        <v>0</v>
      </c>
      <c r="AA74" s="1351">
        <f t="shared" si="20"/>
        <v>0</v>
      </c>
    </row>
    <row r="75" spans="2:27" ht="17.25" customHeight="1" outlineLevel="1" x14ac:dyDescent="0.25">
      <c r="B75" s="541" t="str">
        <f t="shared" si="19"/>
        <v xml:space="preserve">Front-end Fees </v>
      </c>
      <c r="C75" s="542"/>
      <c r="D75" s="542"/>
      <c r="E75" s="210"/>
      <c r="F75" s="210"/>
      <c r="G75" s="1350"/>
      <c r="H75" s="1351">
        <f t="shared" si="20"/>
        <v>0</v>
      </c>
      <c r="I75" s="1351">
        <f t="shared" si="20"/>
        <v>0</v>
      </c>
      <c r="J75" s="1351">
        <f t="shared" si="20"/>
        <v>0</v>
      </c>
      <c r="K75" s="1351">
        <f t="shared" si="20"/>
        <v>0</v>
      </c>
      <c r="L75" s="1351">
        <f t="shared" si="20"/>
        <v>0</v>
      </c>
      <c r="M75" s="1351">
        <f t="shared" si="20"/>
        <v>0</v>
      </c>
      <c r="N75" s="1351">
        <f t="shared" si="20"/>
        <v>0</v>
      </c>
      <c r="O75" s="1351">
        <f t="shared" si="20"/>
        <v>0</v>
      </c>
      <c r="P75" s="1351">
        <f t="shared" si="20"/>
        <v>0</v>
      </c>
      <c r="Q75" s="1351">
        <f t="shared" si="20"/>
        <v>0</v>
      </c>
      <c r="R75" s="1351">
        <f t="shared" si="20"/>
        <v>0</v>
      </c>
      <c r="S75" s="1351">
        <f t="shared" si="20"/>
        <v>0</v>
      </c>
      <c r="T75" s="1351">
        <f t="shared" si="20"/>
        <v>0</v>
      </c>
      <c r="U75" s="1351">
        <f t="shared" si="20"/>
        <v>0</v>
      </c>
      <c r="V75" s="1351">
        <f t="shared" si="20"/>
        <v>0</v>
      </c>
      <c r="W75" s="1351">
        <f t="shared" si="20"/>
        <v>0</v>
      </c>
      <c r="X75" s="1351">
        <f t="shared" si="20"/>
        <v>0</v>
      </c>
      <c r="Y75" s="1351">
        <f t="shared" si="20"/>
        <v>0</v>
      </c>
      <c r="Z75" s="1351">
        <f t="shared" si="20"/>
        <v>0</v>
      </c>
      <c r="AA75" s="1351">
        <f t="shared" si="20"/>
        <v>0</v>
      </c>
    </row>
    <row r="76" spans="2:27" ht="17.25" customHeight="1" outlineLevel="1" x14ac:dyDescent="0.25">
      <c r="B76" s="541" t="str">
        <f t="shared" si="19"/>
        <v xml:space="preserve">Public Guarantee Fees </v>
      </c>
      <c r="C76" s="542"/>
      <c r="D76" s="542"/>
      <c r="E76" s="210"/>
      <c r="F76" s="210"/>
      <c r="G76" s="1350"/>
      <c r="H76" s="1351">
        <f t="shared" si="20"/>
        <v>0</v>
      </c>
      <c r="I76" s="1351">
        <f t="shared" si="20"/>
        <v>0</v>
      </c>
      <c r="J76" s="1351">
        <f t="shared" si="20"/>
        <v>0</v>
      </c>
      <c r="K76" s="1351">
        <f t="shared" si="20"/>
        <v>0</v>
      </c>
      <c r="L76" s="1351">
        <f t="shared" si="20"/>
        <v>0</v>
      </c>
      <c r="M76" s="1351">
        <f t="shared" si="20"/>
        <v>0</v>
      </c>
      <c r="N76" s="1351">
        <f t="shared" si="20"/>
        <v>0</v>
      </c>
      <c r="O76" s="1351">
        <f t="shared" si="20"/>
        <v>0</v>
      </c>
      <c r="P76" s="1351">
        <f t="shared" si="20"/>
        <v>0</v>
      </c>
      <c r="Q76" s="1351">
        <f t="shared" si="20"/>
        <v>0</v>
      </c>
      <c r="R76" s="1351">
        <f t="shared" si="20"/>
        <v>0</v>
      </c>
      <c r="S76" s="1351">
        <f t="shared" si="20"/>
        <v>0</v>
      </c>
      <c r="T76" s="1351">
        <f t="shared" si="20"/>
        <v>0</v>
      </c>
      <c r="U76" s="1351">
        <f t="shared" si="20"/>
        <v>0</v>
      </c>
      <c r="V76" s="1351">
        <f t="shared" si="20"/>
        <v>0</v>
      </c>
      <c r="W76" s="1351">
        <f t="shared" si="20"/>
        <v>0</v>
      </c>
      <c r="X76" s="1351">
        <f t="shared" si="20"/>
        <v>0</v>
      </c>
      <c r="Y76" s="1351">
        <f t="shared" si="20"/>
        <v>0</v>
      </c>
      <c r="Z76" s="1351">
        <f t="shared" si="20"/>
        <v>0</v>
      </c>
      <c r="AA76" s="1351">
        <f t="shared" si="20"/>
        <v>0</v>
      </c>
    </row>
    <row r="77" spans="2:27" ht="17.25" customHeight="1" outlineLevel="1" x14ac:dyDescent="0.25">
      <c r="B77" s="541" t="str">
        <f t="shared" si="19"/>
        <v>Political Risk Insurance - Fees &amp; Annual Premium Payments</v>
      </c>
      <c r="C77" s="542"/>
      <c r="D77" s="542"/>
      <c r="E77" s="210"/>
      <c r="F77" s="210"/>
      <c r="G77" s="1350"/>
      <c r="H77" s="1351">
        <f t="shared" si="20"/>
        <v>0</v>
      </c>
      <c r="I77" s="1351">
        <f t="shared" si="20"/>
        <v>0</v>
      </c>
      <c r="J77" s="1351">
        <f t="shared" si="20"/>
        <v>0</v>
      </c>
      <c r="K77" s="1351">
        <f t="shared" si="20"/>
        <v>0</v>
      </c>
      <c r="L77" s="1351">
        <f t="shared" si="20"/>
        <v>0</v>
      </c>
      <c r="M77" s="1351">
        <f t="shared" si="20"/>
        <v>0</v>
      </c>
      <c r="N77" s="1351">
        <f t="shared" si="20"/>
        <v>0</v>
      </c>
      <c r="O77" s="1351">
        <f t="shared" si="20"/>
        <v>0</v>
      </c>
      <c r="P77" s="1351">
        <f t="shared" si="20"/>
        <v>0</v>
      </c>
      <c r="Q77" s="1351">
        <f t="shared" si="20"/>
        <v>0</v>
      </c>
      <c r="R77" s="1351">
        <f t="shared" si="20"/>
        <v>0</v>
      </c>
      <c r="S77" s="1351">
        <f t="shared" si="20"/>
        <v>0</v>
      </c>
      <c r="T77" s="1351">
        <f t="shared" si="20"/>
        <v>0</v>
      </c>
      <c r="U77" s="1351">
        <f t="shared" si="20"/>
        <v>0</v>
      </c>
      <c r="V77" s="1351">
        <f t="shared" si="20"/>
        <v>0</v>
      </c>
      <c r="W77" s="1351">
        <f t="shared" si="20"/>
        <v>0</v>
      </c>
      <c r="X77" s="1351">
        <f t="shared" si="20"/>
        <v>0</v>
      </c>
      <c r="Y77" s="1351">
        <f t="shared" si="20"/>
        <v>0</v>
      </c>
      <c r="Z77" s="1351">
        <f t="shared" si="20"/>
        <v>0</v>
      </c>
      <c r="AA77" s="1351">
        <f t="shared" si="20"/>
        <v>0</v>
      </c>
    </row>
    <row r="78" spans="2:27" ht="9.75" customHeight="1" outlineLevel="1" x14ac:dyDescent="0.25">
      <c r="B78" s="541"/>
      <c r="C78" s="542"/>
      <c r="D78" s="542"/>
      <c r="E78" s="210"/>
      <c r="F78" s="210"/>
      <c r="G78" s="1350"/>
      <c r="H78" s="1351"/>
      <c r="I78" s="1351"/>
      <c r="J78" s="1351"/>
      <c r="K78" s="1351"/>
      <c r="L78" s="1351"/>
      <c r="M78" s="1351"/>
      <c r="N78" s="1351"/>
      <c r="O78" s="1351"/>
      <c r="P78" s="1351"/>
      <c r="Q78" s="1351"/>
      <c r="R78" s="1351"/>
      <c r="S78" s="1351"/>
      <c r="T78" s="1351"/>
      <c r="U78" s="1351"/>
      <c r="V78" s="1351"/>
      <c r="W78" s="1351"/>
      <c r="X78" s="1351"/>
      <c r="Y78" s="1351"/>
      <c r="Z78" s="1351"/>
      <c r="AA78" s="1351"/>
    </row>
    <row r="79" spans="2:27" ht="17.25" customHeight="1" outlineLevel="1" x14ac:dyDescent="0.25">
      <c r="B79" s="554" t="s">
        <v>117</v>
      </c>
      <c r="C79" s="570"/>
      <c r="D79" s="570"/>
      <c r="E79" s="571"/>
      <c r="F79" s="571"/>
      <c r="G79" s="1352"/>
      <c r="H79" s="1353">
        <f>H70+(SUM(H72:H77))</f>
        <v>3272743.7455754993</v>
      </c>
      <c r="I79" s="1353">
        <f t="shared" ref="I79:AA79" si="21">I70+(SUM(I72:I77))</f>
        <v>3471273.1744222357</v>
      </c>
      <c r="J79" s="1353">
        <f t="shared" si="21"/>
        <v>3682707.0161440093</v>
      </c>
      <c r="K79" s="1353">
        <f t="shared" si="21"/>
        <v>3907884.0575776985</v>
      </c>
      <c r="L79" s="1353">
        <f t="shared" si="21"/>
        <v>4147697.6067045778</v>
      </c>
      <c r="M79" s="1353">
        <f t="shared" si="21"/>
        <v>4403099.0365247047</v>
      </c>
      <c r="N79" s="1353">
        <f t="shared" si="21"/>
        <v>4675101.5592831392</v>
      </c>
      <c r="O79" s="1353">
        <f t="shared" si="21"/>
        <v>4964784.2460208712</v>
      </c>
      <c r="P79" s="1353">
        <f t="shared" si="21"/>
        <v>5273296.3073965572</v>
      </c>
      <c r="Q79" s="1353">
        <f t="shared" si="21"/>
        <v>5601861.6527616624</v>
      </c>
      <c r="R79" s="1353">
        <f t="shared" si="21"/>
        <v>5951783.7455754988</v>
      </c>
      <c r="S79" s="1353">
        <f t="shared" si="21"/>
        <v>5951783.7455754988</v>
      </c>
      <c r="T79" s="1353">
        <f t="shared" si="21"/>
        <v>5951783.7455754988</v>
      </c>
      <c r="U79" s="1353">
        <f t="shared" si="21"/>
        <v>5951783.7455754988</v>
      </c>
      <c r="V79" s="1353">
        <f t="shared" si="21"/>
        <v>5951783.7455754988</v>
      </c>
      <c r="W79" s="1353">
        <f t="shared" si="21"/>
        <v>5951783.7455754988</v>
      </c>
      <c r="X79" s="1353">
        <f t="shared" si="21"/>
        <v>5951783.7455754988</v>
      </c>
      <c r="Y79" s="1353">
        <f t="shared" si="21"/>
        <v>5951783.7455754988</v>
      </c>
      <c r="Z79" s="1353">
        <f t="shared" si="21"/>
        <v>5951783.7455754988</v>
      </c>
      <c r="AA79" s="1353">
        <f t="shared" si="21"/>
        <v>5951783.7455754988</v>
      </c>
    </row>
    <row r="80" spans="2:27" ht="6.75" customHeight="1" outlineLevel="1" x14ac:dyDescent="0.25">
      <c r="B80" s="541"/>
      <c r="C80" s="542"/>
      <c r="D80" s="542"/>
      <c r="E80" s="210"/>
      <c r="F80" s="210"/>
      <c r="G80" s="1350"/>
      <c r="H80" s="1351"/>
      <c r="I80" s="1351"/>
      <c r="J80" s="1351"/>
      <c r="K80" s="1351"/>
      <c r="L80" s="1351"/>
      <c r="M80" s="1351"/>
      <c r="N80" s="1351"/>
      <c r="O80" s="1351"/>
      <c r="P80" s="1351"/>
      <c r="Q80" s="1351"/>
      <c r="R80" s="1351"/>
      <c r="S80" s="1351"/>
      <c r="T80" s="1351"/>
      <c r="U80" s="1351"/>
      <c r="V80" s="1351"/>
      <c r="W80" s="1351"/>
      <c r="X80" s="1351"/>
      <c r="Y80" s="1351"/>
      <c r="Z80" s="1351"/>
      <c r="AA80" s="1351"/>
    </row>
    <row r="81" spans="2:27" ht="17.25" customHeight="1" outlineLevel="1" x14ac:dyDescent="0.25">
      <c r="B81" s="541" t="s">
        <v>118</v>
      </c>
      <c r="C81" s="542"/>
      <c r="D81" s="542"/>
      <c r="E81" s="210"/>
      <c r="F81" s="210"/>
      <c r="G81" s="1350"/>
      <c r="H81" s="1351">
        <f>IF(H79&lt;0,(-H79*'III. Inputs, Renewable Energy'!$U$17),(-'VI. LCOE, Ren. En. Grid Intconx'!H79*'III. Inputs, Renewable Energy'!$U$17))</f>
        <v>-981823.12367264973</v>
      </c>
      <c r="I81" s="1351">
        <f>IF(I79&lt;0,(-I79*'III. Inputs, Renewable Energy'!$U$17),(-'VI. LCOE, Ren. En. Grid Intconx'!I79*'III. Inputs, Renewable Energy'!$U$17))</f>
        <v>-1041381.9523266706</v>
      </c>
      <c r="J81" s="1351">
        <f>IF(J79&lt;0,(-J79*'III. Inputs, Renewable Energy'!$U$17),(-'VI. LCOE, Ren. En. Grid Intconx'!J79*'III. Inputs, Renewable Energy'!$U$17))</f>
        <v>-1104812.1048432027</v>
      </c>
      <c r="K81" s="1351">
        <f>IF(K79&lt;0,(-K79*'III. Inputs, Renewable Energy'!$U$17),(-'VI. LCOE, Ren. En. Grid Intconx'!K79*'III. Inputs, Renewable Energy'!$U$17))</f>
        <v>-1172365.2172733096</v>
      </c>
      <c r="L81" s="1351">
        <f>IF(L79&lt;0,(-L79*'III. Inputs, Renewable Energy'!$U$17),(-'VI. LCOE, Ren. En. Grid Intconx'!L79*'III. Inputs, Renewable Energy'!$U$17))</f>
        <v>-1244309.2820113732</v>
      </c>
      <c r="M81" s="1351">
        <f>IF(M79&lt;0,(-M79*'III. Inputs, Renewable Energy'!$U$17),(-'VI. LCOE, Ren. En. Grid Intconx'!M79*'III. Inputs, Renewable Energy'!$U$17))</f>
        <v>-1320929.7109574114</v>
      </c>
      <c r="N81" s="1351">
        <f>IF(N79&lt;0,(-N79*'III. Inputs, Renewable Energy'!$U$17),(-'VI. LCOE, Ren. En. Grid Intconx'!N79*'III. Inputs, Renewable Energy'!$U$17))</f>
        <v>-1402530.4677849417</v>
      </c>
      <c r="O81" s="1351">
        <f>IF(O79&lt;0,(-O79*'III. Inputs, Renewable Energy'!$U$17),(-'VI. LCOE, Ren. En. Grid Intconx'!O79*'III. Inputs, Renewable Energy'!$U$17))</f>
        <v>-1489435.2738062614</v>
      </c>
      <c r="P81" s="1351">
        <f>IF(P79&lt;0,(-P79*'III. Inputs, Renewable Energy'!$U$17),(-'VI. LCOE, Ren. En. Grid Intconx'!P79*'III. Inputs, Renewable Energy'!$U$17))</f>
        <v>-1581988.8922189672</v>
      </c>
      <c r="Q81" s="1351">
        <f>IF(Q79&lt;0,(-Q79*'III. Inputs, Renewable Energy'!$U$17),(-'VI. LCOE, Ren. En. Grid Intconx'!Q79*'III. Inputs, Renewable Energy'!$U$17))</f>
        <v>-1680558.4958284986</v>
      </c>
      <c r="R81" s="1351">
        <f>IF(R79&lt;0,(-R79*'III. Inputs, Renewable Energy'!$U$17),(-'VI. LCOE, Ren. En. Grid Intconx'!R79*'III. Inputs, Renewable Energy'!$U$17))</f>
        <v>-1785535.1236726495</v>
      </c>
      <c r="S81" s="1351">
        <f>IF(S79&lt;0,(-S79*'III. Inputs, Renewable Energy'!$U$17),(-'VI. LCOE, Ren. En. Grid Intconx'!S79*'III. Inputs, Renewable Energy'!$U$17))</f>
        <v>-1785535.1236726495</v>
      </c>
      <c r="T81" s="1351">
        <f>IF(T79&lt;0,(-T79*'III. Inputs, Renewable Energy'!$U$17),(-'VI. LCOE, Ren. En. Grid Intconx'!T79*'III. Inputs, Renewable Energy'!$U$17))</f>
        <v>-1785535.1236726495</v>
      </c>
      <c r="U81" s="1351">
        <f>IF(U79&lt;0,(-U79*'III. Inputs, Renewable Energy'!$U$17),(-'VI. LCOE, Ren. En. Grid Intconx'!U79*'III. Inputs, Renewable Energy'!$U$17))</f>
        <v>-1785535.1236726495</v>
      </c>
      <c r="V81" s="1351">
        <f>IF(V79&lt;0,(-V79*'III. Inputs, Renewable Energy'!$U$17),(-'VI. LCOE, Ren. En. Grid Intconx'!V79*'III. Inputs, Renewable Energy'!$U$17))</f>
        <v>-1785535.1236726495</v>
      </c>
      <c r="W81" s="1351">
        <f>IF(W79&lt;0,(-W79*'III. Inputs, Renewable Energy'!$U$17),(-'VI. LCOE, Ren. En. Grid Intconx'!W79*'III. Inputs, Renewable Energy'!$U$17))</f>
        <v>-1785535.1236726495</v>
      </c>
      <c r="X81" s="1351">
        <f>IF(X79&lt;0,(-X79*'III. Inputs, Renewable Energy'!$U$17),(-'VI. LCOE, Ren. En. Grid Intconx'!X79*'III. Inputs, Renewable Energy'!$U$17))</f>
        <v>-1785535.1236726495</v>
      </c>
      <c r="Y81" s="1351">
        <f>IF(Y79&lt;0,(-Y79*'III. Inputs, Renewable Energy'!$U$17),(-'VI. LCOE, Ren. En. Grid Intconx'!Y79*'III. Inputs, Renewable Energy'!$U$17))</f>
        <v>-1785535.1236726495</v>
      </c>
      <c r="Z81" s="1351">
        <f>IF(Z79&lt;0,(-Z79*'III. Inputs, Renewable Energy'!$U$17),(-'VI. LCOE, Ren. En. Grid Intconx'!Z79*'III. Inputs, Renewable Energy'!$U$17))</f>
        <v>-1785535.1236726495</v>
      </c>
      <c r="AA81" s="1351">
        <f>IF(AA79&lt;0,(-AA79*'III. Inputs, Renewable Energy'!$U$17),(-'VI. LCOE, Ren. En. Grid Intconx'!AA79*'III. Inputs, Renewable Energy'!$U$17))</f>
        <v>-1785535.1236726495</v>
      </c>
    </row>
    <row r="82" spans="2:27" ht="6.75" customHeight="1" outlineLevel="1" x14ac:dyDescent="0.25">
      <c r="B82" s="555"/>
      <c r="C82" s="552"/>
      <c r="D82" s="552"/>
      <c r="E82" s="184"/>
      <c r="F82" s="184"/>
      <c r="G82" s="1354"/>
      <c r="H82" s="1355"/>
      <c r="I82" s="1355"/>
      <c r="J82" s="1355"/>
      <c r="K82" s="1355"/>
      <c r="L82" s="1355"/>
      <c r="M82" s="1355"/>
      <c r="N82" s="1355"/>
      <c r="O82" s="1355"/>
      <c r="P82" s="1355"/>
      <c r="Q82" s="1355"/>
      <c r="R82" s="1355"/>
      <c r="S82" s="1355"/>
      <c r="T82" s="1355"/>
      <c r="U82" s="1355"/>
      <c r="V82" s="1355"/>
      <c r="W82" s="1355"/>
      <c r="X82" s="1355"/>
      <c r="Y82" s="1355"/>
      <c r="Z82" s="1355"/>
      <c r="AA82" s="1355"/>
    </row>
    <row r="83" spans="2:27" ht="17.25" customHeight="1" outlineLevel="1" x14ac:dyDescent="0.25">
      <c r="B83" s="554" t="s">
        <v>119</v>
      </c>
      <c r="C83" s="570"/>
      <c r="D83" s="570"/>
      <c r="E83" s="571"/>
      <c r="F83" s="571"/>
      <c r="G83" s="1352"/>
      <c r="H83" s="1353">
        <f>H79+H81</f>
        <v>2290920.6219028495</v>
      </c>
      <c r="I83" s="1353">
        <f t="shared" ref="I83:AA83" si="22">I79+I81</f>
        <v>2429891.2220955649</v>
      </c>
      <c r="J83" s="1353">
        <f t="shared" si="22"/>
        <v>2577894.9113008063</v>
      </c>
      <c r="K83" s="1353">
        <f t="shared" si="22"/>
        <v>2735518.8403043887</v>
      </c>
      <c r="L83" s="1353">
        <f t="shared" si="22"/>
        <v>2903388.3246932048</v>
      </c>
      <c r="M83" s="1353">
        <f t="shared" si="22"/>
        <v>3082169.325567293</v>
      </c>
      <c r="N83" s="1353">
        <f t="shared" si="22"/>
        <v>3272571.0914981975</v>
      </c>
      <c r="O83" s="1353">
        <f t="shared" si="22"/>
        <v>3475348.9722146099</v>
      </c>
      <c r="P83" s="1353">
        <f t="shared" si="22"/>
        <v>3691307.4151775902</v>
      </c>
      <c r="Q83" s="1353">
        <f t="shared" si="22"/>
        <v>3921303.1569331638</v>
      </c>
      <c r="R83" s="1353">
        <f t="shared" si="22"/>
        <v>4166248.6219028495</v>
      </c>
      <c r="S83" s="1353">
        <f t="shared" si="22"/>
        <v>4166248.6219028495</v>
      </c>
      <c r="T83" s="1353">
        <f t="shared" si="22"/>
        <v>4166248.6219028495</v>
      </c>
      <c r="U83" s="1353">
        <f t="shared" si="22"/>
        <v>4166248.6219028495</v>
      </c>
      <c r="V83" s="1353">
        <f t="shared" si="22"/>
        <v>4166248.6219028495</v>
      </c>
      <c r="W83" s="1353">
        <f t="shared" si="22"/>
        <v>4166248.6219028495</v>
      </c>
      <c r="X83" s="1353">
        <f t="shared" si="22"/>
        <v>4166248.6219028495</v>
      </c>
      <c r="Y83" s="1353">
        <f t="shared" si="22"/>
        <v>4166248.6219028495</v>
      </c>
      <c r="Z83" s="1353">
        <f t="shared" si="22"/>
        <v>4166248.6219028495</v>
      </c>
      <c r="AA83" s="1353">
        <f t="shared" si="22"/>
        <v>4166248.6219028495</v>
      </c>
    </row>
    <row r="84" spans="2:27" ht="17.25" customHeight="1" outlineLevel="1" x14ac:dyDescent="0.25">
      <c r="B84" s="541"/>
      <c r="C84" s="542"/>
      <c r="D84" s="542"/>
      <c r="E84" s="210"/>
      <c r="F84" s="210"/>
      <c r="G84" s="1350"/>
      <c r="H84" s="1351"/>
      <c r="I84" s="1351"/>
      <c r="J84" s="1351"/>
      <c r="K84" s="1351"/>
      <c r="L84" s="1351"/>
      <c r="M84" s="1351"/>
      <c r="N84" s="1351"/>
      <c r="O84" s="1351"/>
      <c r="P84" s="1351"/>
      <c r="Q84" s="1351"/>
      <c r="R84" s="1351"/>
      <c r="S84" s="1351"/>
      <c r="T84" s="1351"/>
      <c r="U84" s="1351"/>
      <c r="V84" s="1351"/>
      <c r="W84" s="1351"/>
      <c r="X84" s="1351"/>
      <c r="Y84" s="1351"/>
      <c r="Z84" s="1351"/>
      <c r="AA84" s="1351"/>
    </row>
    <row r="85" spans="2:27" ht="17.25" customHeight="1" outlineLevel="1" x14ac:dyDescent="0.25">
      <c r="B85" s="541" t="s">
        <v>120</v>
      </c>
      <c r="C85" s="542"/>
      <c r="D85" s="542"/>
      <c r="E85" s="210"/>
      <c r="F85" s="210" t="s">
        <v>631</v>
      </c>
      <c r="G85" s="1320">
        <f>-'III. Inputs, Renewable Energy'!U260</f>
        <v>-58879999.999999993</v>
      </c>
      <c r="H85" s="1351"/>
      <c r="I85" s="1351"/>
      <c r="J85" s="1351"/>
      <c r="K85" s="1351"/>
      <c r="L85" s="1351"/>
      <c r="M85" s="1351"/>
      <c r="N85" s="1351"/>
      <c r="O85" s="1351"/>
      <c r="P85" s="1351"/>
      <c r="Q85" s="1351"/>
      <c r="R85" s="1351"/>
      <c r="S85" s="1351"/>
      <c r="T85" s="1351"/>
      <c r="U85" s="1351"/>
      <c r="V85" s="1351"/>
      <c r="W85" s="1351"/>
      <c r="X85" s="1351"/>
      <c r="Y85" s="1351"/>
      <c r="Z85" s="1351"/>
      <c r="AA85" s="1351"/>
    </row>
    <row r="86" spans="2:27" ht="17.25" customHeight="1" outlineLevel="1" x14ac:dyDescent="0.25">
      <c r="B86" s="555" t="s">
        <v>121</v>
      </c>
      <c r="C86" s="552"/>
      <c r="D86" s="552"/>
      <c r="E86" s="184"/>
      <c r="F86" s="184" t="s">
        <v>631</v>
      </c>
      <c r="G86" s="1324">
        <f>'III. Inputs, Renewable Energy'!U260*'III. Inputs, Renewable Energy'!S28</f>
        <v>41215999.999999993</v>
      </c>
      <c r="H86" s="1355"/>
      <c r="I86" s="1355"/>
      <c r="J86" s="1355"/>
      <c r="K86" s="1355"/>
      <c r="L86" s="1355"/>
      <c r="M86" s="1355"/>
      <c r="N86" s="1355"/>
      <c r="O86" s="1355"/>
      <c r="P86" s="1355"/>
      <c r="Q86" s="1355"/>
      <c r="R86" s="1355"/>
      <c r="S86" s="1355"/>
      <c r="T86" s="1355"/>
      <c r="U86" s="1355"/>
      <c r="V86" s="1355"/>
      <c r="W86" s="1355"/>
      <c r="X86" s="1355"/>
      <c r="Y86" s="1355"/>
      <c r="Z86" s="1355"/>
      <c r="AA86" s="1355"/>
    </row>
    <row r="87" spans="2:27" ht="17.25" customHeight="1" outlineLevel="1" x14ac:dyDescent="0.25">
      <c r="B87" s="541" t="s">
        <v>122</v>
      </c>
      <c r="C87" s="542"/>
      <c r="D87" s="542"/>
      <c r="E87" s="210"/>
      <c r="F87" s="210" t="s">
        <v>631</v>
      </c>
      <c r="G87" s="1320">
        <f>G85+G86</f>
        <v>-17664000</v>
      </c>
      <c r="H87" s="1320"/>
      <c r="I87" s="1320"/>
      <c r="J87" s="1320"/>
      <c r="K87" s="1320"/>
      <c r="L87" s="1320"/>
      <c r="M87" s="1320"/>
      <c r="N87" s="1320"/>
      <c r="O87" s="1320"/>
      <c r="P87" s="1320"/>
      <c r="Q87" s="1320"/>
      <c r="R87" s="1320"/>
      <c r="S87" s="1320"/>
      <c r="T87" s="1320"/>
      <c r="U87" s="1320"/>
      <c r="V87" s="1320"/>
      <c r="W87" s="1320"/>
      <c r="X87" s="1320"/>
      <c r="Y87" s="1320"/>
      <c r="Z87" s="1320"/>
      <c r="AA87" s="1320"/>
    </row>
    <row r="88" spans="2:27" ht="10.5" customHeight="1" outlineLevel="1" x14ac:dyDescent="0.25">
      <c r="B88" s="541"/>
      <c r="C88" s="542"/>
      <c r="D88" s="542"/>
      <c r="E88" s="210"/>
      <c r="F88" s="210"/>
      <c r="G88" s="1320"/>
      <c r="H88" s="1320"/>
      <c r="I88" s="1320"/>
      <c r="J88" s="1320"/>
      <c r="K88" s="1320"/>
      <c r="L88" s="1320"/>
      <c r="M88" s="1320"/>
      <c r="N88" s="1320"/>
      <c r="O88" s="1320"/>
      <c r="P88" s="1320"/>
      <c r="Q88" s="1320"/>
      <c r="R88" s="1320"/>
      <c r="S88" s="1320"/>
      <c r="T88" s="1320"/>
      <c r="U88" s="1320"/>
      <c r="V88" s="1320"/>
      <c r="W88" s="1320"/>
      <c r="X88" s="1320"/>
      <c r="Y88" s="1320"/>
      <c r="Z88" s="1320"/>
      <c r="AA88" s="1320"/>
    </row>
    <row r="89" spans="2:27" ht="6.75" customHeight="1" outlineLevel="1" x14ac:dyDescent="0.25">
      <c r="B89" s="541"/>
      <c r="C89" s="542"/>
      <c r="D89" s="542"/>
      <c r="E89" s="210"/>
      <c r="F89" s="210"/>
      <c r="G89" s="1320"/>
      <c r="H89" s="1320"/>
      <c r="I89" s="1320"/>
      <c r="J89" s="1320"/>
      <c r="K89" s="1320"/>
      <c r="L89" s="1320"/>
      <c r="M89" s="1320"/>
      <c r="N89" s="1320"/>
      <c r="O89" s="1320"/>
      <c r="P89" s="1320"/>
      <c r="Q89" s="1320"/>
      <c r="R89" s="1320"/>
      <c r="S89" s="1320"/>
      <c r="T89" s="1320"/>
      <c r="U89" s="1320"/>
      <c r="V89" s="1320"/>
      <c r="W89" s="1320"/>
      <c r="X89" s="1320"/>
      <c r="Y89" s="1320"/>
      <c r="Z89" s="1320"/>
      <c r="AA89" s="1320"/>
    </row>
    <row r="90" spans="2:27" ht="17.25" customHeight="1" outlineLevel="1" x14ac:dyDescent="0.25">
      <c r="B90" s="541" t="s">
        <v>123</v>
      </c>
      <c r="C90" s="542"/>
      <c r="D90" s="542"/>
      <c r="E90" s="210"/>
      <c r="F90" s="210"/>
      <c r="G90" s="1320"/>
      <c r="H90" s="1320">
        <f>H83</f>
        <v>2290920.6219028495</v>
      </c>
      <c r="I90" s="1320">
        <f t="shared" ref="I90:AA90" si="23">I83</f>
        <v>2429891.2220955649</v>
      </c>
      <c r="J90" s="1320">
        <f t="shared" si="23"/>
        <v>2577894.9113008063</v>
      </c>
      <c r="K90" s="1320">
        <f t="shared" si="23"/>
        <v>2735518.8403043887</v>
      </c>
      <c r="L90" s="1320">
        <f t="shared" si="23"/>
        <v>2903388.3246932048</v>
      </c>
      <c r="M90" s="1320">
        <f t="shared" si="23"/>
        <v>3082169.325567293</v>
      </c>
      <c r="N90" s="1320">
        <f t="shared" si="23"/>
        <v>3272571.0914981975</v>
      </c>
      <c r="O90" s="1320">
        <f t="shared" si="23"/>
        <v>3475348.9722146099</v>
      </c>
      <c r="P90" s="1320">
        <f t="shared" si="23"/>
        <v>3691307.4151775902</v>
      </c>
      <c r="Q90" s="1320">
        <f t="shared" si="23"/>
        <v>3921303.1569331638</v>
      </c>
      <c r="R90" s="1320">
        <f t="shared" si="23"/>
        <v>4166248.6219028495</v>
      </c>
      <c r="S90" s="1320">
        <f t="shared" si="23"/>
        <v>4166248.6219028495</v>
      </c>
      <c r="T90" s="1320">
        <f t="shared" si="23"/>
        <v>4166248.6219028495</v>
      </c>
      <c r="U90" s="1320">
        <f t="shared" si="23"/>
        <v>4166248.6219028495</v>
      </c>
      <c r="V90" s="1320">
        <f t="shared" si="23"/>
        <v>4166248.6219028495</v>
      </c>
      <c r="W90" s="1320">
        <f t="shared" si="23"/>
        <v>4166248.6219028495</v>
      </c>
      <c r="X90" s="1320">
        <f t="shared" si="23"/>
        <v>4166248.6219028495</v>
      </c>
      <c r="Y90" s="1320">
        <f t="shared" si="23"/>
        <v>4166248.6219028495</v>
      </c>
      <c r="Z90" s="1320">
        <f t="shared" si="23"/>
        <v>4166248.6219028495</v>
      </c>
      <c r="AA90" s="1320">
        <f t="shared" si="23"/>
        <v>4166248.6219028495</v>
      </c>
    </row>
    <row r="91" spans="2:27" ht="17.25" customHeight="1" outlineLevel="1" x14ac:dyDescent="0.25">
      <c r="B91" s="541" t="s">
        <v>124</v>
      </c>
      <c r="C91" s="542"/>
      <c r="D91" s="542"/>
      <c r="E91" s="210"/>
      <c r="F91" s="210" t="s">
        <v>631</v>
      </c>
      <c r="G91" s="1320"/>
      <c r="H91" s="1320">
        <f t="shared" ref="H91:AA91" si="24">-H68</f>
        <v>2796800</v>
      </c>
      <c r="I91" s="1320">
        <f t="shared" si="24"/>
        <v>2796800</v>
      </c>
      <c r="J91" s="1320">
        <f t="shared" si="24"/>
        <v>2796800</v>
      </c>
      <c r="K91" s="1320">
        <f t="shared" si="24"/>
        <v>2796800</v>
      </c>
      <c r="L91" s="1320">
        <f t="shared" si="24"/>
        <v>2796800</v>
      </c>
      <c r="M91" s="1320">
        <f t="shared" si="24"/>
        <v>2796800</v>
      </c>
      <c r="N91" s="1320">
        <f t="shared" si="24"/>
        <v>2796800</v>
      </c>
      <c r="O91" s="1320">
        <f t="shared" si="24"/>
        <v>2796800</v>
      </c>
      <c r="P91" s="1320">
        <f t="shared" si="24"/>
        <v>2796800</v>
      </c>
      <c r="Q91" s="1320">
        <f t="shared" si="24"/>
        <v>2796800</v>
      </c>
      <c r="R91" s="1320">
        <f t="shared" si="24"/>
        <v>2796800</v>
      </c>
      <c r="S91" s="1320">
        <f t="shared" si="24"/>
        <v>2796800</v>
      </c>
      <c r="T91" s="1320">
        <f t="shared" si="24"/>
        <v>2796800</v>
      </c>
      <c r="U91" s="1320">
        <f t="shared" si="24"/>
        <v>2796800</v>
      </c>
      <c r="V91" s="1320">
        <f t="shared" si="24"/>
        <v>2796800</v>
      </c>
      <c r="W91" s="1320">
        <f t="shared" si="24"/>
        <v>2796800</v>
      </c>
      <c r="X91" s="1320">
        <f t="shared" si="24"/>
        <v>2796800</v>
      </c>
      <c r="Y91" s="1320">
        <f t="shared" si="24"/>
        <v>2796800</v>
      </c>
      <c r="Z91" s="1320">
        <f t="shared" si="24"/>
        <v>2796800</v>
      </c>
      <c r="AA91" s="1320">
        <f t="shared" si="24"/>
        <v>2796800</v>
      </c>
    </row>
    <row r="92" spans="2:27" ht="17.25" customHeight="1" outlineLevel="1" x14ac:dyDescent="0.25">
      <c r="B92" s="541"/>
      <c r="C92" s="542"/>
      <c r="D92" s="542"/>
      <c r="E92" s="210"/>
      <c r="F92" s="210"/>
      <c r="G92" s="1320"/>
      <c r="H92" s="1320"/>
      <c r="I92" s="1320"/>
      <c r="J92" s="1320"/>
      <c r="K92" s="1320"/>
      <c r="L92" s="1320"/>
      <c r="M92" s="1320"/>
      <c r="N92" s="1320"/>
      <c r="O92" s="1320"/>
      <c r="P92" s="1320"/>
      <c r="Q92" s="1320"/>
      <c r="R92" s="1320"/>
      <c r="S92" s="1320"/>
      <c r="T92" s="1320"/>
      <c r="U92" s="1320"/>
      <c r="V92" s="1320"/>
      <c r="W92" s="1320"/>
      <c r="X92" s="1320"/>
      <c r="Y92" s="1320"/>
      <c r="Z92" s="1320"/>
      <c r="AA92" s="1320"/>
    </row>
    <row r="93" spans="2:27" ht="17.25" customHeight="1" outlineLevel="1" x14ac:dyDescent="0.25">
      <c r="B93" s="541" t="s">
        <v>125</v>
      </c>
      <c r="C93" s="542"/>
      <c r="D93" s="542"/>
      <c r="E93" s="210"/>
      <c r="F93" s="210" t="s">
        <v>631</v>
      </c>
      <c r="G93" s="1320"/>
      <c r="H93" s="1320"/>
      <c r="I93" s="1320"/>
      <c r="J93" s="1320"/>
      <c r="K93" s="1320"/>
      <c r="L93" s="1320"/>
      <c r="M93" s="1320"/>
      <c r="N93" s="1320"/>
      <c r="O93" s="1320"/>
      <c r="P93" s="1320"/>
      <c r="Q93" s="1320"/>
      <c r="R93" s="1320"/>
      <c r="S93" s="1320"/>
      <c r="T93" s="1320"/>
      <c r="U93" s="1320"/>
      <c r="V93" s="1320"/>
      <c r="W93" s="1320"/>
      <c r="X93" s="1320"/>
      <c r="Y93" s="1320"/>
      <c r="Z93" s="1320"/>
      <c r="AA93" s="1320"/>
    </row>
    <row r="94" spans="2:27" ht="17.25" customHeight="1" outlineLevel="1" x14ac:dyDescent="0.25">
      <c r="B94" s="541" t="s">
        <v>126</v>
      </c>
      <c r="C94" s="542"/>
      <c r="D94" s="542"/>
      <c r="E94" s="210"/>
      <c r="F94" s="210" t="s">
        <v>631</v>
      </c>
      <c r="G94" s="1320"/>
      <c r="H94" s="1320"/>
      <c r="I94" s="1320"/>
      <c r="J94" s="1320"/>
      <c r="K94" s="1320"/>
      <c r="L94" s="1320"/>
      <c r="M94" s="1320"/>
      <c r="N94" s="1320"/>
      <c r="O94" s="1320"/>
      <c r="P94" s="1320"/>
      <c r="Q94" s="1320"/>
      <c r="R94" s="1320"/>
      <c r="S94" s="1320"/>
      <c r="T94" s="1320"/>
      <c r="U94" s="1320"/>
      <c r="V94" s="1320"/>
      <c r="W94" s="1320"/>
      <c r="X94" s="1320"/>
      <c r="Y94" s="1320"/>
      <c r="Z94" s="1320"/>
      <c r="AA94" s="1320"/>
    </row>
    <row r="95" spans="2:27" ht="17.25" customHeight="1" outlineLevel="1" x14ac:dyDescent="0.25">
      <c r="B95" s="541" t="s">
        <v>127</v>
      </c>
      <c r="C95" s="542"/>
      <c r="D95" s="542"/>
      <c r="E95" s="210"/>
      <c r="F95" s="210" t="s">
        <v>631</v>
      </c>
      <c r="G95" s="1320"/>
      <c r="H95" s="1320">
        <f>-(H207+H228+H249)</f>
        <v>-3054298.9053344023</v>
      </c>
      <c r="I95" s="1320">
        <f t="shared" ref="I95:AA95" si="25">-(I207+I228+I249)</f>
        <v>-3252828.3341811388</v>
      </c>
      <c r="J95" s="1320">
        <f t="shared" si="25"/>
        <v>-3464262.1759029129</v>
      </c>
      <c r="K95" s="1320">
        <f t="shared" si="25"/>
        <v>-3689439.2173366025</v>
      </c>
      <c r="L95" s="1320">
        <f t="shared" si="25"/>
        <v>-3929252.7664634814</v>
      </c>
      <c r="M95" s="1320">
        <f t="shared" si="25"/>
        <v>-4184654.1962836073</v>
      </c>
      <c r="N95" s="1320">
        <f t="shared" si="25"/>
        <v>-4456656.7190420423</v>
      </c>
      <c r="O95" s="1320">
        <f t="shared" si="25"/>
        <v>-4746339.4057797752</v>
      </c>
      <c r="P95" s="1320">
        <f t="shared" si="25"/>
        <v>-5054851.4671554612</v>
      </c>
      <c r="Q95" s="1320">
        <f t="shared" si="25"/>
        <v>-5383416.8125205655</v>
      </c>
      <c r="R95" s="1320">
        <f t="shared" si="25"/>
        <v>0</v>
      </c>
      <c r="S95" s="1320">
        <f t="shared" si="25"/>
        <v>0</v>
      </c>
      <c r="T95" s="1320">
        <f t="shared" si="25"/>
        <v>0</v>
      </c>
      <c r="U95" s="1320">
        <f t="shared" si="25"/>
        <v>0</v>
      </c>
      <c r="V95" s="1320">
        <f t="shared" si="25"/>
        <v>0</v>
      </c>
      <c r="W95" s="1320">
        <f t="shared" si="25"/>
        <v>0</v>
      </c>
      <c r="X95" s="1320">
        <f t="shared" si="25"/>
        <v>0</v>
      </c>
      <c r="Y95" s="1320">
        <f t="shared" si="25"/>
        <v>0</v>
      </c>
      <c r="Z95" s="1320">
        <f t="shared" si="25"/>
        <v>0</v>
      </c>
      <c r="AA95" s="1320">
        <f t="shared" si="25"/>
        <v>0</v>
      </c>
    </row>
    <row r="96" spans="2:27" ht="17.25" customHeight="1" outlineLevel="1" x14ac:dyDescent="0.25">
      <c r="B96" s="555" t="s">
        <v>128</v>
      </c>
      <c r="C96" s="552"/>
      <c r="D96" s="552"/>
      <c r="E96" s="184"/>
      <c r="F96" s="184" t="s">
        <v>631</v>
      </c>
      <c r="G96" s="1324"/>
      <c r="H96" s="1324"/>
      <c r="I96" s="1324"/>
      <c r="J96" s="1324"/>
      <c r="K96" s="1324"/>
      <c r="L96" s="1324"/>
      <c r="M96" s="1324"/>
      <c r="N96" s="1324"/>
      <c r="O96" s="1324"/>
      <c r="P96" s="1324"/>
      <c r="Q96" s="1324"/>
      <c r="R96" s="1324"/>
      <c r="S96" s="1324"/>
      <c r="T96" s="1324"/>
      <c r="U96" s="1324"/>
      <c r="V96" s="1324"/>
      <c r="W96" s="1324"/>
      <c r="X96" s="1324"/>
      <c r="Y96" s="1324"/>
      <c r="Z96" s="1324"/>
      <c r="AA96" s="1324"/>
    </row>
    <row r="97" spans="1:27" ht="17.25" customHeight="1" outlineLevel="1" x14ac:dyDescent="0.25">
      <c r="B97" s="541" t="s">
        <v>129</v>
      </c>
      <c r="C97" s="542"/>
      <c r="D97" s="542"/>
      <c r="E97" s="210"/>
      <c r="F97" s="210" t="s">
        <v>631</v>
      </c>
      <c r="G97" s="1320">
        <f>G87</f>
        <v>-17664000</v>
      </c>
      <c r="H97" s="1320">
        <f>H90+H91+H95</f>
        <v>2033421.7165684472</v>
      </c>
      <c r="I97" s="1320">
        <f t="shared" ref="I97:AA97" si="26">I90+I91+I95</f>
        <v>1973862.8879144262</v>
      </c>
      <c r="J97" s="1320">
        <f t="shared" si="26"/>
        <v>1910432.7353978935</v>
      </c>
      <c r="K97" s="1320">
        <f t="shared" si="26"/>
        <v>1842879.6229677862</v>
      </c>
      <c r="L97" s="1320">
        <f t="shared" si="26"/>
        <v>1770935.5582297235</v>
      </c>
      <c r="M97" s="1320">
        <f t="shared" si="26"/>
        <v>1694315.1292836857</v>
      </c>
      <c r="N97" s="1320">
        <f t="shared" si="26"/>
        <v>1612714.3724561557</v>
      </c>
      <c r="O97" s="1320">
        <f t="shared" si="26"/>
        <v>1525809.5664348342</v>
      </c>
      <c r="P97" s="1320">
        <f t="shared" si="26"/>
        <v>1433255.948022129</v>
      </c>
      <c r="Q97" s="1320">
        <f t="shared" si="26"/>
        <v>1334686.3444125988</v>
      </c>
      <c r="R97" s="1320">
        <f t="shared" si="26"/>
        <v>6963048.6219028495</v>
      </c>
      <c r="S97" s="1320">
        <f t="shared" si="26"/>
        <v>6963048.6219028495</v>
      </c>
      <c r="T97" s="1320">
        <f t="shared" si="26"/>
        <v>6963048.6219028495</v>
      </c>
      <c r="U97" s="1320">
        <f t="shared" si="26"/>
        <v>6963048.6219028495</v>
      </c>
      <c r="V97" s="1320">
        <f t="shared" si="26"/>
        <v>6963048.6219028495</v>
      </c>
      <c r="W97" s="1320">
        <f t="shared" si="26"/>
        <v>6963048.6219028495</v>
      </c>
      <c r="X97" s="1320">
        <f t="shared" si="26"/>
        <v>6963048.6219028495</v>
      </c>
      <c r="Y97" s="1320">
        <f t="shared" si="26"/>
        <v>6963048.6219028495</v>
      </c>
      <c r="Z97" s="1320">
        <f t="shared" si="26"/>
        <v>6963048.6219028495</v>
      </c>
      <c r="AA97" s="1320">
        <f t="shared" si="26"/>
        <v>6963048.6219028495</v>
      </c>
    </row>
    <row r="98" spans="1:27" ht="7.5" customHeight="1" outlineLevel="1" x14ac:dyDescent="0.25">
      <c r="B98" s="541"/>
      <c r="C98" s="542"/>
      <c r="D98" s="542"/>
      <c r="E98" s="210"/>
      <c r="F98" s="210"/>
      <c r="G98" s="1320"/>
      <c r="H98" s="1320"/>
      <c r="I98" s="1320"/>
      <c r="J98" s="1320"/>
      <c r="K98" s="1320"/>
      <c r="L98" s="1320"/>
      <c r="M98" s="1320"/>
      <c r="N98" s="1320"/>
      <c r="O98" s="1320"/>
      <c r="P98" s="1320"/>
      <c r="Q98" s="1320"/>
      <c r="R98" s="1320"/>
      <c r="S98" s="1320"/>
      <c r="T98" s="1320"/>
      <c r="U98" s="1320"/>
      <c r="V98" s="1320"/>
      <c r="W98" s="1320"/>
      <c r="X98" s="1320"/>
      <c r="Y98" s="1320"/>
      <c r="Z98" s="1320"/>
      <c r="AA98" s="1320"/>
    </row>
    <row r="99" spans="1:27" ht="17.25" customHeight="1" outlineLevel="1" x14ac:dyDescent="0.25">
      <c r="B99" s="541" t="s">
        <v>130</v>
      </c>
      <c r="C99" s="542"/>
      <c r="D99" s="542"/>
      <c r="E99" s="542"/>
      <c r="F99" s="542"/>
      <c r="G99" s="1320">
        <f>NPV($G$46,G97:AA97)</f>
        <v>-6.8330732376679134E-9</v>
      </c>
      <c r="H99" s="1320"/>
      <c r="I99" s="1320"/>
      <c r="J99" s="1320"/>
      <c r="K99" s="1320"/>
      <c r="L99" s="1320"/>
      <c r="M99" s="1320"/>
      <c r="N99" s="1320"/>
      <c r="O99" s="1320"/>
      <c r="P99" s="1320"/>
      <c r="Q99" s="1320"/>
      <c r="R99" s="1320"/>
      <c r="S99" s="1320"/>
      <c r="T99" s="1320"/>
      <c r="U99" s="1320"/>
      <c r="V99" s="1320"/>
      <c r="W99" s="1320"/>
      <c r="X99" s="1320"/>
      <c r="Y99" s="1320"/>
      <c r="Z99" s="1320"/>
      <c r="AA99" s="1320"/>
    </row>
    <row r="100" spans="1:27" ht="17.25" customHeight="1" outlineLevel="1" thickBot="1" x14ac:dyDescent="0.3">
      <c r="B100" s="572"/>
      <c r="C100" s="564"/>
      <c r="D100" s="564"/>
      <c r="E100" s="564"/>
      <c r="F100" s="564"/>
      <c r="G100" s="564"/>
      <c r="H100" s="564"/>
      <c r="I100" s="564"/>
      <c r="J100" s="564"/>
      <c r="K100" s="564"/>
      <c r="L100" s="564"/>
      <c r="M100" s="564"/>
      <c r="N100" s="564"/>
      <c r="O100" s="564"/>
      <c r="P100" s="564"/>
      <c r="Q100" s="564"/>
      <c r="R100" s="564"/>
      <c r="S100" s="564"/>
      <c r="T100" s="564"/>
      <c r="U100" s="564"/>
      <c r="V100" s="564"/>
      <c r="W100" s="564"/>
      <c r="X100" s="564"/>
      <c r="Y100" s="564"/>
      <c r="Z100" s="564"/>
      <c r="AA100" s="564"/>
    </row>
    <row r="101" spans="1:27" ht="17.25" customHeight="1" x14ac:dyDescent="0.25"/>
    <row r="102" spans="1:27" s="8" customFormat="1" ht="12.75" customHeight="1" x14ac:dyDescent="0.25">
      <c r="A102" s="44" t="s">
        <v>508</v>
      </c>
      <c r="B102" s="44"/>
      <c r="C102" s="44"/>
      <c r="D102" s="44"/>
      <c r="E102" s="44"/>
      <c r="F102" s="44"/>
      <c r="G102" s="44"/>
      <c r="H102" s="44"/>
      <c r="I102" s="44"/>
      <c r="J102" s="45"/>
      <c r="K102" s="46"/>
      <c r="L102" s="46"/>
      <c r="M102" s="46"/>
      <c r="N102" s="46"/>
      <c r="O102" s="46"/>
      <c r="P102" s="46"/>
      <c r="Q102" s="46"/>
      <c r="R102" s="46"/>
      <c r="S102" s="46"/>
      <c r="T102" s="46"/>
      <c r="U102" s="46"/>
      <c r="V102" s="46"/>
      <c r="W102" s="46"/>
      <c r="X102" s="46"/>
      <c r="Y102" s="46"/>
      <c r="Z102" s="46"/>
      <c r="AA102" s="46"/>
    </row>
    <row r="103" spans="1:27" ht="17.25" customHeight="1" thickBot="1" x14ac:dyDescent="0.3"/>
    <row r="104" spans="1:27" ht="17.25" customHeight="1" x14ac:dyDescent="0.25">
      <c r="B104" s="573" t="s">
        <v>509</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5"/>
    </row>
    <row r="105" spans="1:27" ht="17.25" customHeight="1" x14ac:dyDescent="0.25">
      <c r="B105" s="576"/>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577"/>
    </row>
    <row r="106" spans="1:27" x14ac:dyDescent="0.25">
      <c r="B106" s="578" t="s">
        <v>58</v>
      </c>
      <c r="C106" s="579"/>
      <c r="D106" s="579"/>
      <c r="E106" s="580"/>
      <c r="F106" s="579"/>
      <c r="G106" s="580">
        <v>0</v>
      </c>
      <c r="H106" s="580">
        <v>1</v>
      </c>
      <c r="I106" s="580">
        <v>2</v>
      </c>
      <c r="J106" s="580">
        <v>3</v>
      </c>
      <c r="K106" s="580">
        <v>4</v>
      </c>
      <c r="L106" s="580">
        <v>5</v>
      </c>
      <c r="M106" s="580">
        <v>6</v>
      </c>
      <c r="N106" s="580">
        <v>7</v>
      </c>
      <c r="O106" s="580">
        <v>8</v>
      </c>
      <c r="P106" s="580">
        <v>9</v>
      </c>
      <c r="Q106" s="580">
        <v>10</v>
      </c>
      <c r="R106" s="580">
        <v>11</v>
      </c>
      <c r="S106" s="580">
        <v>12</v>
      </c>
      <c r="T106" s="580">
        <v>13</v>
      </c>
      <c r="U106" s="580">
        <v>14</v>
      </c>
      <c r="V106" s="580">
        <v>15</v>
      </c>
      <c r="W106" s="580">
        <v>16</v>
      </c>
      <c r="X106" s="580">
        <v>17</v>
      </c>
      <c r="Y106" s="580">
        <v>18</v>
      </c>
      <c r="Z106" s="580">
        <v>19</v>
      </c>
      <c r="AA106" s="1067">
        <v>20</v>
      </c>
    </row>
    <row r="107" spans="1:27" x14ac:dyDescent="0.25">
      <c r="B107" s="576"/>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577"/>
    </row>
    <row r="108" spans="1:27" x14ac:dyDescent="0.25">
      <c r="B108" s="576" t="s">
        <v>13</v>
      </c>
      <c r="C108" s="38"/>
      <c r="D108" s="38"/>
      <c r="E108" s="211"/>
      <c r="F108" s="38"/>
      <c r="G108" s="38"/>
      <c r="H108" s="581">
        <f>IF(H$16&gt;'III. Inputs, Renewable Energy'!$U$16,0, 'III. Inputs, Renewable Energy'!$U$216)</f>
        <v>1</v>
      </c>
      <c r="I108" s="581">
        <f>IF(I$16&gt;'III. Inputs, Renewable Energy'!$U$16,0, 'III. Inputs, Renewable Energy'!$U$216)</f>
        <v>1</v>
      </c>
      <c r="J108" s="581">
        <f>IF(J$16&gt;'III. Inputs, Renewable Energy'!$U$16,0, 'III. Inputs, Renewable Energy'!$U$216)</f>
        <v>1</v>
      </c>
      <c r="K108" s="581">
        <f>IF(K$16&gt;'III. Inputs, Renewable Energy'!$U$16,0, 'III. Inputs, Renewable Energy'!$U$216)</f>
        <v>1</v>
      </c>
      <c r="L108" s="581">
        <f>IF(L$16&gt;'III. Inputs, Renewable Energy'!$U$16,0, 'III. Inputs, Renewable Energy'!$U$216)</f>
        <v>1</v>
      </c>
      <c r="M108" s="581">
        <f>IF(M$16&gt;'III. Inputs, Renewable Energy'!$U$16,0, 'III. Inputs, Renewable Energy'!$U$216)</f>
        <v>1</v>
      </c>
      <c r="N108" s="581">
        <f>IF(N$16&gt;'III. Inputs, Renewable Energy'!$U$16,0, 'III. Inputs, Renewable Energy'!$U$216)</f>
        <v>1</v>
      </c>
      <c r="O108" s="581">
        <f>IF(O$16&gt;'III. Inputs, Renewable Energy'!$U$16,0, 'III. Inputs, Renewable Energy'!$U$216)</f>
        <v>1</v>
      </c>
      <c r="P108" s="581">
        <f>IF(P$16&gt;'III. Inputs, Renewable Energy'!$U$16,0, 'III. Inputs, Renewable Energy'!$U$216)</f>
        <v>1</v>
      </c>
      <c r="Q108" s="581">
        <f>IF(Q$16&gt;'III. Inputs, Renewable Energy'!$U$16,0, 'III. Inputs, Renewable Energy'!$U$216)</f>
        <v>1</v>
      </c>
      <c r="R108" s="581">
        <f>IF(R$16&gt;'III. Inputs, Renewable Energy'!$U$16,0, 'III. Inputs, Renewable Energy'!$U$216)</f>
        <v>1</v>
      </c>
      <c r="S108" s="581">
        <f>IF(S$16&gt;'III. Inputs, Renewable Energy'!$U$16,0, 'III. Inputs, Renewable Energy'!$U$216)</f>
        <v>1</v>
      </c>
      <c r="T108" s="581">
        <f>IF(T$16&gt;'III. Inputs, Renewable Energy'!$U$16,0, 'III. Inputs, Renewable Energy'!$U$216)</f>
        <v>1</v>
      </c>
      <c r="U108" s="581">
        <f>IF(U$16&gt;'III. Inputs, Renewable Energy'!$U$16,0, 'III. Inputs, Renewable Energy'!$U$216)</f>
        <v>1</v>
      </c>
      <c r="V108" s="581">
        <f>IF(V$16&gt;'III. Inputs, Renewable Energy'!$U$16,0, 'III. Inputs, Renewable Energy'!$U$216)</f>
        <v>1</v>
      </c>
      <c r="W108" s="581">
        <f>IF(W$16&gt;'III. Inputs, Renewable Energy'!$U$16,0, 'III. Inputs, Renewable Energy'!$U$216)</f>
        <v>1</v>
      </c>
      <c r="X108" s="581">
        <f>IF(X$16&gt;'III. Inputs, Renewable Energy'!$U$16,0, 'III. Inputs, Renewable Energy'!$U$216)</f>
        <v>1</v>
      </c>
      <c r="Y108" s="581">
        <f>IF(Y$16&gt;'III. Inputs, Renewable Energy'!$U$16,0, 'III. Inputs, Renewable Energy'!$U$216)</f>
        <v>1</v>
      </c>
      <c r="Z108" s="581">
        <f>IF(Z$16&gt;'III. Inputs, Renewable Energy'!$U$16,0, 'III. Inputs, Renewable Energy'!$U$216)</f>
        <v>1</v>
      </c>
      <c r="AA108" s="649">
        <f>IF(AA$16&gt;'III. Inputs, Renewable Energy'!$U$16,0, 'III. Inputs, Renewable Energy'!$U$216)</f>
        <v>1</v>
      </c>
    </row>
    <row r="109" spans="1:27" ht="4.5" customHeight="1" x14ac:dyDescent="0.25">
      <c r="B109" s="576"/>
      <c r="C109" s="38"/>
      <c r="D109" s="38"/>
      <c r="E109" s="211"/>
      <c r="F109" s="38"/>
      <c r="G109" s="38"/>
      <c r="H109" s="38"/>
      <c r="I109" s="38"/>
      <c r="J109" s="38"/>
      <c r="K109" s="38"/>
      <c r="L109" s="38"/>
      <c r="M109" s="38"/>
      <c r="N109" s="38"/>
      <c r="O109" s="38"/>
      <c r="P109" s="38"/>
      <c r="Q109" s="38"/>
      <c r="R109" s="38"/>
      <c r="S109" s="38"/>
      <c r="T109" s="38"/>
      <c r="U109" s="38"/>
      <c r="V109" s="38"/>
      <c r="W109" s="38"/>
      <c r="X109" s="38"/>
      <c r="Y109" s="38"/>
      <c r="Z109" s="38"/>
      <c r="AA109" s="577"/>
    </row>
    <row r="110" spans="1:27" x14ac:dyDescent="0.25">
      <c r="B110" s="576" t="s">
        <v>97</v>
      </c>
      <c r="C110" s="38"/>
      <c r="D110" s="38"/>
      <c r="E110" s="38"/>
      <c r="F110" s="211" t="s">
        <v>98</v>
      </c>
      <c r="G110" s="38"/>
      <c r="H110" s="582">
        <f>IF(H$16&gt;'III. Inputs, Renewable Energy'!$U$16,0, 'III. Inputs, Renewable Energy'!$U$14*'III. Inputs, Renewable Energy'!$U$214*'VI. LCOE, Ren. En. Grid Intconx'!$H$108)</f>
        <v>1404288</v>
      </c>
      <c r="I110" s="582">
        <f>IF(I$16&gt;'III. Inputs, Renewable Energy'!$U$16,0, 'III. Inputs, Renewable Energy'!$U$14*'III. Inputs, Renewable Energy'!$U$214*'VI. LCOE, Ren. En. Grid Intconx'!$H$108)</f>
        <v>1404288</v>
      </c>
      <c r="J110" s="582">
        <f>IF(J$16&gt;'III. Inputs, Renewable Energy'!$U$16,0, 'III. Inputs, Renewable Energy'!$U$14*'III. Inputs, Renewable Energy'!$U$214*'VI. LCOE, Ren. En. Grid Intconx'!$H$108)</f>
        <v>1404288</v>
      </c>
      <c r="K110" s="582">
        <f>IF(K$16&gt;'III. Inputs, Renewable Energy'!$U$16,0, 'III. Inputs, Renewable Energy'!$U$14*'III. Inputs, Renewable Energy'!$U$214*'VI. LCOE, Ren. En. Grid Intconx'!$H$108)</f>
        <v>1404288</v>
      </c>
      <c r="L110" s="582">
        <f>IF(L$16&gt;'III. Inputs, Renewable Energy'!$U$16,0, 'III. Inputs, Renewable Energy'!$U$14*'III. Inputs, Renewable Energy'!$U$214*'VI. LCOE, Ren. En. Grid Intconx'!$H$108)</f>
        <v>1404288</v>
      </c>
      <c r="M110" s="582">
        <f>IF(M$16&gt;'III. Inputs, Renewable Energy'!$U$16,0, 'III. Inputs, Renewable Energy'!$U$14*'III. Inputs, Renewable Energy'!$U$214*'VI. LCOE, Ren. En. Grid Intconx'!$H$108)</f>
        <v>1404288</v>
      </c>
      <c r="N110" s="582">
        <f>IF(N$16&gt;'III. Inputs, Renewable Energy'!$U$16,0, 'III. Inputs, Renewable Energy'!$U$14*'III. Inputs, Renewable Energy'!$U$214*'VI. LCOE, Ren. En. Grid Intconx'!$H$108)</f>
        <v>1404288</v>
      </c>
      <c r="O110" s="582">
        <f>IF(O$16&gt;'III. Inputs, Renewable Energy'!$U$16,0, 'III. Inputs, Renewable Energy'!$U$14*'III. Inputs, Renewable Energy'!$U$214*'VI. LCOE, Ren. En. Grid Intconx'!$H$108)</f>
        <v>1404288</v>
      </c>
      <c r="P110" s="582">
        <f>IF(P$16&gt;'III. Inputs, Renewable Energy'!$U$16,0, 'III. Inputs, Renewable Energy'!$U$14*'III. Inputs, Renewable Energy'!$U$214*'VI. LCOE, Ren. En. Grid Intconx'!$H$108)</f>
        <v>1404288</v>
      </c>
      <c r="Q110" s="582">
        <f>IF(Q$16&gt;'III. Inputs, Renewable Energy'!$U$16,0, 'III. Inputs, Renewable Energy'!$U$14*'III. Inputs, Renewable Energy'!$U$214*'VI. LCOE, Ren. En. Grid Intconx'!$H$108)</f>
        <v>1404288</v>
      </c>
      <c r="R110" s="582">
        <f>IF(R$16&gt;'III. Inputs, Renewable Energy'!$U$16,0, 'III. Inputs, Renewable Energy'!$U$14*'III. Inputs, Renewable Energy'!$U$214*'VI. LCOE, Ren. En. Grid Intconx'!$H$108)</f>
        <v>1404288</v>
      </c>
      <c r="S110" s="582">
        <f>IF(S$16&gt;'III. Inputs, Renewable Energy'!$U$16,0, 'III. Inputs, Renewable Energy'!$U$14*'III. Inputs, Renewable Energy'!$U$214*'VI. LCOE, Ren. En. Grid Intconx'!$H$108)</f>
        <v>1404288</v>
      </c>
      <c r="T110" s="582">
        <f>IF(T$16&gt;'III. Inputs, Renewable Energy'!$U$16,0, 'III. Inputs, Renewable Energy'!$U$14*'III. Inputs, Renewable Energy'!$U$214*'VI. LCOE, Ren. En. Grid Intconx'!$H$108)</f>
        <v>1404288</v>
      </c>
      <c r="U110" s="582">
        <f>IF(U$16&gt;'III. Inputs, Renewable Energy'!$U$16,0, 'III. Inputs, Renewable Energy'!$U$14*'III. Inputs, Renewable Energy'!$U$214*'VI. LCOE, Ren. En. Grid Intconx'!$H$108)</f>
        <v>1404288</v>
      </c>
      <c r="V110" s="582">
        <f>IF(V$16&gt;'III. Inputs, Renewable Energy'!$U$16,0, 'III. Inputs, Renewable Energy'!$U$14*'III. Inputs, Renewable Energy'!$U$214*'VI. LCOE, Ren. En. Grid Intconx'!$H$108)</f>
        <v>1404288</v>
      </c>
      <c r="W110" s="582">
        <f>IF(W$16&gt;'III. Inputs, Renewable Energy'!$U$16,0, 'III. Inputs, Renewable Energy'!$U$14*'III. Inputs, Renewable Energy'!$U$214*'VI. LCOE, Ren. En. Grid Intconx'!$H$108)</f>
        <v>1404288</v>
      </c>
      <c r="X110" s="582">
        <f>IF(X$16&gt;'III. Inputs, Renewable Energy'!$U$16,0, 'III. Inputs, Renewable Energy'!$U$14*'III. Inputs, Renewable Energy'!$U$214*'VI. LCOE, Ren. En. Grid Intconx'!$H$108)</f>
        <v>1404288</v>
      </c>
      <c r="Y110" s="582">
        <f>IF(Y$16&gt;'III. Inputs, Renewable Energy'!$U$16,0, 'III. Inputs, Renewable Energy'!$U$14*'III. Inputs, Renewable Energy'!$U$214*'VI. LCOE, Ren. En. Grid Intconx'!$H$108)</f>
        <v>1404288</v>
      </c>
      <c r="Z110" s="582">
        <f>IF(Z$16&gt;'III. Inputs, Renewable Energy'!$U$16,0, 'III. Inputs, Renewable Energy'!$U$14*'III. Inputs, Renewable Energy'!$U$214*'VI. LCOE, Ren. En. Grid Intconx'!$H$108)</f>
        <v>1404288</v>
      </c>
      <c r="AA110" s="1068">
        <f>IF(AA$16&gt;'III. Inputs, Renewable Energy'!$U$16,0, 'III. Inputs, Renewable Energy'!$U$14*'III. Inputs, Renewable Energy'!$U$214*'VI. LCOE, Ren. En. Grid Intconx'!$H$108)</f>
        <v>1404288</v>
      </c>
    </row>
    <row r="111" spans="1:27" ht="7.5" customHeight="1" x14ac:dyDescent="0.25">
      <c r="B111" s="576"/>
      <c r="C111" s="38"/>
      <c r="D111" s="38"/>
      <c r="E111" s="211"/>
      <c r="F111" s="38"/>
      <c r="G111" s="38"/>
      <c r="H111" s="38"/>
      <c r="I111" s="38"/>
      <c r="J111" s="38"/>
      <c r="K111" s="38"/>
      <c r="L111" s="38"/>
      <c r="M111" s="38"/>
      <c r="N111" s="38"/>
      <c r="O111" s="38"/>
      <c r="P111" s="38"/>
      <c r="Q111" s="38"/>
      <c r="R111" s="38"/>
      <c r="S111" s="38"/>
      <c r="T111" s="38"/>
      <c r="U111" s="38"/>
      <c r="V111" s="38"/>
      <c r="W111" s="38"/>
      <c r="X111" s="38"/>
      <c r="Y111" s="38"/>
      <c r="Z111" s="38"/>
      <c r="AA111" s="577"/>
    </row>
    <row r="112" spans="1:27" x14ac:dyDescent="0.25">
      <c r="B112" s="578" t="s">
        <v>99</v>
      </c>
      <c r="C112" s="39"/>
      <c r="D112" s="39"/>
      <c r="E112" s="213"/>
      <c r="F112" s="213"/>
      <c r="G112" s="213"/>
      <c r="H112" s="213"/>
      <c r="I112" s="213"/>
      <c r="J112" s="213"/>
      <c r="K112" s="213"/>
      <c r="L112" s="213"/>
      <c r="M112" s="213"/>
      <c r="N112" s="213"/>
      <c r="O112" s="213"/>
      <c r="P112" s="213"/>
      <c r="Q112" s="213"/>
      <c r="R112" s="213"/>
      <c r="S112" s="213"/>
      <c r="T112" s="213"/>
      <c r="U112" s="213"/>
      <c r="V112" s="213"/>
      <c r="W112" s="213"/>
      <c r="X112" s="213"/>
      <c r="Y112" s="213"/>
      <c r="Z112" s="213"/>
      <c r="AA112" s="1069"/>
    </row>
    <row r="113" spans="2:27" x14ac:dyDescent="0.25">
      <c r="B113" s="576"/>
      <c r="C113" s="38"/>
      <c r="D113" s="38"/>
      <c r="E113" s="211"/>
      <c r="F113" s="38"/>
      <c r="G113" s="38"/>
      <c r="H113" s="38"/>
      <c r="I113" s="38"/>
      <c r="J113" s="38"/>
      <c r="K113" s="38"/>
      <c r="L113" s="38"/>
      <c r="M113" s="38"/>
      <c r="N113" s="38"/>
      <c r="O113" s="38"/>
      <c r="P113" s="38"/>
      <c r="Q113" s="38"/>
      <c r="R113" s="38"/>
      <c r="S113" s="38"/>
      <c r="T113" s="38"/>
      <c r="U113" s="38"/>
      <c r="V113" s="38"/>
      <c r="W113" s="38"/>
      <c r="X113" s="38"/>
      <c r="Y113" s="38"/>
      <c r="Z113" s="38"/>
      <c r="AA113" s="577"/>
    </row>
    <row r="114" spans="2:27" x14ac:dyDescent="0.25">
      <c r="B114" s="576" t="s">
        <v>100</v>
      </c>
      <c r="C114" s="38"/>
      <c r="D114" s="38"/>
      <c r="E114" s="211"/>
      <c r="F114" s="211" t="s">
        <v>631</v>
      </c>
      <c r="G114" s="1328"/>
      <c r="H114" s="1349">
        <v>0</v>
      </c>
      <c r="I114" s="1349">
        <v>0</v>
      </c>
      <c r="J114" s="1349">
        <v>0</v>
      </c>
      <c r="K114" s="1349">
        <v>0</v>
      </c>
      <c r="L114" s="1349">
        <v>0</v>
      </c>
      <c r="M114" s="1349">
        <v>0</v>
      </c>
      <c r="N114" s="1349">
        <v>0</v>
      </c>
      <c r="O114" s="1349">
        <v>0</v>
      </c>
      <c r="P114" s="1349">
        <v>0</v>
      </c>
      <c r="Q114" s="1349">
        <v>0</v>
      </c>
      <c r="R114" s="1349">
        <v>0</v>
      </c>
      <c r="S114" s="1349">
        <v>0</v>
      </c>
      <c r="T114" s="1349">
        <v>0</v>
      </c>
      <c r="U114" s="1349">
        <v>0</v>
      </c>
      <c r="V114" s="1349">
        <v>0</v>
      </c>
      <c r="W114" s="1349">
        <v>0</v>
      </c>
      <c r="X114" s="1349">
        <v>0</v>
      </c>
      <c r="Y114" s="1349">
        <v>0</v>
      </c>
      <c r="Z114" s="1349">
        <v>0</v>
      </c>
      <c r="AA114" s="1349">
        <v>0</v>
      </c>
    </row>
    <row r="115" spans="2:27" x14ac:dyDescent="0.25">
      <c r="B115" s="576"/>
      <c r="C115" s="38"/>
      <c r="D115" s="38"/>
      <c r="E115" s="211"/>
      <c r="F115" s="211"/>
      <c r="G115" s="1328"/>
      <c r="H115" s="1329"/>
      <c r="I115" s="1329"/>
      <c r="J115" s="1329"/>
      <c r="K115" s="1329"/>
      <c r="L115" s="1329"/>
      <c r="M115" s="1329"/>
      <c r="N115" s="1329"/>
      <c r="O115" s="1329"/>
      <c r="P115" s="1329"/>
      <c r="Q115" s="1329"/>
      <c r="R115" s="1329"/>
      <c r="S115" s="1329"/>
      <c r="T115" s="1329"/>
      <c r="U115" s="1329"/>
      <c r="V115" s="1329"/>
      <c r="W115" s="1329"/>
      <c r="X115" s="1329"/>
      <c r="Y115" s="1329"/>
      <c r="Z115" s="1329"/>
      <c r="AA115" s="1330"/>
    </row>
    <row r="116" spans="2:27" x14ac:dyDescent="0.25">
      <c r="B116" s="576" t="s">
        <v>101</v>
      </c>
      <c r="C116" s="38"/>
      <c r="D116" s="38"/>
      <c r="E116" s="211"/>
      <c r="F116" s="211" t="s">
        <v>631</v>
      </c>
      <c r="G116" s="1328"/>
      <c r="H116" s="1328">
        <f>H379</f>
        <v>2796800</v>
      </c>
      <c r="I116" s="1328">
        <f>I379</f>
        <v>2796800</v>
      </c>
      <c r="J116" s="1328">
        <f t="shared" ref="J116:AA116" si="27">J379</f>
        <v>2796800</v>
      </c>
      <c r="K116" s="1328">
        <f t="shared" si="27"/>
        <v>2796800</v>
      </c>
      <c r="L116" s="1328">
        <f t="shared" si="27"/>
        <v>2796800</v>
      </c>
      <c r="M116" s="1328">
        <f t="shared" si="27"/>
        <v>2796800</v>
      </c>
      <c r="N116" s="1328">
        <f t="shared" si="27"/>
        <v>2796800</v>
      </c>
      <c r="O116" s="1328">
        <f t="shared" si="27"/>
        <v>2796800</v>
      </c>
      <c r="P116" s="1328">
        <f t="shared" si="27"/>
        <v>2796800</v>
      </c>
      <c r="Q116" s="1328">
        <f t="shared" si="27"/>
        <v>2796800</v>
      </c>
      <c r="R116" s="1328">
        <f t="shared" si="27"/>
        <v>2796800</v>
      </c>
      <c r="S116" s="1328">
        <f t="shared" si="27"/>
        <v>2796800</v>
      </c>
      <c r="T116" s="1328">
        <f t="shared" si="27"/>
        <v>2796800</v>
      </c>
      <c r="U116" s="1328">
        <f t="shared" si="27"/>
        <v>2796800</v>
      </c>
      <c r="V116" s="1328">
        <f t="shared" si="27"/>
        <v>2796800</v>
      </c>
      <c r="W116" s="1328">
        <f t="shared" si="27"/>
        <v>2796800</v>
      </c>
      <c r="X116" s="1328">
        <f t="shared" si="27"/>
        <v>2796800</v>
      </c>
      <c r="Y116" s="1328">
        <f t="shared" si="27"/>
        <v>2796800</v>
      </c>
      <c r="Z116" s="1328">
        <f t="shared" si="27"/>
        <v>2796800</v>
      </c>
      <c r="AA116" s="1331">
        <f t="shared" si="27"/>
        <v>2796800</v>
      </c>
    </row>
    <row r="117" spans="2:27" x14ac:dyDescent="0.25">
      <c r="B117" s="576"/>
      <c r="C117" s="38"/>
      <c r="D117" s="38"/>
      <c r="E117" s="211"/>
      <c r="F117" s="211"/>
      <c r="G117" s="1328"/>
      <c r="H117" s="1328"/>
      <c r="I117" s="1328"/>
      <c r="J117" s="1328"/>
      <c r="K117" s="1328"/>
      <c r="L117" s="1328"/>
      <c r="M117" s="1328"/>
      <c r="N117" s="1328"/>
      <c r="O117" s="1328"/>
      <c r="P117" s="1328"/>
      <c r="Q117" s="1328"/>
      <c r="R117" s="1328"/>
      <c r="S117" s="1328"/>
      <c r="T117" s="1328"/>
      <c r="U117" s="1328"/>
      <c r="V117" s="1328"/>
      <c r="W117" s="1328"/>
      <c r="X117" s="1328"/>
      <c r="Y117" s="1328"/>
      <c r="Z117" s="1328"/>
      <c r="AA117" s="1331"/>
    </row>
    <row r="118" spans="2:27" x14ac:dyDescent="0.25">
      <c r="B118" s="576" t="s">
        <v>257</v>
      </c>
      <c r="C118" s="38"/>
      <c r="D118" s="38"/>
      <c r="E118" s="211"/>
      <c r="F118" s="211" t="s">
        <v>631</v>
      </c>
      <c r="G118" s="1328"/>
      <c r="H118" s="1328">
        <f>H282</f>
        <v>853759.99999999988</v>
      </c>
      <c r="I118" s="1328">
        <f>I282</f>
        <v>825089.24483942974</v>
      </c>
      <c r="J118" s="1328">
        <f t="shared" ref="J118:AA118" si="28">J282</f>
        <v>795271.65947243676</v>
      </c>
      <c r="K118" s="1328">
        <f t="shared" si="28"/>
        <v>764261.37069076393</v>
      </c>
      <c r="L118" s="1328">
        <f t="shared" si="28"/>
        <v>732010.67035782442</v>
      </c>
      <c r="M118" s="1328">
        <f t="shared" si="28"/>
        <v>698469.94201156718</v>
      </c>
      <c r="N118" s="1328">
        <f t="shared" si="28"/>
        <v>663587.58453145972</v>
      </c>
      <c r="O118" s="1328">
        <f t="shared" si="28"/>
        <v>627309.9327521479</v>
      </c>
      <c r="P118" s="1328">
        <f t="shared" si="28"/>
        <v>589581.17490166356</v>
      </c>
      <c r="Q118" s="1328">
        <f t="shared" si="28"/>
        <v>550343.26673715992</v>
      </c>
      <c r="R118" s="1328">
        <f t="shared" si="28"/>
        <v>509535.84224607609</v>
      </c>
      <c r="S118" s="1328">
        <f t="shared" si="28"/>
        <v>467096.12077534897</v>
      </c>
      <c r="T118" s="1328">
        <f t="shared" si="28"/>
        <v>422958.81044579274</v>
      </c>
      <c r="U118" s="1328">
        <f t="shared" si="28"/>
        <v>377056.00770305423</v>
      </c>
      <c r="V118" s="1328">
        <f t="shared" si="28"/>
        <v>329317.09285060625</v>
      </c>
      <c r="W118" s="1328">
        <f t="shared" si="28"/>
        <v>279668.62140406034</v>
      </c>
      <c r="X118" s="1328">
        <f t="shared" si="28"/>
        <v>228034.21109965254</v>
      </c>
      <c r="Y118" s="1328">
        <f t="shared" si="28"/>
        <v>174334.42438306846</v>
      </c>
      <c r="Z118" s="1328">
        <f t="shared" si="28"/>
        <v>118486.646197821</v>
      </c>
      <c r="AA118" s="1331">
        <f t="shared" si="28"/>
        <v>60404.956885163658</v>
      </c>
    </row>
    <row r="119" spans="2:27" x14ac:dyDescent="0.25">
      <c r="B119" s="576" t="s">
        <v>189</v>
      </c>
      <c r="C119" s="38"/>
      <c r="D119" s="38"/>
      <c r="E119" s="211"/>
      <c r="F119" s="211" t="s">
        <v>631</v>
      </c>
      <c r="G119" s="1328"/>
      <c r="H119" s="1328">
        <f>H303</f>
        <v>0</v>
      </c>
      <c r="I119" s="1328">
        <f>I303</f>
        <v>0</v>
      </c>
      <c r="J119" s="1328">
        <f t="shared" ref="J119:AA119" si="29">J303</f>
        <v>0</v>
      </c>
      <c r="K119" s="1328">
        <f t="shared" si="29"/>
        <v>0</v>
      </c>
      <c r="L119" s="1328">
        <f t="shared" si="29"/>
        <v>0</v>
      </c>
      <c r="M119" s="1328">
        <f t="shared" si="29"/>
        <v>0</v>
      </c>
      <c r="N119" s="1328">
        <f t="shared" si="29"/>
        <v>0</v>
      </c>
      <c r="O119" s="1328">
        <f t="shared" si="29"/>
        <v>0</v>
      </c>
      <c r="P119" s="1328">
        <f t="shared" si="29"/>
        <v>0</v>
      </c>
      <c r="Q119" s="1328">
        <f t="shared" si="29"/>
        <v>0</v>
      </c>
      <c r="R119" s="1328">
        <f t="shared" si="29"/>
        <v>0</v>
      </c>
      <c r="S119" s="1328">
        <f t="shared" si="29"/>
        <v>0</v>
      </c>
      <c r="T119" s="1328">
        <f t="shared" si="29"/>
        <v>0</v>
      </c>
      <c r="U119" s="1328">
        <f t="shared" si="29"/>
        <v>0</v>
      </c>
      <c r="V119" s="1328">
        <f t="shared" si="29"/>
        <v>0</v>
      </c>
      <c r="W119" s="1328">
        <f t="shared" si="29"/>
        <v>0</v>
      </c>
      <c r="X119" s="1328">
        <f t="shared" si="29"/>
        <v>0</v>
      </c>
      <c r="Y119" s="1328">
        <f t="shared" si="29"/>
        <v>0</v>
      </c>
      <c r="Z119" s="1328">
        <f t="shared" si="29"/>
        <v>0</v>
      </c>
      <c r="AA119" s="1331">
        <f t="shared" si="29"/>
        <v>0</v>
      </c>
    </row>
    <row r="120" spans="2:27" x14ac:dyDescent="0.25">
      <c r="B120" s="576" t="s">
        <v>190</v>
      </c>
      <c r="C120" s="38"/>
      <c r="D120" s="38"/>
      <c r="E120" s="211"/>
      <c r="F120" s="211" t="s">
        <v>631</v>
      </c>
      <c r="G120" s="1328"/>
      <c r="H120" s="1328">
        <f>H324</f>
        <v>1200433.6299680693</v>
      </c>
      <c r="I120" s="1328">
        <f>I324</f>
        <v>1118653.8088333455</v>
      </c>
      <c r="J120" s="1328">
        <f t="shared" ref="J120:AA120" si="30">J324</f>
        <v>1032274.510208793</v>
      </c>
      <c r="K120" s="1328">
        <f t="shared" si="30"/>
        <v>941037.04933714704</v>
      </c>
      <c r="L120" s="1328">
        <f t="shared" si="30"/>
        <v>844668.19245991576</v>
      </c>
      <c r="M120" s="1328">
        <f t="shared" si="30"/>
        <v>742879.33854946599</v>
      </c>
      <c r="N120" s="1328">
        <f t="shared" si="30"/>
        <v>635365.65501991916</v>
      </c>
      <c r="O120" s="1328">
        <f t="shared" si="30"/>
        <v>521805.16482851829</v>
      </c>
      <c r="P120" s="1328">
        <f t="shared" si="30"/>
        <v>401857.78223356523</v>
      </c>
      <c r="Q120" s="1328">
        <f t="shared" si="30"/>
        <v>275164.2943212571</v>
      </c>
      <c r="R120" s="1328">
        <f t="shared" si="30"/>
        <v>141345.28525134546</v>
      </c>
      <c r="S120" s="1328">
        <f t="shared" si="30"/>
        <v>0</v>
      </c>
      <c r="T120" s="1328">
        <f t="shared" si="30"/>
        <v>0</v>
      </c>
      <c r="U120" s="1328">
        <f t="shared" si="30"/>
        <v>0</v>
      </c>
      <c r="V120" s="1328">
        <f t="shared" si="30"/>
        <v>0</v>
      </c>
      <c r="W120" s="1328">
        <f t="shared" si="30"/>
        <v>0</v>
      </c>
      <c r="X120" s="1328">
        <f t="shared" si="30"/>
        <v>0</v>
      </c>
      <c r="Y120" s="1328">
        <f t="shared" si="30"/>
        <v>0</v>
      </c>
      <c r="Z120" s="1328">
        <f t="shared" si="30"/>
        <v>0</v>
      </c>
      <c r="AA120" s="1331">
        <f t="shared" si="30"/>
        <v>0</v>
      </c>
    </row>
    <row r="121" spans="2:27" x14ac:dyDescent="0.25">
      <c r="B121" s="576" t="s">
        <v>132</v>
      </c>
      <c r="C121" s="38"/>
      <c r="D121" s="38"/>
      <c r="E121" s="211"/>
      <c r="F121" s="211" t="s">
        <v>631</v>
      </c>
      <c r="G121" s="1328"/>
      <c r="H121" s="1328">
        <f>(H293+H314+H335)</f>
        <v>0</v>
      </c>
      <c r="I121" s="1328">
        <f>(I293+I314+I335)</f>
        <v>0</v>
      </c>
      <c r="J121" s="1328">
        <f t="shared" ref="J121:AA121" si="31">(J293+J314+J335)</f>
        <v>0</v>
      </c>
      <c r="K121" s="1328">
        <f t="shared" si="31"/>
        <v>0</v>
      </c>
      <c r="L121" s="1328">
        <f t="shared" si="31"/>
        <v>0</v>
      </c>
      <c r="M121" s="1328">
        <f t="shared" si="31"/>
        <v>0</v>
      </c>
      <c r="N121" s="1328">
        <f t="shared" si="31"/>
        <v>0</v>
      </c>
      <c r="O121" s="1328">
        <f t="shared" si="31"/>
        <v>0</v>
      </c>
      <c r="P121" s="1328">
        <f t="shared" si="31"/>
        <v>0</v>
      </c>
      <c r="Q121" s="1328">
        <f t="shared" si="31"/>
        <v>0</v>
      </c>
      <c r="R121" s="1328">
        <f t="shared" si="31"/>
        <v>0</v>
      </c>
      <c r="S121" s="1328">
        <f t="shared" si="31"/>
        <v>0</v>
      </c>
      <c r="T121" s="1328">
        <f t="shared" si="31"/>
        <v>0</v>
      </c>
      <c r="U121" s="1328">
        <f t="shared" si="31"/>
        <v>0</v>
      </c>
      <c r="V121" s="1328">
        <f t="shared" si="31"/>
        <v>0</v>
      </c>
      <c r="W121" s="1328">
        <f t="shared" si="31"/>
        <v>0</v>
      </c>
      <c r="X121" s="1328">
        <f t="shared" si="31"/>
        <v>0</v>
      </c>
      <c r="Y121" s="1328">
        <f t="shared" si="31"/>
        <v>0</v>
      </c>
      <c r="Z121" s="1328">
        <f t="shared" si="31"/>
        <v>0</v>
      </c>
      <c r="AA121" s="1331">
        <f t="shared" si="31"/>
        <v>0</v>
      </c>
    </row>
    <row r="122" spans="2:27" x14ac:dyDescent="0.25">
      <c r="B122" s="576" t="s">
        <v>191</v>
      </c>
      <c r="C122" s="38"/>
      <c r="D122" s="38"/>
      <c r="E122" s="211"/>
      <c r="F122" s="211" t="s">
        <v>631</v>
      </c>
      <c r="G122" s="1328"/>
      <c r="H122" s="1328">
        <f>(H315+H316)</f>
        <v>0</v>
      </c>
      <c r="I122" s="1328">
        <f>I316</f>
        <v>0</v>
      </c>
      <c r="J122" s="1328">
        <f t="shared" ref="J122:AA122" si="32">J316</f>
        <v>0</v>
      </c>
      <c r="K122" s="1328">
        <f t="shared" si="32"/>
        <v>0</v>
      </c>
      <c r="L122" s="1328">
        <f t="shared" si="32"/>
        <v>0</v>
      </c>
      <c r="M122" s="1328">
        <f t="shared" si="32"/>
        <v>0</v>
      </c>
      <c r="N122" s="1328">
        <f t="shared" si="32"/>
        <v>0</v>
      </c>
      <c r="O122" s="1328">
        <f t="shared" si="32"/>
        <v>0</v>
      </c>
      <c r="P122" s="1328">
        <f t="shared" si="32"/>
        <v>0</v>
      </c>
      <c r="Q122" s="1328">
        <f t="shared" si="32"/>
        <v>0</v>
      </c>
      <c r="R122" s="1328">
        <f t="shared" si="32"/>
        <v>0</v>
      </c>
      <c r="S122" s="1328">
        <f t="shared" si="32"/>
        <v>0</v>
      </c>
      <c r="T122" s="1328">
        <f t="shared" si="32"/>
        <v>0</v>
      </c>
      <c r="U122" s="1328">
        <f t="shared" si="32"/>
        <v>0</v>
      </c>
      <c r="V122" s="1328">
        <f t="shared" si="32"/>
        <v>0</v>
      </c>
      <c r="W122" s="1328">
        <f t="shared" si="32"/>
        <v>0</v>
      </c>
      <c r="X122" s="1328">
        <f t="shared" si="32"/>
        <v>0</v>
      </c>
      <c r="Y122" s="1328">
        <f t="shared" si="32"/>
        <v>0</v>
      </c>
      <c r="Z122" s="1328">
        <f t="shared" si="32"/>
        <v>0</v>
      </c>
      <c r="AA122" s="1331">
        <f t="shared" si="32"/>
        <v>0</v>
      </c>
    </row>
    <row r="123" spans="2:27" x14ac:dyDescent="0.25">
      <c r="B123" s="576" t="s">
        <v>134</v>
      </c>
      <c r="C123" s="38"/>
      <c r="D123" s="38"/>
      <c r="E123" s="211"/>
      <c r="F123" s="211" t="s">
        <v>631</v>
      </c>
      <c r="G123" s="1328"/>
      <c r="H123" s="1328">
        <f>(H345+H346)</f>
        <v>0</v>
      </c>
      <c r="I123" s="1328">
        <f>I346</f>
        <v>0</v>
      </c>
      <c r="J123" s="1328">
        <f t="shared" ref="J123:AA123" si="33">J346</f>
        <v>0</v>
      </c>
      <c r="K123" s="1328">
        <f t="shared" si="33"/>
        <v>0</v>
      </c>
      <c r="L123" s="1328">
        <f t="shared" si="33"/>
        <v>0</v>
      </c>
      <c r="M123" s="1328">
        <f t="shared" si="33"/>
        <v>0</v>
      </c>
      <c r="N123" s="1328">
        <f t="shared" si="33"/>
        <v>0</v>
      </c>
      <c r="O123" s="1328">
        <f t="shared" si="33"/>
        <v>0</v>
      </c>
      <c r="P123" s="1328">
        <f t="shared" si="33"/>
        <v>0</v>
      </c>
      <c r="Q123" s="1328">
        <f t="shared" si="33"/>
        <v>0</v>
      </c>
      <c r="R123" s="1328">
        <f t="shared" si="33"/>
        <v>0</v>
      </c>
      <c r="S123" s="1328">
        <f t="shared" si="33"/>
        <v>0</v>
      </c>
      <c r="T123" s="1328">
        <f t="shared" si="33"/>
        <v>0</v>
      </c>
      <c r="U123" s="1328">
        <f t="shared" si="33"/>
        <v>0</v>
      </c>
      <c r="V123" s="1328">
        <f t="shared" si="33"/>
        <v>0</v>
      </c>
      <c r="W123" s="1328">
        <f t="shared" si="33"/>
        <v>0</v>
      </c>
      <c r="X123" s="1328">
        <f t="shared" si="33"/>
        <v>0</v>
      </c>
      <c r="Y123" s="1328">
        <f t="shared" si="33"/>
        <v>0</v>
      </c>
      <c r="Z123" s="1328">
        <f t="shared" si="33"/>
        <v>0</v>
      </c>
      <c r="AA123" s="1331">
        <f t="shared" si="33"/>
        <v>0</v>
      </c>
    </row>
    <row r="124" spans="2:27" x14ac:dyDescent="0.25">
      <c r="B124" s="576"/>
      <c r="C124" s="38"/>
      <c r="D124" s="38"/>
      <c r="E124" s="211"/>
      <c r="F124" s="211"/>
      <c r="G124" s="1328"/>
      <c r="H124" s="1328"/>
      <c r="I124" s="1328"/>
      <c r="J124" s="1328"/>
      <c r="K124" s="1328"/>
      <c r="L124" s="1328"/>
      <c r="M124" s="1328"/>
      <c r="N124" s="1328"/>
      <c r="O124" s="1328"/>
      <c r="P124" s="1328"/>
      <c r="Q124" s="1328"/>
      <c r="R124" s="1328"/>
      <c r="S124" s="1328"/>
      <c r="T124" s="1328"/>
      <c r="U124" s="1328"/>
      <c r="V124" s="1328"/>
      <c r="W124" s="1328"/>
      <c r="X124" s="1328"/>
      <c r="Y124" s="1328"/>
      <c r="Z124" s="1328"/>
      <c r="AA124" s="1331"/>
    </row>
    <row r="125" spans="2:27" x14ac:dyDescent="0.25">
      <c r="B125" s="576"/>
      <c r="C125" s="38"/>
      <c r="D125" s="38"/>
      <c r="E125" s="211"/>
      <c r="F125" s="211"/>
      <c r="G125" s="1328"/>
      <c r="H125" s="1328"/>
      <c r="I125" s="1328"/>
      <c r="J125" s="1328"/>
      <c r="K125" s="1328"/>
      <c r="L125" s="1328"/>
      <c r="M125" s="1328"/>
      <c r="N125" s="1328"/>
      <c r="O125" s="1328"/>
      <c r="P125" s="1328"/>
      <c r="Q125" s="1328"/>
      <c r="R125" s="1328"/>
      <c r="S125" s="1328"/>
      <c r="T125" s="1328"/>
      <c r="U125" s="1328"/>
      <c r="V125" s="1328"/>
      <c r="W125" s="1328"/>
      <c r="X125" s="1328"/>
      <c r="Y125" s="1328"/>
      <c r="Z125" s="1328"/>
      <c r="AA125" s="1331"/>
    </row>
    <row r="126" spans="2:27" x14ac:dyDescent="0.25">
      <c r="B126" s="583" t="s">
        <v>518</v>
      </c>
      <c r="C126" s="38"/>
      <c r="D126" s="38"/>
      <c r="E126" s="211"/>
      <c r="F126" s="211"/>
      <c r="G126" s="1328"/>
      <c r="H126" s="1328"/>
      <c r="I126" s="1328"/>
      <c r="J126" s="1328"/>
      <c r="K126" s="1328"/>
      <c r="L126" s="1328"/>
      <c r="M126" s="1328"/>
      <c r="N126" s="1328"/>
      <c r="O126" s="1328"/>
      <c r="P126" s="1328"/>
      <c r="Q126" s="1328"/>
      <c r="R126" s="1328"/>
      <c r="S126" s="1328"/>
      <c r="T126" s="1328"/>
      <c r="U126" s="1328"/>
      <c r="V126" s="1328"/>
      <c r="W126" s="1328"/>
      <c r="X126" s="1328"/>
      <c r="Y126" s="1328"/>
      <c r="Z126" s="1328"/>
      <c r="AA126" s="1331"/>
    </row>
    <row r="127" spans="2:27" x14ac:dyDescent="0.25">
      <c r="B127" s="576"/>
      <c r="C127" s="38"/>
      <c r="D127" s="38"/>
      <c r="E127" s="211"/>
      <c r="F127" s="211"/>
      <c r="G127" s="1328"/>
      <c r="H127" s="1328"/>
      <c r="I127" s="1328"/>
      <c r="J127" s="1328"/>
      <c r="K127" s="1328"/>
      <c r="L127" s="1328"/>
      <c r="M127" s="1328"/>
      <c r="N127" s="1328"/>
      <c r="O127" s="1328"/>
      <c r="P127" s="1328"/>
      <c r="Q127" s="1328"/>
      <c r="R127" s="1328"/>
      <c r="S127" s="1328"/>
      <c r="T127" s="1328"/>
      <c r="U127" s="1328"/>
      <c r="V127" s="1328"/>
      <c r="W127" s="1328"/>
      <c r="X127" s="1328"/>
      <c r="Y127" s="1328"/>
      <c r="Z127" s="1328"/>
      <c r="AA127" s="1331"/>
    </row>
    <row r="128" spans="2:27" x14ac:dyDescent="0.25">
      <c r="B128" s="576" t="str">
        <f>B114</f>
        <v>Operations &amp; Maintenance Expenses</v>
      </c>
      <c r="C128" s="38"/>
      <c r="D128" s="38"/>
      <c r="E128" s="211"/>
      <c r="F128" s="211" t="s">
        <v>631</v>
      </c>
      <c r="G128" s="1328"/>
      <c r="H128" s="1328">
        <f>-H114</f>
        <v>0</v>
      </c>
      <c r="I128" s="1328">
        <f>-I114</f>
        <v>0</v>
      </c>
      <c r="J128" s="1328">
        <f t="shared" ref="J128:AA128" si="34">-J114</f>
        <v>0</v>
      </c>
      <c r="K128" s="1328">
        <f t="shared" si="34"/>
        <v>0</v>
      </c>
      <c r="L128" s="1328">
        <f t="shared" si="34"/>
        <v>0</v>
      </c>
      <c r="M128" s="1328">
        <f t="shared" si="34"/>
        <v>0</v>
      </c>
      <c r="N128" s="1328">
        <f t="shared" si="34"/>
        <v>0</v>
      </c>
      <c r="O128" s="1328">
        <f t="shared" si="34"/>
        <v>0</v>
      </c>
      <c r="P128" s="1328">
        <f t="shared" si="34"/>
        <v>0</v>
      </c>
      <c r="Q128" s="1328">
        <f t="shared" si="34"/>
        <v>0</v>
      </c>
      <c r="R128" s="1328">
        <f t="shared" si="34"/>
        <v>0</v>
      </c>
      <c r="S128" s="1328">
        <f t="shared" si="34"/>
        <v>0</v>
      </c>
      <c r="T128" s="1328">
        <f t="shared" si="34"/>
        <v>0</v>
      </c>
      <c r="U128" s="1328">
        <f t="shared" si="34"/>
        <v>0</v>
      </c>
      <c r="V128" s="1328">
        <f t="shared" si="34"/>
        <v>0</v>
      </c>
      <c r="W128" s="1328">
        <f t="shared" si="34"/>
        <v>0</v>
      </c>
      <c r="X128" s="1328">
        <f t="shared" si="34"/>
        <v>0</v>
      </c>
      <c r="Y128" s="1328">
        <f t="shared" si="34"/>
        <v>0</v>
      </c>
      <c r="Z128" s="1328">
        <f t="shared" si="34"/>
        <v>0</v>
      </c>
      <c r="AA128" s="1331">
        <f t="shared" si="34"/>
        <v>0</v>
      </c>
    </row>
    <row r="129" spans="2:27" x14ac:dyDescent="0.25">
      <c r="B129" s="576" t="str">
        <f>B121</f>
        <v xml:space="preserve">Front-end Fees </v>
      </c>
      <c r="C129" s="38"/>
      <c r="D129" s="38"/>
      <c r="E129" s="211"/>
      <c r="F129" s="211" t="s">
        <v>631</v>
      </c>
      <c r="G129" s="1328"/>
      <c r="H129" s="1328">
        <f t="shared" ref="H129:AA131" si="35">-H121</f>
        <v>0</v>
      </c>
      <c r="I129" s="1328">
        <f t="shared" si="35"/>
        <v>0</v>
      </c>
      <c r="J129" s="1328">
        <f t="shared" si="35"/>
        <v>0</v>
      </c>
      <c r="K129" s="1328">
        <f t="shared" si="35"/>
        <v>0</v>
      </c>
      <c r="L129" s="1328">
        <f t="shared" si="35"/>
        <v>0</v>
      </c>
      <c r="M129" s="1328">
        <f t="shared" si="35"/>
        <v>0</v>
      </c>
      <c r="N129" s="1328">
        <f t="shared" si="35"/>
        <v>0</v>
      </c>
      <c r="O129" s="1328">
        <f t="shared" si="35"/>
        <v>0</v>
      </c>
      <c r="P129" s="1328">
        <f t="shared" si="35"/>
        <v>0</v>
      </c>
      <c r="Q129" s="1328">
        <f t="shared" si="35"/>
        <v>0</v>
      </c>
      <c r="R129" s="1328">
        <f t="shared" si="35"/>
        <v>0</v>
      </c>
      <c r="S129" s="1328">
        <f t="shared" si="35"/>
        <v>0</v>
      </c>
      <c r="T129" s="1328">
        <f t="shared" si="35"/>
        <v>0</v>
      </c>
      <c r="U129" s="1328">
        <f t="shared" si="35"/>
        <v>0</v>
      </c>
      <c r="V129" s="1328">
        <f t="shared" si="35"/>
        <v>0</v>
      </c>
      <c r="W129" s="1328">
        <f t="shared" si="35"/>
        <v>0</v>
      </c>
      <c r="X129" s="1328">
        <f t="shared" si="35"/>
        <v>0</v>
      </c>
      <c r="Y129" s="1328">
        <f t="shared" si="35"/>
        <v>0</v>
      </c>
      <c r="Z129" s="1328">
        <f t="shared" si="35"/>
        <v>0</v>
      </c>
      <c r="AA129" s="1331">
        <f t="shared" si="35"/>
        <v>0</v>
      </c>
    </row>
    <row r="130" spans="2:27" x14ac:dyDescent="0.25">
      <c r="B130" s="576" t="str">
        <f>B122</f>
        <v xml:space="preserve">Public Guarantee Fees </v>
      </c>
      <c r="C130" s="38"/>
      <c r="D130" s="38"/>
      <c r="E130" s="211"/>
      <c r="F130" s="211" t="s">
        <v>631</v>
      </c>
      <c r="G130" s="1328"/>
      <c r="H130" s="1328">
        <f t="shared" si="35"/>
        <v>0</v>
      </c>
      <c r="I130" s="1328">
        <f t="shared" si="35"/>
        <v>0</v>
      </c>
      <c r="J130" s="1328">
        <f t="shared" si="35"/>
        <v>0</v>
      </c>
      <c r="K130" s="1328">
        <f t="shared" si="35"/>
        <v>0</v>
      </c>
      <c r="L130" s="1328">
        <f t="shared" si="35"/>
        <v>0</v>
      </c>
      <c r="M130" s="1328">
        <f t="shared" si="35"/>
        <v>0</v>
      </c>
      <c r="N130" s="1328">
        <f t="shared" si="35"/>
        <v>0</v>
      </c>
      <c r="O130" s="1328">
        <f t="shared" si="35"/>
        <v>0</v>
      </c>
      <c r="P130" s="1328">
        <f t="shared" si="35"/>
        <v>0</v>
      </c>
      <c r="Q130" s="1328">
        <f t="shared" si="35"/>
        <v>0</v>
      </c>
      <c r="R130" s="1328">
        <f t="shared" si="35"/>
        <v>0</v>
      </c>
      <c r="S130" s="1328">
        <f t="shared" si="35"/>
        <v>0</v>
      </c>
      <c r="T130" s="1328">
        <f t="shared" si="35"/>
        <v>0</v>
      </c>
      <c r="U130" s="1328">
        <f t="shared" si="35"/>
        <v>0</v>
      </c>
      <c r="V130" s="1328">
        <f t="shared" si="35"/>
        <v>0</v>
      </c>
      <c r="W130" s="1328">
        <f t="shared" si="35"/>
        <v>0</v>
      </c>
      <c r="X130" s="1328">
        <f t="shared" si="35"/>
        <v>0</v>
      </c>
      <c r="Y130" s="1328">
        <f t="shared" si="35"/>
        <v>0</v>
      </c>
      <c r="Z130" s="1328">
        <f t="shared" si="35"/>
        <v>0</v>
      </c>
      <c r="AA130" s="1331">
        <f t="shared" si="35"/>
        <v>0</v>
      </c>
    </row>
    <row r="131" spans="2:27" x14ac:dyDescent="0.25">
      <c r="B131" s="576" t="str">
        <f>B123</f>
        <v>Political Risk Insurance - Fees &amp; Annual Premium Payments</v>
      </c>
      <c r="C131" s="38"/>
      <c r="D131" s="38"/>
      <c r="E131" s="211"/>
      <c r="F131" s="211" t="s">
        <v>631</v>
      </c>
      <c r="G131" s="1328"/>
      <c r="H131" s="1328">
        <f t="shared" si="35"/>
        <v>0</v>
      </c>
      <c r="I131" s="1328">
        <f t="shared" si="35"/>
        <v>0</v>
      </c>
      <c r="J131" s="1328">
        <f t="shared" si="35"/>
        <v>0</v>
      </c>
      <c r="K131" s="1328">
        <f t="shared" si="35"/>
        <v>0</v>
      </c>
      <c r="L131" s="1328">
        <f t="shared" si="35"/>
        <v>0</v>
      </c>
      <c r="M131" s="1328">
        <f t="shared" si="35"/>
        <v>0</v>
      </c>
      <c r="N131" s="1328">
        <f t="shared" si="35"/>
        <v>0</v>
      </c>
      <c r="O131" s="1328">
        <f t="shared" si="35"/>
        <v>0</v>
      </c>
      <c r="P131" s="1328">
        <f t="shared" si="35"/>
        <v>0</v>
      </c>
      <c r="Q131" s="1328">
        <f t="shared" si="35"/>
        <v>0</v>
      </c>
      <c r="R131" s="1328">
        <f t="shared" si="35"/>
        <v>0</v>
      </c>
      <c r="S131" s="1328">
        <f t="shared" si="35"/>
        <v>0</v>
      </c>
      <c r="T131" s="1328">
        <f t="shared" si="35"/>
        <v>0</v>
      </c>
      <c r="U131" s="1328">
        <f t="shared" si="35"/>
        <v>0</v>
      </c>
      <c r="V131" s="1328">
        <f t="shared" si="35"/>
        <v>0</v>
      </c>
      <c r="W131" s="1328">
        <f t="shared" si="35"/>
        <v>0</v>
      </c>
      <c r="X131" s="1328">
        <f t="shared" si="35"/>
        <v>0</v>
      </c>
      <c r="Y131" s="1328">
        <f t="shared" si="35"/>
        <v>0</v>
      </c>
      <c r="Z131" s="1328">
        <f t="shared" si="35"/>
        <v>0</v>
      </c>
      <c r="AA131" s="1331">
        <f t="shared" si="35"/>
        <v>0</v>
      </c>
    </row>
    <row r="132" spans="2:27" x14ac:dyDescent="0.25">
      <c r="B132" s="576" t="s">
        <v>102</v>
      </c>
      <c r="C132" s="38"/>
      <c r="D132" s="38"/>
      <c r="E132" s="211"/>
      <c r="F132" s="211" t="s">
        <v>631</v>
      </c>
      <c r="G132" s="1328"/>
      <c r="H132" s="1328">
        <f>-(H284+H305+H326)</f>
        <v>-4225027.489106195</v>
      </c>
      <c r="I132" s="1328">
        <f t="shared" ref="I132:AA132" si="36">-(I284+I305+I326)</f>
        <v>-4225027.489106195</v>
      </c>
      <c r="J132" s="1328">
        <f t="shared" si="36"/>
        <v>-4225027.4891061941</v>
      </c>
      <c r="K132" s="1328">
        <f t="shared" si="36"/>
        <v>-4225027.4891061941</v>
      </c>
      <c r="L132" s="1328">
        <f t="shared" si="36"/>
        <v>-4225027.4891061941</v>
      </c>
      <c r="M132" s="1328">
        <f t="shared" si="36"/>
        <v>-4225027.489106195</v>
      </c>
      <c r="N132" s="1328">
        <f t="shared" si="36"/>
        <v>-4225027.489106195</v>
      </c>
      <c r="O132" s="1328">
        <f t="shared" si="36"/>
        <v>-4225027.489106195</v>
      </c>
      <c r="P132" s="1328">
        <f t="shared" si="36"/>
        <v>-4225027.489106195</v>
      </c>
      <c r="Q132" s="1328">
        <f t="shared" si="36"/>
        <v>-4225027.489106195</v>
      </c>
      <c r="R132" s="1328">
        <f t="shared" si="36"/>
        <v>-4225027.489106195</v>
      </c>
      <c r="S132" s="1328">
        <f t="shared" si="36"/>
        <v>-1570528.8790142548</v>
      </c>
      <c r="T132" s="1328">
        <f t="shared" si="36"/>
        <v>-1570528.8790142548</v>
      </c>
      <c r="U132" s="1328">
        <f t="shared" si="36"/>
        <v>-1570528.8790142548</v>
      </c>
      <c r="V132" s="1328">
        <f t="shared" si="36"/>
        <v>-1570528.8790142548</v>
      </c>
      <c r="W132" s="1328">
        <f t="shared" si="36"/>
        <v>-1570528.879014255</v>
      </c>
      <c r="X132" s="1328">
        <f t="shared" si="36"/>
        <v>-1570528.8790142548</v>
      </c>
      <c r="Y132" s="1328">
        <f t="shared" si="36"/>
        <v>-1570528.879014255</v>
      </c>
      <c r="Z132" s="1328">
        <f t="shared" si="36"/>
        <v>-1570528.879014255</v>
      </c>
      <c r="AA132" s="1331">
        <f t="shared" si="36"/>
        <v>-1570528.879014255</v>
      </c>
    </row>
    <row r="133" spans="2:27" x14ac:dyDescent="0.25">
      <c r="B133" s="584" t="s">
        <v>103</v>
      </c>
      <c r="C133" s="39"/>
      <c r="D133" s="39"/>
      <c r="E133" s="213"/>
      <c r="F133" s="213" t="s">
        <v>631</v>
      </c>
      <c r="G133" s="1332"/>
      <c r="H133" s="1332">
        <f>(H114+H116+H121+H122+H123+H118+H119+H120)*'III. Inputs, Renewable Energy'!$U$17</f>
        <v>1455298.0889904208</v>
      </c>
      <c r="I133" s="1332">
        <f>(I114+I116+I121+I122+I123+I118+I119+I120)*'III. Inputs, Renewable Energy'!$U$17</f>
        <v>1422162.9161018326</v>
      </c>
      <c r="J133" s="1332">
        <f>(J114+J116+J121+J122+J123+J118+J119+J120)*'III. Inputs, Renewable Energy'!$U$17</f>
        <v>1387303.8509043688</v>
      </c>
      <c r="K133" s="1332">
        <f>(K114+K116+K121+K122+K123+K118+K119+K120)*'III. Inputs, Renewable Energy'!$U$17</f>
        <v>1350629.5260083731</v>
      </c>
      <c r="L133" s="1332">
        <f>(L114+L116+L121+L122+L123+L118+L119+L120)*'III. Inputs, Renewable Energy'!$U$17</f>
        <v>1312043.658845322</v>
      </c>
      <c r="M133" s="1332">
        <f>(M114+M116+M121+M122+M123+M118+M119+M120)*'III. Inputs, Renewable Energy'!$U$17</f>
        <v>1271444.78416831</v>
      </c>
      <c r="N133" s="1332">
        <f>(N114+N116+N121+N122+N123+N118+N119+N120)*'III. Inputs, Renewable Energy'!$U$17</f>
        <v>1228725.9718654137</v>
      </c>
      <c r="O133" s="1332">
        <f>(O114+O116+O121+O122+O123+O118+O119+O120)*'III. Inputs, Renewable Energy'!$U$17</f>
        <v>1183774.5292741999</v>
      </c>
      <c r="P133" s="1332">
        <f>(P114+P116+P121+P122+P123+P118+P119+P120)*'III. Inputs, Renewable Energy'!$U$17</f>
        <v>1136471.6871405684</v>
      </c>
      <c r="Q133" s="1332">
        <f>(Q114+Q116+Q121+Q122+Q123+Q118+Q119+Q120)*'III. Inputs, Renewable Energy'!$U$17</f>
        <v>1086692.268317525</v>
      </c>
      <c r="R133" s="1332">
        <f>(R114+R116+R121+R122+R123+R118+R119+R120)*'III. Inputs, Renewable Energy'!$U$17</f>
        <v>1034304.3382492264</v>
      </c>
      <c r="S133" s="1332">
        <f>(S114+S116+S121+S122+S123+S118+S119+S120)*'III. Inputs, Renewable Energy'!$U$17</f>
        <v>979168.83623260469</v>
      </c>
      <c r="T133" s="1332">
        <f>(T114+T116+T121+T122+T123+T118+T119+T120)*'III. Inputs, Renewable Energy'!$U$17</f>
        <v>965927.64313373785</v>
      </c>
      <c r="U133" s="1332">
        <f>(U114+U116+U121+U122+U123+U118+U119+U120)*'III. Inputs, Renewable Energy'!$U$17</f>
        <v>952156.80231091625</v>
      </c>
      <c r="V133" s="1332">
        <f>(V114+V116+V121+V122+V123+V118+V119+V120)*'III. Inputs, Renewable Energy'!$U$17</f>
        <v>937835.12785518193</v>
      </c>
      <c r="W133" s="1332">
        <f>(W114+W116+W121+W122+W123+W118+W119+W120)*'III. Inputs, Renewable Energy'!$U$17</f>
        <v>922940.586421218</v>
      </c>
      <c r="X133" s="1332">
        <f>(X114+X116+X121+X122+X123+X118+X119+X120)*'III. Inputs, Renewable Energy'!$U$17</f>
        <v>907450.2633298958</v>
      </c>
      <c r="Y133" s="1332">
        <f>(Y114+Y116+Y121+Y122+Y123+Y118+Y119+Y120)*'III. Inputs, Renewable Energy'!$U$17</f>
        <v>891340.32731492049</v>
      </c>
      <c r="Z133" s="1332">
        <f>(Z114+Z116+Z121+Z122+Z123+Z118+Z119+Z120)*'III. Inputs, Renewable Energy'!$U$17</f>
        <v>874585.99385934626</v>
      </c>
      <c r="AA133" s="1333">
        <f>(AA114+AA116+AA121+AA122+AA123+AA118+AA119+AA120)*'III. Inputs, Renewable Energy'!$U$17</f>
        <v>857161.48706554912</v>
      </c>
    </row>
    <row r="134" spans="2:27" x14ac:dyDescent="0.25">
      <c r="B134" s="576" t="s">
        <v>104</v>
      </c>
      <c r="C134" s="38"/>
      <c r="D134" s="38"/>
      <c r="E134" s="211"/>
      <c r="F134" s="211" t="s">
        <v>631</v>
      </c>
      <c r="G134" s="1328">
        <f>-('III. Inputs, Renewable Energy'!U254+('III. Inputs, Renewable Energy'!U250*'III. Inputs, Renewable Energy'!U252*'III. Inputs, Renewable Energy'!U253))*('III. Inputs, Renewable Energy'!U14/'III. Inputs, Renewable Energy'!U255)*'III. Inputs, Renewable Energy'!$V$27</f>
        <v>-16192000</v>
      </c>
      <c r="H134" s="1328">
        <f>SUM(H128:H133)</f>
        <v>-2769729.400115774</v>
      </c>
      <c r="I134" s="1328">
        <f>SUM(I128:I133)</f>
        <v>-2802864.5730043622</v>
      </c>
      <c r="J134" s="1328">
        <f t="shared" ref="J134:AA134" si="37">SUM(J128:J133)</f>
        <v>-2837723.6382018253</v>
      </c>
      <c r="K134" s="1328">
        <f t="shared" si="37"/>
        <v>-2874397.963097821</v>
      </c>
      <c r="L134" s="1328">
        <f t="shared" si="37"/>
        <v>-2912983.8302608719</v>
      </c>
      <c r="M134" s="1328">
        <f t="shared" si="37"/>
        <v>-2953582.704937885</v>
      </c>
      <c r="N134" s="1328">
        <f t="shared" si="37"/>
        <v>-2996301.5172407813</v>
      </c>
      <c r="O134" s="1328">
        <f t="shared" si="37"/>
        <v>-3041252.959831995</v>
      </c>
      <c r="P134" s="1328">
        <f t="shared" si="37"/>
        <v>-3088555.8019656269</v>
      </c>
      <c r="Q134" s="1328">
        <f t="shared" si="37"/>
        <v>-3138335.2207886698</v>
      </c>
      <c r="R134" s="1328">
        <f t="shared" si="37"/>
        <v>-3190723.1508569685</v>
      </c>
      <c r="S134" s="1328">
        <f t="shared" si="37"/>
        <v>-591360.04278165009</v>
      </c>
      <c r="T134" s="1328">
        <f t="shared" si="37"/>
        <v>-604601.23588051694</v>
      </c>
      <c r="U134" s="1328">
        <f t="shared" si="37"/>
        <v>-618372.07670333853</v>
      </c>
      <c r="V134" s="1328">
        <f t="shared" si="37"/>
        <v>-632693.75115907285</v>
      </c>
      <c r="W134" s="1328">
        <f t="shared" si="37"/>
        <v>-647588.29259303701</v>
      </c>
      <c r="X134" s="1328">
        <f t="shared" si="37"/>
        <v>-663078.61568435899</v>
      </c>
      <c r="Y134" s="1328">
        <f t="shared" si="37"/>
        <v>-679188.55169933452</v>
      </c>
      <c r="Z134" s="1328">
        <f t="shared" si="37"/>
        <v>-695942.88515490876</v>
      </c>
      <c r="AA134" s="1331">
        <f t="shared" si="37"/>
        <v>-713367.39194870589</v>
      </c>
    </row>
    <row r="135" spans="2:27" x14ac:dyDescent="0.25">
      <c r="B135" s="576"/>
      <c r="C135" s="38"/>
      <c r="D135" s="38"/>
      <c r="E135" s="211"/>
      <c r="F135" s="38"/>
      <c r="G135" s="38"/>
      <c r="H135" s="38"/>
      <c r="I135" s="38"/>
      <c r="J135" s="38"/>
      <c r="K135" s="38"/>
      <c r="L135" s="38"/>
      <c r="M135" s="38"/>
      <c r="N135" s="38"/>
      <c r="O135" s="38"/>
      <c r="P135" s="38"/>
      <c r="Q135" s="38"/>
      <c r="R135" s="38"/>
      <c r="S135" s="38"/>
      <c r="T135" s="38"/>
      <c r="U135" s="38"/>
      <c r="V135" s="38"/>
      <c r="W135" s="38"/>
      <c r="X135" s="38"/>
      <c r="Y135" s="38"/>
      <c r="Z135" s="38"/>
      <c r="AA135" s="577"/>
    </row>
    <row r="136" spans="2:27" x14ac:dyDescent="0.25">
      <c r="B136" s="576" t="s">
        <v>105</v>
      </c>
      <c r="C136" s="38"/>
      <c r="D136" s="38"/>
      <c r="E136" s="211"/>
      <c r="F136" s="38"/>
      <c r="G136" s="1127">
        <f>SUM('III. Inputs, Renewable Energy'!$V$35)</f>
        <v>0.12748463872437021</v>
      </c>
      <c r="H136" s="38"/>
      <c r="I136" s="38"/>
      <c r="J136" s="38"/>
      <c r="K136" s="38"/>
      <c r="L136" s="38"/>
      <c r="M136" s="38"/>
      <c r="N136" s="38"/>
      <c r="O136" s="38"/>
      <c r="P136" s="38"/>
      <c r="Q136" s="38"/>
      <c r="R136" s="38"/>
      <c r="S136" s="38"/>
      <c r="T136" s="38"/>
      <c r="U136" s="38"/>
      <c r="V136" s="38"/>
      <c r="W136" s="38"/>
      <c r="X136" s="38"/>
      <c r="Y136" s="38"/>
      <c r="Z136" s="38"/>
      <c r="AA136" s="577"/>
    </row>
    <row r="137" spans="2:27" x14ac:dyDescent="0.25">
      <c r="B137" s="576" t="s">
        <v>106</v>
      </c>
      <c r="C137" s="38"/>
      <c r="D137" s="38"/>
      <c r="E137" s="211"/>
      <c r="F137" s="38"/>
      <c r="G137" s="1328">
        <f>NPV(G136,H134:AA134)+G134</f>
        <v>-33836022.657352455</v>
      </c>
      <c r="H137" s="38"/>
      <c r="I137" s="38"/>
      <c r="J137" s="38"/>
      <c r="K137" s="38"/>
      <c r="L137" s="38"/>
      <c r="M137" s="38"/>
      <c r="N137" s="38"/>
      <c r="O137" s="38"/>
      <c r="P137" s="38"/>
      <c r="Q137" s="38"/>
      <c r="R137" s="38"/>
      <c r="S137" s="38"/>
      <c r="T137" s="38"/>
      <c r="U137" s="38"/>
      <c r="V137" s="38"/>
      <c r="W137" s="38"/>
      <c r="X137" s="38"/>
      <c r="Y137" s="38"/>
      <c r="Z137" s="38"/>
      <c r="AA137" s="577"/>
    </row>
    <row r="138" spans="2:27" ht="17.25" customHeight="1" x14ac:dyDescent="0.25">
      <c r="B138" s="576" t="s">
        <v>107</v>
      </c>
      <c r="C138" s="38"/>
      <c r="D138" s="38"/>
      <c r="E138" s="211"/>
      <c r="F138" s="38"/>
      <c r="G138" s="1328">
        <f>-NPV($G$136,H110:AA110)</f>
        <v>-10015844.090824345</v>
      </c>
      <c r="H138" s="38"/>
      <c r="I138" s="38"/>
      <c r="J138" s="38"/>
      <c r="K138" s="38"/>
      <c r="L138" s="38"/>
      <c r="M138" s="38"/>
      <c r="N138" s="38"/>
      <c r="O138" s="38"/>
      <c r="P138" s="38"/>
      <c r="Q138" s="38"/>
      <c r="R138" s="38"/>
      <c r="S138" s="38"/>
      <c r="T138" s="38"/>
      <c r="U138" s="38"/>
      <c r="V138" s="38"/>
      <c r="W138" s="38"/>
      <c r="X138" s="38"/>
      <c r="Y138" s="38"/>
      <c r="Z138" s="38"/>
      <c r="AA138" s="577"/>
    </row>
    <row r="139" spans="2:27" ht="17.25" customHeight="1" thickBot="1" x14ac:dyDescent="0.3">
      <c r="B139" s="576" t="s">
        <v>108</v>
      </c>
      <c r="C139" s="38"/>
      <c r="D139" s="38"/>
      <c r="E139" s="211"/>
      <c r="F139" s="211" t="s">
        <v>633</v>
      </c>
      <c r="G139" s="1334">
        <f>IF(OR(G137=0, G138=0), 0, G137/G138)</f>
        <v>3.3782497361705248</v>
      </c>
      <c r="H139" s="38"/>
      <c r="I139" s="38"/>
      <c r="J139" s="38"/>
      <c r="K139" s="38"/>
      <c r="L139" s="38"/>
      <c r="M139" s="38"/>
      <c r="N139" s="38"/>
      <c r="O139" s="38"/>
      <c r="P139" s="38"/>
      <c r="Q139" s="38"/>
      <c r="R139" s="38"/>
      <c r="S139" s="38"/>
      <c r="T139" s="38"/>
      <c r="U139" s="38"/>
      <c r="V139" s="38"/>
      <c r="W139" s="38"/>
      <c r="X139" s="38"/>
      <c r="Y139" s="38"/>
      <c r="Z139" s="38"/>
      <c r="AA139" s="577"/>
    </row>
    <row r="140" spans="2:27" ht="17.25" customHeight="1" thickBot="1" x14ac:dyDescent="0.3">
      <c r="B140" s="585" t="s">
        <v>109</v>
      </c>
      <c r="C140" s="586"/>
      <c r="D140" s="586"/>
      <c r="E140" s="587"/>
      <c r="F140" s="587" t="s">
        <v>632</v>
      </c>
      <c r="G140" s="1335">
        <f>$G$139/(1-'III. Inputs, Renewable Energy'!$U$17)</f>
        <v>4.8260710516721783</v>
      </c>
      <c r="H140" s="38"/>
      <c r="I140" s="38"/>
      <c r="J140" s="38"/>
      <c r="K140" s="38"/>
      <c r="L140" s="38"/>
      <c r="M140" s="38"/>
      <c r="N140" s="38"/>
      <c r="O140" s="38"/>
      <c r="P140" s="38"/>
      <c r="Q140" s="38"/>
      <c r="R140" s="38"/>
      <c r="S140" s="38"/>
      <c r="T140" s="38"/>
      <c r="U140" s="38"/>
      <c r="V140" s="38"/>
      <c r="W140" s="38"/>
      <c r="X140" s="38"/>
      <c r="Y140" s="38"/>
      <c r="Z140" s="38"/>
      <c r="AA140" s="577"/>
    </row>
    <row r="141" spans="2:27" ht="17.25" customHeight="1" thickBot="1" x14ac:dyDescent="0.3">
      <c r="B141" s="588"/>
      <c r="C141" s="589"/>
      <c r="D141" s="589"/>
      <c r="E141" s="590"/>
      <c r="F141" s="590"/>
      <c r="G141" s="591"/>
      <c r="H141" s="592"/>
      <c r="I141" s="592"/>
      <c r="J141" s="592"/>
      <c r="K141" s="592"/>
      <c r="L141" s="592"/>
      <c r="M141" s="592"/>
      <c r="N141" s="592"/>
      <c r="O141" s="592"/>
      <c r="P141" s="592"/>
      <c r="Q141" s="592"/>
      <c r="R141" s="592"/>
      <c r="S141" s="592"/>
      <c r="T141" s="592"/>
      <c r="U141" s="592"/>
      <c r="V141" s="592"/>
      <c r="W141" s="592"/>
      <c r="X141" s="592"/>
      <c r="Y141" s="592"/>
      <c r="Z141" s="592"/>
      <c r="AA141" s="593"/>
    </row>
    <row r="142" spans="2:27" ht="17.25" customHeight="1" thickBot="1" x14ac:dyDescent="0.3"/>
    <row r="143" spans="2:27" ht="10.5" customHeight="1" outlineLevel="1" x14ac:dyDescent="0.25">
      <c r="B143" s="594"/>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row>
    <row r="144" spans="2:27" ht="17.25" customHeight="1" outlineLevel="1" x14ac:dyDescent="0.25">
      <c r="B144" s="583" t="s">
        <v>110</v>
      </c>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row>
    <row r="145" spans="2:27" ht="6.75" customHeight="1" outlineLevel="1" x14ac:dyDescent="0.25">
      <c r="B145" s="576"/>
      <c r="C145" s="38"/>
      <c r="D145" s="38"/>
      <c r="E145" s="211"/>
      <c r="F145" s="38"/>
      <c r="G145" s="38"/>
      <c r="H145" s="38"/>
      <c r="I145" s="38"/>
      <c r="J145" s="38"/>
      <c r="K145" s="38"/>
      <c r="L145" s="38"/>
      <c r="M145" s="38"/>
      <c r="N145" s="38"/>
      <c r="O145" s="38"/>
      <c r="P145" s="38"/>
      <c r="Q145" s="38"/>
      <c r="R145" s="38"/>
      <c r="S145" s="38"/>
      <c r="T145" s="38"/>
      <c r="U145" s="38"/>
      <c r="V145" s="38"/>
      <c r="W145" s="38"/>
      <c r="X145" s="38"/>
      <c r="Y145" s="38"/>
      <c r="Z145" s="38"/>
      <c r="AA145" s="38"/>
    </row>
    <row r="146" spans="2:27" ht="17.25" customHeight="1" outlineLevel="1" x14ac:dyDescent="0.25">
      <c r="B146" s="578" t="s">
        <v>58</v>
      </c>
      <c r="C146" s="579"/>
      <c r="D146" s="579"/>
      <c r="E146" s="580"/>
      <c r="F146" s="579"/>
      <c r="G146" s="580">
        <f>G106</f>
        <v>0</v>
      </c>
      <c r="H146" s="580">
        <f t="shared" ref="H146:AA146" si="38">H106</f>
        <v>1</v>
      </c>
      <c r="I146" s="580">
        <f t="shared" si="38"/>
        <v>2</v>
      </c>
      <c r="J146" s="580">
        <f t="shared" si="38"/>
        <v>3</v>
      </c>
      <c r="K146" s="580">
        <f t="shared" si="38"/>
        <v>4</v>
      </c>
      <c r="L146" s="580">
        <f t="shared" si="38"/>
        <v>5</v>
      </c>
      <c r="M146" s="580">
        <f t="shared" si="38"/>
        <v>6</v>
      </c>
      <c r="N146" s="580">
        <f t="shared" si="38"/>
        <v>7</v>
      </c>
      <c r="O146" s="580">
        <f t="shared" si="38"/>
        <v>8</v>
      </c>
      <c r="P146" s="580">
        <f t="shared" si="38"/>
        <v>9</v>
      </c>
      <c r="Q146" s="580">
        <f t="shared" si="38"/>
        <v>10</v>
      </c>
      <c r="R146" s="580">
        <f t="shared" si="38"/>
        <v>11</v>
      </c>
      <c r="S146" s="580">
        <f t="shared" si="38"/>
        <v>12</v>
      </c>
      <c r="T146" s="580">
        <f t="shared" si="38"/>
        <v>13</v>
      </c>
      <c r="U146" s="580">
        <f t="shared" si="38"/>
        <v>14</v>
      </c>
      <c r="V146" s="580">
        <f t="shared" si="38"/>
        <v>15</v>
      </c>
      <c r="W146" s="580">
        <f t="shared" si="38"/>
        <v>16</v>
      </c>
      <c r="X146" s="580">
        <f t="shared" si="38"/>
        <v>17</v>
      </c>
      <c r="Y146" s="580">
        <f t="shared" si="38"/>
        <v>18</v>
      </c>
      <c r="Z146" s="580">
        <f t="shared" si="38"/>
        <v>19</v>
      </c>
      <c r="AA146" s="580">
        <f t="shared" si="38"/>
        <v>20</v>
      </c>
    </row>
    <row r="147" spans="2:27" ht="17.25" customHeight="1" outlineLevel="1" x14ac:dyDescent="0.25">
      <c r="B147" s="576"/>
      <c r="C147" s="38"/>
      <c r="D147" s="38"/>
      <c r="E147" s="211"/>
      <c r="F147" s="38"/>
      <c r="G147" s="211"/>
      <c r="H147" s="211"/>
      <c r="I147" s="38"/>
      <c r="J147" s="38"/>
      <c r="K147" s="38"/>
      <c r="L147" s="38"/>
      <c r="M147" s="38"/>
      <c r="N147" s="38"/>
      <c r="O147" s="38"/>
      <c r="P147" s="38"/>
      <c r="Q147" s="38"/>
      <c r="R147" s="38"/>
      <c r="S147" s="38"/>
      <c r="T147" s="38"/>
      <c r="U147" s="38"/>
      <c r="V147" s="38"/>
      <c r="W147" s="38"/>
      <c r="X147" s="38"/>
      <c r="Y147" s="38"/>
      <c r="Z147" s="38"/>
      <c r="AA147" s="38"/>
    </row>
    <row r="148" spans="2:27" ht="17.25" customHeight="1" outlineLevel="1" x14ac:dyDescent="0.25">
      <c r="B148" s="576" t="s">
        <v>97</v>
      </c>
      <c r="C148" s="38"/>
      <c r="D148" s="38"/>
      <c r="E148" s="211"/>
      <c r="F148" s="211" t="s">
        <v>98</v>
      </c>
      <c r="G148" s="211"/>
      <c r="H148" s="595">
        <f>H110</f>
        <v>1404288</v>
      </c>
      <c r="I148" s="595">
        <f t="shared" ref="I148:AA148" si="39">I110</f>
        <v>1404288</v>
      </c>
      <c r="J148" s="595">
        <f t="shared" si="39"/>
        <v>1404288</v>
      </c>
      <c r="K148" s="595">
        <f t="shared" si="39"/>
        <v>1404288</v>
      </c>
      <c r="L148" s="595">
        <f t="shared" si="39"/>
        <v>1404288</v>
      </c>
      <c r="M148" s="595">
        <f t="shared" si="39"/>
        <v>1404288</v>
      </c>
      <c r="N148" s="595">
        <f t="shared" si="39"/>
        <v>1404288</v>
      </c>
      <c r="O148" s="595">
        <f t="shared" si="39"/>
        <v>1404288</v>
      </c>
      <c r="P148" s="595">
        <f t="shared" si="39"/>
        <v>1404288</v>
      </c>
      <c r="Q148" s="595">
        <f t="shared" si="39"/>
        <v>1404288</v>
      </c>
      <c r="R148" s="595">
        <f t="shared" si="39"/>
        <v>1404288</v>
      </c>
      <c r="S148" s="595">
        <f t="shared" si="39"/>
        <v>1404288</v>
      </c>
      <c r="T148" s="595">
        <f t="shared" si="39"/>
        <v>1404288</v>
      </c>
      <c r="U148" s="595">
        <f t="shared" si="39"/>
        <v>1404288</v>
      </c>
      <c r="V148" s="595">
        <f t="shared" si="39"/>
        <v>1404288</v>
      </c>
      <c r="W148" s="595">
        <f t="shared" si="39"/>
        <v>1404288</v>
      </c>
      <c r="X148" s="595">
        <f t="shared" si="39"/>
        <v>1404288</v>
      </c>
      <c r="Y148" s="595">
        <f t="shared" si="39"/>
        <v>1404288</v>
      </c>
      <c r="Z148" s="595">
        <f t="shared" si="39"/>
        <v>1404288</v>
      </c>
      <c r="AA148" s="595">
        <f t="shared" si="39"/>
        <v>1404288</v>
      </c>
    </row>
    <row r="149" spans="2:27" ht="17.25" customHeight="1" outlineLevel="1" x14ac:dyDescent="0.25">
      <c r="B149" s="576"/>
      <c r="C149" s="38"/>
      <c r="D149" s="38"/>
      <c r="E149" s="211"/>
      <c r="F149" s="211"/>
      <c r="G149" s="211"/>
      <c r="H149" s="596"/>
      <c r="I149" s="596"/>
      <c r="J149" s="596"/>
      <c r="K149" s="596"/>
      <c r="L149" s="596"/>
      <c r="M149" s="596"/>
      <c r="N149" s="596"/>
      <c r="O149" s="596"/>
      <c r="P149" s="596"/>
      <c r="Q149" s="596"/>
      <c r="R149" s="596"/>
      <c r="S149" s="596"/>
      <c r="T149" s="596"/>
      <c r="U149" s="596"/>
      <c r="V149" s="596"/>
      <c r="W149" s="596"/>
      <c r="X149" s="596"/>
      <c r="Y149" s="596"/>
      <c r="Z149" s="596"/>
      <c r="AA149" s="596"/>
    </row>
    <row r="150" spans="2:27" ht="17.25" customHeight="1" outlineLevel="1" x14ac:dyDescent="0.25">
      <c r="B150" s="576" t="s">
        <v>111</v>
      </c>
      <c r="C150" s="38"/>
      <c r="D150" s="38"/>
      <c r="E150" s="211"/>
      <c r="F150" s="211" t="s">
        <v>632</v>
      </c>
      <c r="G150" s="1357"/>
      <c r="H150" s="1363">
        <f>$G$140</f>
        <v>4.8260710516721783</v>
      </c>
      <c r="I150" s="1363">
        <f t="shared" ref="I150:AA150" si="40">$G$140</f>
        <v>4.8260710516721783</v>
      </c>
      <c r="J150" s="1363">
        <f t="shared" si="40"/>
        <v>4.8260710516721783</v>
      </c>
      <c r="K150" s="1363">
        <f t="shared" si="40"/>
        <v>4.8260710516721783</v>
      </c>
      <c r="L150" s="1363">
        <f t="shared" si="40"/>
        <v>4.8260710516721783</v>
      </c>
      <c r="M150" s="1363">
        <f t="shared" si="40"/>
        <v>4.8260710516721783</v>
      </c>
      <c r="N150" s="1363">
        <f t="shared" si="40"/>
        <v>4.8260710516721783</v>
      </c>
      <c r="O150" s="1363">
        <f t="shared" si="40"/>
        <v>4.8260710516721783</v>
      </c>
      <c r="P150" s="1363">
        <f t="shared" si="40"/>
        <v>4.8260710516721783</v>
      </c>
      <c r="Q150" s="1363">
        <f t="shared" si="40"/>
        <v>4.8260710516721783</v>
      </c>
      <c r="R150" s="1363">
        <f t="shared" si="40"/>
        <v>4.8260710516721783</v>
      </c>
      <c r="S150" s="1363">
        <f t="shared" si="40"/>
        <v>4.8260710516721783</v>
      </c>
      <c r="T150" s="1363">
        <f t="shared" si="40"/>
        <v>4.8260710516721783</v>
      </c>
      <c r="U150" s="1363">
        <f t="shared" si="40"/>
        <v>4.8260710516721783</v>
      </c>
      <c r="V150" s="1363">
        <f t="shared" si="40"/>
        <v>4.8260710516721783</v>
      </c>
      <c r="W150" s="1363">
        <f t="shared" si="40"/>
        <v>4.8260710516721783</v>
      </c>
      <c r="X150" s="1363">
        <f t="shared" si="40"/>
        <v>4.8260710516721783</v>
      </c>
      <c r="Y150" s="1363">
        <f t="shared" si="40"/>
        <v>4.8260710516721783</v>
      </c>
      <c r="Z150" s="1363">
        <f t="shared" si="40"/>
        <v>4.8260710516721783</v>
      </c>
      <c r="AA150" s="1363">
        <f t="shared" si="40"/>
        <v>4.8260710516721783</v>
      </c>
    </row>
    <row r="151" spans="2:27" ht="17.25" customHeight="1" outlineLevel="1" x14ac:dyDescent="0.25">
      <c r="B151" s="584"/>
      <c r="C151" s="39"/>
      <c r="D151" s="39"/>
      <c r="E151" s="213"/>
      <c r="F151" s="213"/>
      <c r="G151" s="1359"/>
      <c r="H151" s="1360"/>
      <c r="I151" s="1360"/>
      <c r="J151" s="1360"/>
      <c r="K151" s="1360"/>
      <c r="L151" s="1360"/>
      <c r="M151" s="1360"/>
      <c r="N151" s="1360"/>
      <c r="O151" s="1360"/>
      <c r="P151" s="1360"/>
      <c r="Q151" s="1360"/>
      <c r="R151" s="1360"/>
      <c r="S151" s="1360"/>
      <c r="T151" s="1360"/>
      <c r="U151" s="1360"/>
      <c r="V151" s="1360"/>
      <c r="W151" s="1360"/>
      <c r="X151" s="1360"/>
      <c r="Y151" s="1360"/>
      <c r="Z151" s="1360"/>
      <c r="AA151" s="1360"/>
    </row>
    <row r="152" spans="2:27" ht="17.25" customHeight="1" outlineLevel="1" x14ac:dyDescent="0.25">
      <c r="B152" s="576" t="s">
        <v>112</v>
      </c>
      <c r="C152" s="38"/>
      <c r="D152" s="38"/>
      <c r="E152" s="211"/>
      <c r="F152" s="211" t="s">
        <v>631</v>
      </c>
      <c r="G152" s="1357"/>
      <c r="H152" s="1358">
        <f>H148*H150</f>
        <v>6777193.6650106199</v>
      </c>
      <c r="I152" s="1358">
        <f t="shared" ref="I152:AA152" si="41">I148*I150</f>
        <v>6777193.6650106199</v>
      </c>
      <c r="J152" s="1358">
        <f t="shared" si="41"/>
        <v>6777193.6650106199</v>
      </c>
      <c r="K152" s="1358">
        <f t="shared" si="41"/>
        <v>6777193.6650106199</v>
      </c>
      <c r="L152" s="1358">
        <f t="shared" si="41"/>
        <v>6777193.6650106199</v>
      </c>
      <c r="M152" s="1358">
        <f t="shared" si="41"/>
        <v>6777193.6650106199</v>
      </c>
      <c r="N152" s="1358">
        <f t="shared" si="41"/>
        <v>6777193.6650106199</v>
      </c>
      <c r="O152" s="1358">
        <f t="shared" si="41"/>
        <v>6777193.6650106199</v>
      </c>
      <c r="P152" s="1358">
        <f t="shared" si="41"/>
        <v>6777193.6650106199</v>
      </c>
      <c r="Q152" s="1358">
        <f t="shared" si="41"/>
        <v>6777193.6650106199</v>
      </c>
      <c r="R152" s="1358">
        <f t="shared" si="41"/>
        <v>6777193.6650106199</v>
      </c>
      <c r="S152" s="1358">
        <f t="shared" si="41"/>
        <v>6777193.6650106199</v>
      </c>
      <c r="T152" s="1358">
        <f t="shared" si="41"/>
        <v>6777193.6650106199</v>
      </c>
      <c r="U152" s="1358">
        <f t="shared" si="41"/>
        <v>6777193.6650106199</v>
      </c>
      <c r="V152" s="1358">
        <f t="shared" si="41"/>
        <v>6777193.6650106199</v>
      </c>
      <c r="W152" s="1358">
        <f t="shared" si="41"/>
        <v>6777193.6650106199</v>
      </c>
      <c r="X152" s="1358">
        <f t="shared" si="41"/>
        <v>6777193.6650106199</v>
      </c>
      <c r="Y152" s="1358">
        <f t="shared" si="41"/>
        <v>6777193.6650106199</v>
      </c>
      <c r="Z152" s="1358">
        <f t="shared" si="41"/>
        <v>6777193.6650106199</v>
      </c>
      <c r="AA152" s="1358">
        <f t="shared" si="41"/>
        <v>6777193.6650106199</v>
      </c>
    </row>
    <row r="153" spans="2:27" ht="6.75" customHeight="1" outlineLevel="1" x14ac:dyDescent="0.25">
      <c r="B153" s="576"/>
      <c r="C153" s="38"/>
      <c r="D153" s="38"/>
      <c r="E153" s="211"/>
      <c r="F153" s="211"/>
      <c r="G153" s="1357"/>
      <c r="H153" s="1358"/>
      <c r="I153" s="1358"/>
      <c r="J153" s="1358"/>
      <c r="K153" s="1358"/>
      <c r="L153" s="1358"/>
      <c r="M153" s="1358"/>
      <c r="N153" s="1358"/>
      <c r="O153" s="1358"/>
      <c r="P153" s="1358"/>
      <c r="Q153" s="1358"/>
      <c r="R153" s="1358"/>
      <c r="S153" s="1358"/>
      <c r="T153" s="1358"/>
      <c r="U153" s="1358"/>
      <c r="V153" s="1358"/>
      <c r="W153" s="1358"/>
      <c r="X153" s="1358"/>
      <c r="Y153" s="1358"/>
      <c r="Z153" s="1358"/>
      <c r="AA153" s="1358"/>
    </row>
    <row r="154" spans="2:27" ht="17.25" customHeight="1" outlineLevel="1" x14ac:dyDescent="0.25">
      <c r="B154" s="576" t="s">
        <v>113</v>
      </c>
      <c r="C154" s="38"/>
      <c r="D154" s="38"/>
      <c r="E154" s="211"/>
      <c r="F154" s="211" t="s">
        <v>631</v>
      </c>
      <c r="G154" s="1357"/>
      <c r="H154" s="1358">
        <f>-H114</f>
        <v>0</v>
      </c>
      <c r="I154" s="1358">
        <f t="shared" ref="I154:AA154" si="42">-I114</f>
        <v>0</v>
      </c>
      <c r="J154" s="1358">
        <f t="shared" si="42"/>
        <v>0</v>
      </c>
      <c r="K154" s="1358">
        <f t="shared" si="42"/>
        <v>0</v>
      </c>
      <c r="L154" s="1358">
        <f t="shared" si="42"/>
        <v>0</v>
      </c>
      <c r="M154" s="1358">
        <f t="shared" si="42"/>
        <v>0</v>
      </c>
      <c r="N154" s="1358">
        <f t="shared" si="42"/>
        <v>0</v>
      </c>
      <c r="O154" s="1358">
        <f t="shared" si="42"/>
        <v>0</v>
      </c>
      <c r="P154" s="1358">
        <f t="shared" si="42"/>
        <v>0</v>
      </c>
      <c r="Q154" s="1358">
        <f t="shared" si="42"/>
        <v>0</v>
      </c>
      <c r="R154" s="1358">
        <f t="shared" si="42"/>
        <v>0</v>
      </c>
      <c r="S154" s="1358">
        <f t="shared" si="42"/>
        <v>0</v>
      </c>
      <c r="T154" s="1358">
        <f t="shared" si="42"/>
        <v>0</v>
      </c>
      <c r="U154" s="1358">
        <f t="shared" si="42"/>
        <v>0</v>
      </c>
      <c r="V154" s="1358">
        <f t="shared" si="42"/>
        <v>0</v>
      </c>
      <c r="W154" s="1358">
        <f t="shared" si="42"/>
        <v>0</v>
      </c>
      <c r="X154" s="1358">
        <f t="shared" si="42"/>
        <v>0</v>
      </c>
      <c r="Y154" s="1358">
        <f t="shared" si="42"/>
        <v>0</v>
      </c>
      <c r="Z154" s="1358">
        <f t="shared" si="42"/>
        <v>0</v>
      </c>
      <c r="AA154" s="1358">
        <f t="shared" si="42"/>
        <v>0</v>
      </c>
    </row>
    <row r="155" spans="2:27" ht="4.5" customHeight="1" outlineLevel="1" x14ac:dyDescent="0.25">
      <c r="B155" s="576"/>
      <c r="C155" s="38"/>
      <c r="D155" s="38"/>
      <c r="E155" s="211"/>
      <c r="F155" s="211"/>
      <c r="G155" s="1357"/>
      <c r="H155" s="1358"/>
      <c r="I155" s="1358"/>
      <c r="J155" s="1358"/>
      <c r="K155" s="1358"/>
      <c r="L155" s="1358"/>
      <c r="M155" s="1358"/>
      <c r="N155" s="1358"/>
      <c r="O155" s="1358"/>
      <c r="P155" s="1358"/>
      <c r="Q155" s="1358"/>
      <c r="R155" s="1358"/>
      <c r="S155" s="1358"/>
      <c r="T155" s="1358"/>
      <c r="U155" s="1358"/>
      <c r="V155" s="1358"/>
      <c r="W155" s="1358"/>
      <c r="X155" s="1358"/>
      <c r="Y155" s="1358"/>
      <c r="Z155" s="1358"/>
      <c r="AA155" s="1358"/>
    </row>
    <row r="156" spans="2:27" ht="17.25" customHeight="1" outlineLevel="1" x14ac:dyDescent="0.25">
      <c r="B156" s="583" t="s">
        <v>114</v>
      </c>
      <c r="C156" s="597"/>
      <c r="D156" s="597"/>
      <c r="E156" s="598"/>
      <c r="F156" s="598"/>
      <c r="G156" s="1361"/>
      <c r="H156" s="1362">
        <f>H152+H154</f>
        <v>6777193.6650106199</v>
      </c>
      <c r="I156" s="1362">
        <f t="shared" ref="I156:AA156" si="43">I152+I154</f>
        <v>6777193.6650106199</v>
      </c>
      <c r="J156" s="1362">
        <f t="shared" si="43"/>
        <v>6777193.6650106199</v>
      </c>
      <c r="K156" s="1362">
        <f t="shared" si="43"/>
        <v>6777193.6650106199</v>
      </c>
      <c r="L156" s="1362">
        <f t="shared" si="43"/>
        <v>6777193.6650106199</v>
      </c>
      <c r="M156" s="1362">
        <f t="shared" si="43"/>
        <v>6777193.6650106199</v>
      </c>
      <c r="N156" s="1362">
        <f t="shared" si="43"/>
        <v>6777193.6650106199</v>
      </c>
      <c r="O156" s="1362">
        <f t="shared" si="43"/>
        <v>6777193.6650106199</v>
      </c>
      <c r="P156" s="1362">
        <f t="shared" si="43"/>
        <v>6777193.6650106199</v>
      </c>
      <c r="Q156" s="1362">
        <f t="shared" si="43"/>
        <v>6777193.6650106199</v>
      </c>
      <c r="R156" s="1362">
        <f t="shared" si="43"/>
        <v>6777193.6650106199</v>
      </c>
      <c r="S156" s="1362">
        <f t="shared" si="43"/>
        <v>6777193.6650106199</v>
      </c>
      <c r="T156" s="1362">
        <f t="shared" si="43"/>
        <v>6777193.6650106199</v>
      </c>
      <c r="U156" s="1362">
        <f t="shared" si="43"/>
        <v>6777193.6650106199</v>
      </c>
      <c r="V156" s="1362">
        <f t="shared" si="43"/>
        <v>6777193.6650106199</v>
      </c>
      <c r="W156" s="1362">
        <f t="shared" si="43"/>
        <v>6777193.6650106199</v>
      </c>
      <c r="X156" s="1362">
        <f t="shared" si="43"/>
        <v>6777193.6650106199</v>
      </c>
      <c r="Y156" s="1362">
        <f t="shared" si="43"/>
        <v>6777193.6650106199</v>
      </c>
      <c r="Z156" s="1362">
        <f t="shared" si="43"/>
        <v>6777193.6650106199</v>
      </c>
      <c r="AA156" s="1362">
        <f t="shared" si="43"/>
        <v>6777193.6650106199</v>
      </c>
    </row>
    <row r="157" spans="2:27" ht="7.5" customHeight="1" outlineLevel="1" x14ac:dyDescent="0.25">
      <c r="B157" s="576"/>
      <c r="C157" s="38"/>
      <c r="D157" s="38"/>
      <c r="E157" s="211"/>
      <c r="F157" s="211"/>
      <c r="G157" s="1357"/>
      <c r="H157" s="1358"/>
      <c r="I157" s="1358"/>
      <c r="J157" s="1358"/>
      <c r="K157" s="1358"/>
      <c r="L157" s="1358"/>
      <c r="M157" s="1358"/>
      <c r="N157" s="1358"/>
      <c r="O157" s="1358"/>
      <c r="P157" s="1358"/>
      <c r="Q157" s="1358"/>
      <c r="R157" s="1358"/>
      <c r="S157" s="1358"/>
      <c r="T157" s="1358"/>
      <c r="U157" s="1358"/>
      <c r="V157" s="1358"/>
      <c r="W157" s="1358"/>
      <c r="X157" s="1358"/>
      <c r="Y157" s="1358"/>
      <c r="Z157" s="1358"/>
      <c r="AA157" s="1358"/>
    </row>
    <row r="158" spans="2:27" ht="17.25" customHeight="1" outlineLevel="1" x14ac:dyDescent="0.25">
      <c r="B158" s="576" t="s">
        <v>115</v>
      </c>
      <c r="C158" s="38"/>
      <c r="D158" s="38"/>
      <c r="E158" s="211"/>
      <c r="F158" s="211"/>
      <c r="G158" s="1357"/>
      <c r="H158" s="1358">
        <f>-H116</f>
        <v>-2796800</v>
      </c>
      <c r="I158" s="1358">
        <f t="shared" ref="I158:AA158" si="44">-I116</f>
        <v>-2796800</v>
      </c>
      <c r="J158" s="1358">
        <f t="shared" si="44"/>
        <v>-2796800</v>
      </c>
      <c r="K158" s="1358">
        <f t="shared" si="44"/>
        <v>-2796800</v>
      </c>
      <c r="L158" s="1358">
        <f t="shared" si="44"/>
        <v>-2796800</v>
      </c>
      <c r="M158" s="1358">
        <f t="shared" si="44"/>
        <v>-2796800</v>
      </c>
      <c r="N158" s="1358">
        <f t="shared" si="44"/>
        <v>-2796800</v>
      </c>
      <c r="O158" s="1358">
        <f t="shared" si="44"/>
        <v>-2796800</v>
      </c>
      <c r="P158" s="1358">
        <f t="shared" si="44"/>
        <v>-2796800</v>
      </c>
      <c r="Q158" s="1358">
        <f t="shared" si="44"/>
        <v>-2796800</v>
      </c>
      <c r="R158" s="1358">
        <f t="shared" si="44"/>
        <v>-2796800</v>
      </c>
      <c r="S158" s="1358">
        <f t="shared" si="44"/>
        <v>-2796800</v>
      </c>
      <c r="T158" s="1358">
        <f t="shared" si="44"/>
        <v>-2796800</v>
      </c>
      <c r="U158" s="1358">
        <f t="shared" si="44"/>
        <v>-2796800</v>
      </c>
      <c r="V158" s="1358">
        <f t="shared" si="44"/>
        <v>-2796800</v>
      </c>
      <c r="W158" s="1358">
        <f t="shared" si="44"/>
        <v>-2796800</v>
      </c>
      <c r="X158" s="1358">
        <f t="shared" si="44"/>
        <v>-2796800</v>
      </c>
      <c r="Y158" s="1358">
        <f t="shared" si="44"/>
        <v>-2796800</v>
      </c>
      <c r="Z158" s="1358">
        <f t="shared" si="44"/>
        <v>-2796800</v>
      </c>
      <c r="AA158" s="1358">
        <f t="shared" si="44"/>
        <v>-2796800</v>
      </c>
    </row>
    <row r="159" spans="2:27" ht="9" customHeight="1" outlineLevel="1" x14ac:dyDescent="0.25">
      <c r="B159" s="576"/>
      <c r="C159" s="38"/>
      <c r="D159" s="38"/>
      <c r="E159" s="211"/>
      <c r="F159" s="211"/>
      <c r="G159" s="1357"/>
      <c r="H159" s="1358"/>
      <c r="I159" s="1358"/>
      <c r="J159" s="1358"/>
      <c r="K159" s="1358"/>
      <c r="L159" s="1358"/>
      <c r="M159" s="1358"/>
      <c r="N159" s="1358"/>
      <c r="O159" s="1358"/>
      <c r="P159" s="1358"/>
      <c r="Q159" s="1358"/>
      <c r="R159" s="1358"/>
      <c r="S159" s="1358"/>
      <c r="T159" s="1358"/>
      <c r="U159" s="1358"/>
      <c r="V159" s="1358"/>
      <c r="W159" s="1358"/>
      <c r="X159" s="1358"/>
      <c r="Y159" s="1358"/>
      <c r="Z159" s="1358"/>
      <c r="AA159" s="1358"/>
    </row>
    <row r="160" spans="2:27" ht="17.25" customHeight="1" outlineLevel="1" x14ac:dyDescent="0.25">
      <c r="B160" s="583" t="s">
        <v>116</v>
      </c>
      <c r="C160" s="597"/>
      <c r="D160" s="597"/>
      <c r="E160" s="598"/>
      <c r="F160" s="598"/>
      <c r="G160" s="1361"/>
      <c r="H160" s="1362">
        <f>H156+H158</f>
        <v>3980393.6650106199</v>
      </c>
      <c r="I160" s="1362">
        <f t="shared" ref="I160:AA160" si="45">I156+I158</f>
        <v>3980393.6650106199</v>
      </c>
      <c r="J160" s="1362">
        <f t="shared" si="45"/>
        <v>3980393.6650106199</v>
      </c>
      <c r="K160" s="1362">
        <f t="shared" si="45"/>
        <v>3980393.6650106199</v>
      </c>
      <c r="L160" s="1362">
        <f t="shared" si="45"/>
        <v>3980393.6650106199</v>
      </c>
      <c r="M160" s="1362">
        <f t="shared" si="45"/>
        <v>3980393.6650106199</v>
      </c>
      <c r="N160" s="1362">
        <f t="shared" si="45"/>
        <v>3980393.6650106199</v>
      </c>
      <c r="O160" s="1362">
        <f t="shared" si="45"/>
        <v>3980393.6650106199</v>
      </c>
      <c r="P160" s="1362">
        <f t="shared" si="45"/>
        <v>3980393.6650106199</v>
      </c>
      <c r="Q160" s="1362">
        <f t="shared" si="45"/>
        <v>3980393.6650106199</v>
      </c>
      <c r="R160" s="1362">
        <f t="shared" si="45"/>
        <v>3980393.6650106199</v>
      </c>
      <c r="S160" s="1362">
        <f t="shared" si="45"/>
        <v>3980393.6650106199</v>
      </c>
      <c r="T160" s="1362">
        <f t="shared" si="45"/>
        <v>3980393.6650106199</v>
      </c>
      <c r="U160" s="1362">
        <f t="shared" si="45"/>
        <v>3980393.6650106199</v>
      </c>
      <c r="V160" s="1362">
        <f t="shared" si="45"/>
        <v>3980393.6650106199</v>
      </c>
      <c r="W160" s="1362">
        <f t="shared" si="45"/>
        <v>3980393.6650106199</v>
      </c>
      <c r="X160" s="1362">
        <f t="shared" si="45"/>
        <v>3980393.6650106199</v>
      </c>
      <c r="Y160" s="1362">
        <f t="shared" si="45"/>
        <v>3980393.6650106199</v>
      </c>
      <c r="Z160" s="1362">
        <f t="shared" si="45"/>
        <v>3980393.6650106199</v>
      </c>
      <c r="AA160" s="1362">
        <f t="shared" si="45"/>
        <v>3980393.6650106199</v>
      </c>
    </row>
    <row r="161" spans="2:27" ht="6.75" customHeight="1" outlineLevel="1" x14ac:dyDescent="0.25">
      <c r="B161" s="576"/>
      <c r="C161" s="38"/>
      <c r="D161" s="38"/>
      <c r="E161" s="211"/>
      <c r="F161" s="211"/>
      <c r="G161" s="1357"/>
      <c r="H161" s="1358"/>
      <c r="I161" s="1358"/>
      <c r="J161" s="1358"/>
      <c r="K161" s="1358"/>
      <c r="L161" s="1358"/>
      <c r="M161" s="1358"/>
      <c r="N161" s="1358"/>
      <c r="O161" s="1358"/>
      <c r="P161" s="1358"/>
      <c r="Q161" s="1358"/>
      <c r="R161" s="1358"/>
      <c r="S161" s="1358"/>
      <c r="T161" s="1358"/>
      <c r="U161" s="1358"/>
      <c r="V161" s="1358"/>
      <c r="W161" s="1358"/>
      <c r="X161" s="1358"/>
      <c r="Y161" s="1358"/>
      <c r="Z161" s="1358"/>
      <c r="AA161" s="1358"/>
    </row>
    <row r="162" spans="2:27" ht="17.25" customHeight="1" outlineLevel="1" x14ac:dyDescent="0.25">
      <c r="B162" s="576" t="str">
        <f t="shared" ref="B162:B167" si="46">B118</f>
        <v xml:space="preserve">Interest Expense, public loan </v>
      </c>
      <c r="C162" s="38"/>
      <c r="D162" s="38"/>
      <c r="E162" s="211"/>
      <c r="F162" s="211"/>
      <c r="G162" s="1357"/>
      <c r="H162" s="1358">
        <f t="shared" ref="H162:AA167" si="47">-H118</f>
        <v>-853759.99999999988</v>
      </c>
      <c r="I162" s="1358">
        <f t="shared" si="47"/>
        <v>-825089.24483942974</v>
      </c>
      <c r="J162" s="1358">
        <f t="shared" si="47"/>
        <v>-795271.65947243676</v>
      </c>
      <c r="K162" s="1358">
        <f t="shared" si="47"/>
        <v>-764261.37069076393</v>
      </c>
      <c r="L162" s="1358">
        <f t="shared" si="47"/>
        <v>-732010.67035782442</v>
      </c>
      <c r="M162" s="1358">
        <f t="shared" si="47"/>
        <v>-698469.94201156718</v>
      </c>
      <c r="N162" s="1358">
        <f t="shared" si="47"/>
        <v>-663587.58453145972</v>
      </c>
      <c r="O162" s="1358">
        <f t="shared" si="47"/>
        <v>-627309.9327521479</v>
      </c>
      <c r="P162" s="1358">
        <f t="shared" si="47"/>
        <v>-589581.17490166356</v>
      </c>
      <c r="Q162" s="1358">
        <f t="shared" si="47"/>
        <v>-550343.26673715992</v>
      </c>
      <c r="R162" s="1358">
        <f t="shared" si="47"/>
        <v>-509535.84224607609</v>
      </c>
      <c r="S162" s="1358">
        <f t="shared" si="47"/>
        <v>-467096.12077534897</v>
      </c>
      <c r="T162" s="1358">
        <f t="shared" si="47"/>
        <v>-422958.81044579274</v>
      </c>
      <c r="U162" s="1358">
        <f t="shared" si="47"/>
        <v>-377056.00770305423</v>
      </c>
      <c r="V162" s="1358">
        <f t="shared" si="47"/>
        <v>-329317.09285060625</v>
      </c>
      <c r="W162" s="1358">
        <f t="shared" si="47"/>
        <v>-279668.62140406034</v>
      </c>
      <c r="X162" s="1358">
        <f t="shared" si="47"/>
        <v>-228034.21109965254</v>
      </c>
      <c r="Y162" s="1358">
        <f t="shared" si="47"/>
        <v>-174334.42438306846</v>
      </c>
      <c r="Z162" s="1358">
        <f t="shared" si="47"/>
        <v>-118486.646197821</v>
      </c>
      <c r="AA162" s="1358">
        <f t="shared" si="47"/>
        <v>-60404.956885163658</v>
      </c>
    </row>
    <row r="163" spans="2:27" ht="17.25" customHeight="1" outlineLevel="1" x14ac:dyDescent="0.25">
      <c r="B163" s="576" t="str">
        <f t="shared" si="46"/>
        <v>Interest Expense, commercial loan with public guarantees</v>
      </c>
      <c r="C163" s="38"/>
      <c r="D163" s="38"/>
      <c r="E163" s="211"/>
      <c r="F163" s="211"/>
      <c r="G163" s="1357"/>
      <c r="H163" s="1358">
        <f t="shared" si="47"/>
        <v>0</v>
      </c>
      <c r="I163" s="1358">
        <f t="shared" si="47"/>
        <v>0</v>
      </c>
      <c r="J163" s="1358">
        <f t="shared" si="47"/>
        <v>0</v>
      </c>
      <c r="K163" s="1358">
        <f t="shared" si="47"/>
        <v>0</v>
      </c>
      <c r="L163" s="1358">
        <f t="shared" si="47"/>
        <v>0</v>
      </c>
      <c r="M163" s="1358">
        <f t="shared" si="47"/>
        <v>0</v>
      </c>
      <c r="N163" s="1358">
        <f t="shared" si="47"/>
        <v>0</v>
      </c>
      <c r="O163" s="1358">
        <f t="shared" si="47"/>
        <v>0</v>
      </c>
      <c r="P163" s="1358">
        <f t="shared" si="47"/>
        <v>0</v>
      </c>
      <c r="Q163" s="1358">
        <f t="shared" si="47"/>
        <v>0</v>
      </c>
      <c r="R163" s="1358">
        <f t="shared" si="47"/>
        <v>0</v>
      </c>
      <c r="S163" s="1358">
        <f t="shared" si="47"/>
        <v>0</v>
      </c>
      <c r="T163" s="1358">
        <f t="shared" si="47"/>
        <v>0</v>
      </c>
      <c r="U163" s="1358">
        <f t="shared" si="47"/>
        <v>0</v>
      </c>
      <c r="V163" s="1358">
        <f t="shared" si="47"/>
        <v>0</v>
      </c>
      <c r="W163" s="1358">
        <f t="shared" si="47"/>
        <v>0</v>
      </c>
      <c r="X163" s="1358">
        <f t="shared" si="47"/>
        <v>0</v>
      </c>
      <c r="Y163" s="1358">
        <f t="shared" si="47"/>
        <v>0</v>
      </c>
      <c r="Z163" s="1358">
        <f t="shared" si="47"/>
        <v>0</v>
      </c>
      <c r="AA163" s="1358">
        <f t="shared" si="47"/>
        <v>0</v>
      </c>
    </row>
    <row r="164" spans="2:27" ht="17.25" customHeight="1" outlineLevel="1" x14ac:dyDescent="0.25">
      <c r="B164" s="576" t="str">
        <f t="shared" si="46"/>
        <v>Interest Expense, commercial loan without public guarantees</v>
      </c>
      <c r="C164" s="38"/>
      <c r="D164" s="38"/>
      <c r="E164" s="211"/>
      <c r="F164" s="211"/>
      <c r="G164" s="1357"/>
      <c r="H164" s="1358">
        <f t="shared" si="47"/>
        <v>-1200433.6299680693</v>
      </c>
      <c r="I164" s="1358">
        <f t="shared" si="47"/>
        <v>-1118653.8088333455</v>
      </c>
      <c r="J164" s="1358">
        <f t="shared" si="47"/>
        <v>-1032274.510208793</v>
      </c>
      <c r="K164" s="1358">
        <f t="shared" si="47"/>
        <v>-941037.04933714704</v>
      </c>
      <c r="L164" s="1358">
        <f t="shared" si="47"/>
        <v>-844668.19245991576</v>
      </c>
      <c r="M164" s="1358">
        <f t="shared" si="47"/>
        <v>-742879.33854946599</v>
      </c>
      <c r="N164" s="1358">
        <f t="shared" si="47"/>
        <v>-635365.65501991916</v>
      </c>
      <c r="O164" s="1358">
        <f t="shared" si="47"/>
        <v>-521805.16482851829</v>
      </c>
      <c r="P164" s="1358">
        <f t="shared" si="47"/>
        <v>-401857.78223356523</v>
      </c>
      <c r="Q164" s="1358">
        <f t="shared" si="47"/>
        <v>-275164.2943212571</v>
      </c>
      <c r="R164" s="1358">
        <f t="shared" si="47"/>
        <v>-141345.28525134546</v>
      </c>
      <c r="S164" s="1358">
        <f t="shared" si="47"/>
        <v>0</v>
      </c>
      <c r="T164" s="1358">
        <f t="shared" si="47"/>
        <v>0</v>
      </c>
      <c r="U164" s="1358">
        <f t="shared" si="47"/>
        <v>0</v>
      </c>
      <c r="V164" s="1358">
        <f t="shared" si="47"/>
        <v>0</v>
      </c>
      <c r="W164" s="1358">
        <f t="shared" si="47"/>
        <v>0</v>
      </c>
      <c r="X164" s="1358">
        <f t="shared" si="47"/>
        <v>0</v>
      </c>
      <c r="Y164" s="1358">
        <f t="shared" si="47"/>
        <v>0</v>
      </c>
      <c r="Z164" s="1358">
        <f t="shared" si="47"/>
        <v>0</v>
      </c>
      <c r="AA164" s="1358">
        <f t="shared" si="47"/>
        <v>0</v>
      </c>
    </row>
    <row r="165" spans="2:27" ht="17.25" customHeight="1" outlineLevel="1" x14ac:dyDescent="0.25">
      <c r="B165" s="576" t="str">
        <f t="shared" si="46"/>
        <v xml:space="preserve">Front-end Fees </v>
      </c>
      <c r="C165" s="38"/>
      <c r="D165" s="38"/>
      <c r="E165" s="211"/>
      <c r="F165" s="211"/>
      <c r="G165" s="1357"/>
      <c r="H165" s="1358">
        <f t="shared" si="47"/>
        <v>0</v>
      </c>
      <c r="I165" s="1358">
        <f t="shared" si="47"/>
        <v>0</v>
      </c>
      <c r="J165" s="1358">
        <f t="shared" si="47"/>
        <v>0</v>
      </c>
      <c r="K165" s="1358">
        <f t="shared" si="47"/>
        <v>0</v>
      </c>
      <c r="L165" s="1358">
        <f t="shared" si="47"/>
        <v>0</v>
      </c>
      <c r="M165" s="1358">
        <f t="shared" si="47"/>
        <v>0</v>
      </c>
      <c r="N165" s="1358">
        <f t="shared" si="47"/>
        <v>0</v>
      </c>
      <c r="O165" s="1358">
        <f t="shared" si="47"/>
        <v>0</v>
      </c>
      <c r="P165" s="1358">
        <f t="shared" si="47"/>
        <v>0</v>
      </c>
      <c r="Q165" s="1358">
        <f t="shared" si="47"/>
        <v>0</v>
      </c>
      <c r="R165" s="1358">
        <f t="shared" si="47"/>
        <v>0</v>
      </c>
      <c r="S165" s="1358">
        <f t="shared" si="47"/>
        <v>0</v>
      </c>
      <c r="T165" s="1358">
        <f t="shared" si="47"/>
        <v>0</v>
      </c>
      <c r="U165" s="1358">
        <f t="shared" si="47"/>
        <v>0</v>
      </c>
      <c r="V165" s="1358">
        <f t="shared" si="47"/>
        <v>0</v>
      </c>
      <c r="W165" s="1358">
        <f t="shared" si="47"/>
        <v>0</v>
      </c>
      <c r="X165" s="1358">
        <f t="shared" si="47"/>
        <v>0</v>
      </c>
      <c r="Y165" s="1358">
        <f t="shared" si="47"/>
        <v>0</v>
      </c>
      <c r="Z165" s="1358">
        <f t="shared" si="47"/>
        <v>0</v>
      </c>
      <c r="AA165" s="1358">
        <f t="shared" si="47"/>
        <v>0</v>
      </c>
    </row>
    <row r="166" spans="2:27" ht="17.25" customHeight="1" outlineLevel="1" x14ac:dyDescent="0.25">
      <c r="B166" s="576" t="str">
        <f t="shared" si="46"/>
        <v xml:space="preserve">Public Guarantee Fees </v>
      </c>
      <c r="C166" s="38"/>
      <c r="D166" s="38"/>
      <c r="E166" s="211"/>
      <c r="F166" s="211"/>
      <c r="G166" s="1357"/>
      <c r="H166" s="1358">
        <f t="shared" si="47"/>
        <v>0</v>
      </c>
      <c r="I166" s="1358">
        <f t="shared" si="47"/>
        <v>0</v>
      </c>
      <c r="J166" s="1358">
        <f t="shared" si="47"/>
        <v>0</v>
      </c>
      <c r="K166" s="1358">
        <f t="shared" si="47"/>
        <v>0</v>
      </c>
      <c r="L166" s="1358">
        <f t="shared" si="47"/>
        <v>0</v>
      </c>
      <c r="M166" s="1358">
        <f t="shared" si="47"/>
        <v>0</v>
      </c>
      <c r="N166" s="1358">
        <f t="shared" si="47"/>
        <v>0</v>
      </c>
      <c r="O166" s="1358">
        <f t="shared" si="47"/>
        <v>0</v>
      </c>
      <c r="P166" s="1358">
        <f t="shared" si="47"/>
        <v>0</v>
      </c>
      <c r="Q166" s="1358">
        <f t="shared" si="47"/>
        <v>0</v>
      </c>
      <c r="R166" s="1358">
        <f t="shared" si="47"/>
        <v>0</v>
      </c>
      <c r="S166" s="1358">
        <f t="shared" si="47"/>
        <v>0</v>
      </c>
      <c r="T166" s="1358">
        <f t="shared" si="47"/>
        <v>0</v>
      </c>
      <c r="U166" s="1358">
        <f t="shared" si="47"/>
        <v>0</v>
      </c>
      <c r="V166" s="1358">
        <f t="shared" si="47"/>
        <v>0</v>
      </c>
      <c r="W166" s="1358">
        <f t="shared" si="47"/>
        <v>0</v>
      </c>
      <c r="X166" s="1358">
        <f t="shared" si="47"/>
        <v>0</v>
      </c>
      <c r="Y166" s="1358">
        <f t="shared" si="47"/>
        <v>0</v>
      </c>
      <c r="Z166" s="1358">
        <f t="shared" si="47"/>
        <v>0</v>
      </c>
      <c r="AA166" s="1358">
        <f t="shared" si="47"/>
        <v>0</v>
      </c>
    </row>
    <row r="167" spans="2:27" ht="17.25" customHeight="1" outlineLevel="1" x14ac:dyDescent="0.25">
      <c r="B167" s="576" t="str">
        <f t="shared" si="46"/>
        <v>Political Risk Insurance - Fees &amp; Annual Premium Payments</v>
      </c>
      <c r="C167" s="38"/>
      <c r="D167" s="38"/>
      <c r="E167" s="211"/>
      <c r="F167" s="211"/>
      <c r="G167" s="1357"/>
      <c r="H167" s="1358">
        <f t="shared" si="47"/>
        <v>0</v>
      </c>
      <c r="I167" s="1358">
        <f t="shared" si="47"/>
        <v>0</v>
      </c>
      <c r="J167" s="1358">
        <f t="shared" si="47"/>
        <v>0</v>
      </c>
      <c r="K167" s="1358">
        <f t="shared" si="47"/>
        <v>0</v>
      </c>
      <c r="L167" s="1358">
        <f t="shared" si="47"/>
        <v>0</v>
      </c>
      <c r="M167" s="1358">
        <f t="shared" si="47"/>
        <v>0</v>
      </c>
      <c r="N167" s="1358">
        <f t="shared" si="47"/>
        <v>0</v>
      </c>
      <c r="O167" s="1358">
        <f t="shared" si="47"/>
        <v>0</v>
      </c>
      <c r="P167" s="1358">
        <f t="shared" si="47"/>
        <v>0</v>
      </c>
      <c r="Q167" s="1358">
        <f t="shared" si="47"/>
        <v>0</v>
      </c>
      <c r="R167" s="1358">
        <f t="shared" si="47"/>
        <v>0</v>
      </c>
      <c r="S167" s="1358">
        <f t="shared" si="47"/>
        <v>0</v>
      </c>
      <c r="T167" s="1358">
        <f t="shared" si="47"/>
        <v>0</v>
      </c>
      <c r="U167" s="1358">
        <f t="shared" si="47"/>
        <v>0</v>
      </c>
      <c r="V167" s="1358">
        <f t="shared" si="47"/>
        <v>0</v>
      </c>
      <c r="W167" s="1358">
        <f t="shared" si="47"/>
        <v>0</v>
      </c>
      <c r="X167" s="1358">
        <f t="shared" si="47"/>
        <v>0</v>
      </c>
      <c r="Y167" s="1358">
        <f t="shared" si="47"/>
        <v>0</v>
      </c>
      <c r="Z167" s="1358">
        <f t="shared" si="47"/>
        <v>0</v>
      </c>
      <c r="AA167" s="1358">
        <f t="shared" si="47"/>
        <v>0</v>
      </c>
    </row>
    <row r="168" spans="2:27" ht="9.75" customHeight="1" outlineLevel="1" x14ac:dyDescent="0.25">
      <c r="B168" s="576"/>
      <c r="C168" s="38"/>
      <c r="D168" s="38"/>
      <c r="E168" s="211"/>
      <c r="F168" s="211"/>
      <c r="G168" s="1357"/>
      <c r="H168" s="1358"/>
      <c r="I168" s="1358"/>
      <c r="J168" s="1358"/>
      <c r="K168" s="1358"/>
      <c r="L168" s="1358"/>
      <c r="M168" s="1358"/>
      <c r="N168" s="1358"/>
      <c r="O168" s="1358"/>
      <c r="P168" s="1358"/>
      <c r="Q168" s="1358"/>
      <c r="R168" s="1358"/>
      <c r="S168" s="1358"/>
      <c r="T168" s="1358"/>
      <c r="U168" s="1358"/>
      <c r="V168" s="1358"/>
      <c r="W168" s="1358"/>
      <c r="X168" s="1358"/>
      <c r="Y168" s="1358"/>
      <c r="Z168" s="1358"/>
      <c r="AA168" s="1358"/>
    </row>
    <row r="169" spans="2:27" ht="17.25" customHeight="1" outlineLevel="1" x14ac:dyDescent="0.25">
      <c r="B169" s="583" t="s">
        <v>117</v>
      </c>
      <c r="C169" s="597"/>
      <c r="D169" s="597"/>
      <c r="E169" s="598"/>
      <c r="F169" s="598"/>
      <c r="G169" s="1361"/>
      <c r="H169" s="1362">
        <f>H160+(SUM(H162:H167))</f>
        <v>1926200.0350425509</v>
      </c>
      <c r="I169" s="1362">
        <f t="shared" ref="I169:AA169" si="48">I160+(SUM(I162:I167))</f>
        <v>2036650.6113378447</v>
      </c>
      <c r="J169" s="1362">
        <f t="shared" si="48"/>
        <v>2152847.4953293903</v>
      </c>
      <c r="K169" s="1362">
        <f t="shared" si="48"/>
        <v>2275095.2449827092</v>
      </c>
      <c r="L169" s="1362">
        <f t="shared" si="48"/>
        <v>2403714.8021928798</v>
      </c>
      <c r="M169" s="1362">
        <f t="shared" si="48"/>
        <v>2539044.3844495867</v>
      </c>
      <c r="N169" s="1362">
        <f t="shared" si="48"/>
        <v>2681440.425459241</v>
      </c>
      <c r="O169" s="1362">
        <f t="shared" si="48"/>
        <v>2831278.5674299537</v>
      </c>
      <c r="P169" s="1362">
        <f t="shared" si="48"/>
        <v>2988954.707875391</v>
      </c>
      <c r="Q169" s="1362">
        <f t="shared" si="48"/>
        <v>3154886.1039522029</v>
      </c>
      <c r="R169" s="1362">
        <f t="shared" si="48"/>
        <v>3329512.5375131983</v>
      </c>
      <c r="S169" s="1362">
        <f t="shared" si="48"/>
        <v>3513297.5442352709</v>
      </c>
      <c r="T169" s="1362">
        <f t="shared" si="48"/>
        <v>3557434.8545648269</v>
      </c>
      <c r="U169" s="1362">
        <f t="shared" si="48"/>
        <v>3603337.6573075657</v>
      </c>
      <c r="V169" s="1362">
        <f t="shared" si="48"/>
        <v>3651076.5721600135</v>
      </c>
      <c r="W169" s="1362">
        <f t="shared" si="48"/>
        <v>3700725.0436065597</v>
      </c>
      <c r="X169" s="1362">
        <f t="shared" si="48"/>
        <v>3752359.4539109673</v>
      </c>
      <c r="Y169" s="1362">
        <f t="shared" si="48"/>
        <v>3806059.2406275515</v>
      </c>
      <c r="Z169" s="1362">
        <f t="shared" si="48"/>
        <v>3861907.0188127989</v>
      </c>
      <c r="AA169" s="1362">
        <f t="shared" si="48"/>
        <v>3919988.7081254562</v>
      </c>
    </row>
    <row r="170" spans="2:27" ht="6.75" customHeight="1" outlineLevel="1" x14ac:dyDescent="0.25">
      <c r="B170" s="576"/>
      <c r="C170" s="38"/>
      <c r="D170" s="38"/>
      <c r="E170" s="211"/>
      <c r="F170" s="211"/>
      <c r="G170" s="1357"/>
      <c r="H170" s="1358"/>
      <c r="I170" s="1358"/>
      <c r="J170" s="1358"/>
      <c r="K170" s="1358"/>
      <c r="L170" s="1358"/>
      <c r="M170" s="1358"/>
      <c r="N170" s="1358"/>
      <c r="O170" s="1358"/>
      <c r="P170" s="1358"/>
      <c r="Q170" s="1358"/>
      <c r="R170" s="1358"/>
      <c r="S170" s="1358"/>
      <c r="T170" s="1358"/>
      <c r="U170" s="1358"/>
      <c r="V170" s="1358"/>
      <c r="W170" s="1358"/>
      <c r="X170" s="1358"/>
      <c r="Y170" s="1358"/>
      <c r="Z170" s="1358"/>
      <c r="AA170" s="1358"/>
    </row>
    <row r="171" spans="2:27" ht="17.25" customHeight="1" outlineLevel="1" x14ac:dyDescent="0.25">
      <c r="B171" s="576" t="s">
        <v>118</v>
      </c>
      <c r="C171" s="38"/>
      <c r="D171" s="38"/>
      <c r="E171" s="211"/>
      <c r="F171" s="211"/>
      <c r="G171" s="1357"/>
      <c r="H171" s="1358">
        <f>IF(H169&lt;0,(-H169*'III. Inputs, Renewable Energy'!$U$17),(-'VI. LCOE, Ren. En. Grid Intconx'!H169*'III. Inputs, Renewable Energy'!$U$17))</f>
        <v>-577860.01051276526</v>
      </c>
      <c r="I171" s="1358">
        <f>IF(I169&lt;0,(-I169*'III. Inputs, Renewable Energy'!$U$17),(-'VI. LCOE, Ren. En. Grid Intconx'!I169*'III. Inputs, Renewable Energy'!$U$17))</f>
        <v>-610995.18340135342</v>
      </c>
      <c r="J171" s="1358">
        <f>IF(J169&lt;0,(-J169*'III. Inputs, Renewable Energy'!$U$17),(-'VI. LCOE, Ren. En. Grid Intconx'!J169*'III. Inputs, Renewable Energy'!$U$17))</f>
        <v>-645854.24859881704</v>
      </c>
      <c r="K171" s="1358">
        <f>IF(K169&lt;0,(-K169*'III. Inputs, Renewable Energy'!$U$17),(-'VI. LCOE, Ren. En. Grid Intconx'!K169*'III. Inputs, Renewable Energy'!$U$17))</f>
        <v>-682528.57349481271</v>
      </c>
      <c r="L171" s="1358">
        <f>IF(L169&lt;0,(-L169*'III. Inputs, Renewable Energy'!$U$17),(-'VI. LCOE, Ren. En. Grid Intconx'!L169*'III. Inputs, Renewable Energy'!$U$17))</f>
        <v>-721114.44065786398</v>
      </c>
      <c r="M171" s="1358">
        <f>IF(M169&lt;0,(-M169*'III. Inputs, Renewable Energy'!$U$17),(-'VI. LCOE, Ren. En. Grid Intconx'!M169*'III. Inputs, Renewable Energy'!$U$17))</f>
        <v>-761713.31533487595</v>
      </c>
      <c r="N171" s="1358">
        <f>IF(N169&lt;0,(-N169*'III. Inputs, Renewable Energy'!$U$17),(-'VI. LCOE, Ren. En. Grid Intconx'!N169*'III. Inputs, Renewable Energy'!$U$17))</f>
        <v>-804432.12763777224</v>
      </c>
      <c r="O171" s="1358">
        <f>IF(O169&lt;0,(-O169*'III. Inputs, Renewable Energy'!$U$17),(-'VI. LCOE, Ren. En. Grid Intconx'!O169*'III. Inputs, Renewable Energy'!$U$17))</f>
        <v>-849383.57022898609</v>
      </c>
      <c r="P171" s="1358">
        <f>IF(P169&lt;0,(-P169*'III. Inputs, Renewable Energy'!$U$17),(-'VI. LCOE, Ren. En. Grid Intconx'!P169*'III. Inputs, Renewable Energy'!$U$17))</f>
        <v>-896686.41236261732</v>
      </c>
      <c r="Q171" s="1358">
        <f>IF(Q169&lt;0,(-Q169*'III. Inputs, Renewable Energy'!$U$17),(-'VI. LCOE, Ren. En. Grid Intconx'!Q169*'III. Inputs, Renewable Energy'!$U$17))</f>
        <v>-946465.83118566079</v>
      </c>
      <c r="R171" s="1358">
        <f>IF(R169&lt;0,(-R169*'III. Inputs, Renewable Energy'!$U$17),(-'VI. LCOE, Ren. En. Grid Intconx'!R169*'III. Inputs, Renewable Energy'!$U$17))</f>
        <v>-998853.7612539595</v>
      </c>
      <c r="S171" s="1358">
        <f>IF(S169&lt;0,(-S169*'III. Inputs, Renewable Energy'!$U$17),(-'VI. LCOE, Ren. En. Grid Intconx'!S169*'III. Inputs, Renewable Energy'!$U$17))</f>
        <v>-1053989.2632705811</v>
      </c>
      <c r="T171" s="1358">
        <f>IF(T169&lt;0,(-T169*'III. Inputs, Renewable Energy'!$U$17),(-'VI. LCOE, Ren. En. Grid Intconx'!T169*'III. Inputs, Renewable Energy'!$U$17))</f>
        <v>-1067230.456369448</v>
      </c>
      <c r="U171" s="1358">
        <f>IF(U169&lt;0,(-U169*'III. Inputs, Renewable Energy'!$U$17),(-'VI. LCOE, Ren. En. Grid Intconx'!U169*'III. Inputs, Renewable Energy'!$U$17))</f>
        <v>-1081001.2971922697</v>
      </c>
      <c r="V171" s="1358">
        <f>IF(V169&lt;0,(-V169*'III. Inputs, Renewable Energy'!$U$17),(-'VI. LCOE, Ren. En. Grid Intconx'!V169*'III. Inputs, Renewable Energy'!$U$17))</f>
        <v>-1095322.9716480039</v>
      </c>
      <c r="W171" s="1358">
        <f>IF(W169&lt;0,(-W169*'III. Inputs, Renewable Energy'!$U$17),(-'VI. LCOE, Ren. En. Grid Intconx'!W169*'III. Inputs, Renewable Energy'!$U$17))</f>
        <v>-1110217.5130819678</v>
      </c>
      <c r="X171" s="1358">
        <f>IF(X169&lt;0,(-X169*'III. Inputs, Renewable Energy'!$U$17),(-'VI. LCOE, Ren. En. Grid Intconx'!X169*'III. Inputs, Renewable Energy'!$U$17))</f>
        <v>-1125707.8361732902</v>
      </c>
      <c r="Y171" s="1358">
        <f>IF(Y169&lt;0,(-Y169*'III. Inputs, Renewable Energy'!$U$17),(-'VI. LCOE, Ren. En. Grid Intconx'!Y169*'III. Inputs, Renewable Energy'!$U$17))</f>
        <v>-1141817.7721882653</v>
      </c>
      <c r="Z171" s="1358">
        <f>IF(Z169&lt;0,(-Z169*'III. Inputs, Renewable Energy'!$U$17),(-'VI. LCOE, Ren. En. Grid Intconx'!Z169*'III. Inputs, Renewable Energy'!$U$17))</f>
        <v>-1158572.1056438396</v>
      </c>
      <c r="AA171" s="1358">
        <f>IF(AA169&lt;0,(-AA169*'III. Inputs, Renewable Energy'!$U$17),(-'VI. LCOE, Ren. En. Grid Intconx'!AA169*'III. Inputs, Renewable Energy'!$U$17))</f>
        <v>-1175996.6124376368</v>
      </c>
    </row>
    <row r="172" spans="2:27" ht="6.75" customHeight="1" outlineLevel="1" x14ac:dyDescent="0.25">
      <c r="B172" s="584"/>
      <c r="C172" s="39"/>
      <c r="D172" s="39"/>
      <c r="E172" s="213"/>
      <c r="F172" s="213"/>
      <c r="G172" s="1359"/>
      <c r="H172" s="1360"/>
      <c r="I172" s="1360"/>
      <c r="J172" s="1360"/>
      <c r="K172" s="1360"/>
      <c r="L172" s="1360"/>
      <c r="M172" s="1360"/>
      <c r="N172" s="1360"/>
      <c r="O172" s="1360"/>
      <c r="P172" s="1360"/>
      <c r="Q172" s="1360"/>
      <c r="R172" s="1360"/>
      <c r="S172" s="1360"/>
      <c r="T172" s="1360"/>
      <c r="U172" s="1360"/>
      <c r="V172" s="1360"/>
      <c r="W172" s="1360"/>
      <c r="X172" s="1360"/>
      <c r="Y172" s="1360"/>
      <c r="Z172" s="1360"/>
      <c r="AA172" s="1360"/>
    </row>
    <row r="173" spans="2:27" ht="17.25" customHeight="1" outlineLevel="1" x14ac:dyDescent="0.25">
      <c r="B173" s="583" t="s">
        <v>119</v>
      </c>
      <c r="C173" s="597"/>
      <c r="D173" s="597"/>
      <c r="E173" s="598"/>
      <c r="F173" s="598"/>
      <c r="G173" s="1361"/>
      <c r="H173" s="1362">
        <f>H169+H171</f>
        <v>1348340.0245297856</v>
      </c>
      <c r="I173" s="1362">
        <f t="shared" ref="I173:AA173" si="49">I169+I171</f>
        <v>1425655.4279364913</v>
      </c>
      <c r="J173" s="1362">
        <f t="shared" si="49"/>
        <v>1506993.2467305732</v>
      </c>
      <c r="K173" s="1362">
        <f t="shared" si="49"/>
        <v>1592566.6714878965</v>
      </c>
      <c r="L173" s="1362">
        <f t="shared" si="49"/>
        <v>1682600.361535016</v>
      </c>
      <c r="M173" s="1362">
        <f t="shared" si="49"/>
        <v>1777331.0691147107</v>
      </c>
      <c r="N173" s="1362">
        <f t="shared" si="49"/>
        <v>1877008.2978214687</v>
      </c>
      <c r="O173" s="1362">
        <f t="shared" si="49"/>
        <v>1981894.9972009677</v>
      </c>
      <c r="P173" s="1362">
        <f t="shared" si="49"/>
        <v>2092268.2955127736</v>
      </c>
      <c r="Q173" s="1362">
        <f t="shared" si="49"/>
        <v>2208420.2727665422</v>
      </c>
      <c r="R173" s="1362">
        <f t="shared" si="49"/>
        <v>2330658.7762592388</v>
      </c>
      <c r="S173" s="1362">
        <f t="shared" si="49"/>
        <v>2459308.2809646898</v>
      </c>
      <c r="T173" s="1362">
        <f t="shared" si="49"/>
        <v>2490204.3981953789</v>
      </c>
      <c r="U173" s="1362">
        <f t="shared" si="49"/>
        <v>2522336.3601152962</v>
      </c>
      <c r="V173" s="1362">
        <f t="shared" si="49"/>
        <v>2555753.6005120096</v>
      </c>
      <c r="W173" s="1362">
        <f t="shared" si="49"/>
        <v>2590507.5305245919</v>
      </c>
      <c r="X173" s="1362">
        <f t="shared" si="49"/>
        <v>2626651.6177376769</v>
      </c>
      <c r="Y173" s="1362">
        <f t="shared" si="49"/>
        <v>2664241.4684392861</v>
      </c>
      <c r="Z173" s="1362">
        <f t="shared" si="49"/>
        <v>2703334.9131689593</v>
      </c>
      <c r="AA173" s="1362">
        <f t="shared" si="49"/>
        <v>2743992.0956878196</v>
      </c>
    </row>
    <row r="174" spans="2:27" ht="17.25" customHeight="1" outlineLevel="1" x14ac:dyDescent="0.25">
      <c r="B174" s="576"/>
      <c r="C174" s="38"/>
      <c r="D174" s="38"/>
      <c r="E174" s="211"/>
      <c r="F174" s="211"/>
      <c r="G174" s="1357"/>
      <c r="H174" s="1358"/>
      <c r="I174" s="1358"/>
      <c r="J174" s="1358"/>
      <c r="K174" s="1358"/>
      <c r="L174" s="1358"/>
      <c r="M174" s="1358"/>
      <c r="N174" s="1358"/>
      <c r="O174" s="1358"/>
      <c r="P174" s="1358"/>
      <c r="Q174" s="1358"/>
      <c r="R174" s="1358"/>
      <c r="S174" s="1358"/>
      <c r="T174" s="1358"/>
      <c r="U174" s="1358"/>
      <c r="V174" s="1358"/>
      <c r="W174" s="1358"/>
      <c r="X174" s="1358"/>
      <c r="Y174" s="1358"/>
      <c r="Z174" s="1358"/>
      <c r="AA174" s="1358"/>
    </row>
    <row r="175" spans="2:27" ht="17.25" customHeight="1" outlineLevel="1" x14ac:dyDescent="0.25">
      <c r="B175" s="576" t="s">
        <v>120</v>
      </c>
      <c r="C175" s="38"/>
      <c r="D175" s="38"/>
      <c r="E175" s="211"/>
      <c r="F175" s="211" t="s">
        <v>631</v>
      </c>
      <c r="G175" s="1328">
        <f>-'III. Inputs, Renewable Energy'!U260</f>
        <v>-58879999.999999993</v>
      </c>
      <c r="H175" s="1358"/>
      <c r="I175" s="1358"/>
      <c r="J175" s="1358"/>
      <c r="K175" s="1358"/>
      <c r="L175" s="1358"/>
      <c r="M175" s="1358"/>
      <c r="N175" s="1358"/>
      <c r="O175" s="1358"/>
      <c r="P175" s="1358"/>
      <c r="Q175" s="1358"/>
      <c r="R175" s="1358"/>
      <c r="S175" s="1358"/>
      <c r="T175" s="1358"/>
      <c r="U175" s="1358"/>
      <c r="V175" s="1358"/>
      <c r="W175" s="1358"/>
      <c r="X175" s="1358"/>
      <c r="Y175" s="1358"/>
      <c r="Z175" s="1358"/>
      <c r="AA175" s="1358"/>
    </row>
    <row r="176" spans="2:27" ht="17.25" customHeight="1" outlineLevel="1" x14ac:dyDescent="0.25">
      <c r="B176" s="584" t="s">
        <v>121</v>
      </c>
      <c r="C176" s="39"/>
      <c r="D176" s="39"/>
      <c r="E176" s="213"/>
      <c r="F176" s="213" t="s">
        <v>631</v>
      </c>
      <c r="G176" s="1332">
        <f>'III. Inputs, Renewable Energy'!U260*'III. Inputs, Renewable Energy'!V28</f>
        <v>42687999.999999993</v>
      </c>
      <c r="H176" s="1360"/>
      <c r="I176" s="1360"/>
      <c r="J176" s="1360"/>
      <c r="K176" s="1360"/>
      <c r="L176" s="1360"/>
      <c r="M176" s="1360"/>
      <c r="N176" s="1360"/>
      <c r="O176" s="1360"/>
      <c r="P176" s="1360"/>
      <c r="Q176" s="1360"/>
      <c r="R176" s="1360"/>
      <c r="S176" s="1360"/>
      <c r="T176" s="1360"/>
      <c r="U176" s="1360"/>
      <c r="V176" s="1360"/>
      <c r="W176" s="1360"/>
      <c r="X176" s="1360"/>
      <c r="Y176" s="1360"/>
      <c r="Z176" s="1360"/>
      <c r="AA176" s="1360"/>
    </row>
    <row r="177" spans="2:27" ht="17.25" customHeight="1" outlineLevel="1" x14ac:dyDescent="0.25">
      <c r="B177" s="576" t="s">
        <v>122</v>
      </c>
      <c r="C177" s="38"/>
      <c r="D177" s="38"/>
      <c r="E177" s="211"/>
      <c r="F177" s="211" t="s">
        <v>631</v>
      </c>
      <c r="G177" s="1328">
        <f>G175+G176</f>
        <v>-16192000</v>
      </c>
      <c r="H177" s="1328"/>
      <c r="I177" s="1328"/>
      <c r="J177" s="1328"/>
      <c r="K177" s="1328"/>
      <c r="L177" s="1328"/>
      <c r="M177" s="1328"/>
      <c r="N177" s="1328"/>
      <c r="O177" s="1328"/>
      <c r="P177" s="1328"/>
      <c r="Q177" s="1328"/>
      <c r="R177" s="1328"/>
      <c r="S177" s="1328"/>
      <c r="T177" s="1328"/>
      <c r="U177" s="1328"/>
      <c r="V177" s="1328"/>
      <c r="W177" s="1328"/>
      <c r="X177" s="1328"/>
      <c r="Y177" s="1328"/>
      <c r="Z177" s="1328"/>
      <c r="AA177" s="1328"/>
    </row>
    <row r="178" spans="2:27" ht="10.5" customHeight="1" outlineLevel="1" x14ac:dyDescent="0.25">
      <c r="B178" s="576"/>
      <c r="C178" s="38"/>
      <c r="D178" s="38"/>
      <c r="E178" s="211"/>
      <c r="F178" s="211"/>
      <c r="G178" s="1328"/>
      <c r="H178" s="1328"/>
      <c r="I178" s="1328"/>
      <c r="J178" s="1328"/>
      <c r="K178" s="1328"/>
      <c r="L178" s="1328"/>
      <c r="M178" s="1328"/>
      <c r="N178" s="1328"/>
      <c r="O178" s="1328"/>
      <c r="P178" s="1328"/>
      <c r="Q178" s="1328"/>
      <c r="R178" s="1328"/>
      <c r="S178" s="1328"/>
      <c r="T178" s="1328"/>
      <c r="U178" s="1328"/>
      <c r="V178" s="1328"/>
      <c r="W178" s="1328"/>
      <c r="X178" s="1328"/>
      <c r="Y178" s="1328"/>
      <c r="Z178" s="1328"/>
      <c r="AA178" s="1328"/>
    </row>
    <row r="179" spans="2:27" ht="6.75" customHeight="1" outlineLevel="1" x14ac:dyDescent="0.25">
      <c r="B179" s="576"/>
      <c r="C179" s="38"/>
      <c r="D179" s="38"/>
      <c r="E179" s="211"/>
      <c r="F179" s="211"/>
      <c r="G179" s="1328"/>
      <c r="H179" s="1328"/>
      <c r="I179" s="1328"/>
      <c r="J179" s="1328"/>
      <c r="K179" s="1328"/>
      <c r="L179" s="1328"/>
      <c r="M179" s="1328"/>
      <c r="N179" s="1328"/>
      <c r="O179" s="1328"/>
      <c r="P179" s="1328"/>
      <c r="Q179" s="1328"/>
      <c r="R179" s="1328"/>
      <c r="S179" s="1328"/>
      <c r="T179" s="1328"/>
      <c r="U179" s="1328"/>
      <c r="V179" s="1328"/>
      <c r="W179" s="1328"/>
      <c r="X179" s="1328"/>
      <c r="Y179" s="1328"/>
      <c r="Z179" s="1328"/>
      <c r="AA179" s="1328"/>
    </row>
    <row r="180" spans="2:27" ht="17.25" customHeight="1" outlineLevel="1" x14ac:dyDescent="0.25">
      <c r="B180" s="576" t="s">
        <v>123</v>
      </c>
      <c r="C180" s="38"/>
      <c r="D180" s="38"/>
      <c r="E180" s="211"/>
      <c r="F180" s="211"/>
      <c r="G180" s="1328"/>
      <c r="H180" s="1328">
        <f>H173</f>
        <v>1348340.0245297856</v>
      </c>
      <c r="I180" s="1328">
        <f t="shared" ref="I180:AA180" si="50">I173</f>
        <v>1425655.4279364913</v>
      </c>
      <c r="J180" s="1328">
        <f t="shared" si="50"/>
        <v>1506993.2467305732</v>
      </c>
      <c r="K180" s="1328">
        <f t="shared" si="50"/>
        <v>1592566.6714878965</v>
      </c>
      <c r="L180" s="1328">
        <f t="shared" si="50"/>
        <v>1682600.361535016</v>
      </c>
      <c r="M180" s="1328">
        <f t="shared" si="50"/>
        <v>1777331.0691147107</v>
      </c>
      <c r="N180" s="1328">
        <f t="shared" si="50"/>
        <v>1877008.2978214687</v>
      </c>
      <c r="O180" s="1328">
        <f t="shared" si="50"/>
        <v>1981894.9972009677</v>
      </c>
      <c r="P180" s="1328">
        <f t="shared" si="50"/>
        <v>2092268.2955127736</v>
      </c>
      <c r="Q180" s="1328">
        <f t="shared" si="50"/>
        <v>2208420.2727665422</v>
      </c>
      <c r="R180" s="1328">
        <f t="shared" si="50"/>
        <v>2330658.7762592388</v>
      </c>
      <c r="S180" s="1328">
        <f t="shared" si="50"/>
        <v>2459308.2809646898</v>
      </c>
      <c r="T180" s="1328">
        <f t="shared" si="50"/>
        <v>2490204.3981953789</v>
      </c>
      <c r="U180" s="1328">
        <f t="shared" si="50"/>
        <v>2522336.3601152962</v>
      </c>
      <c r="V180" s="1328">
        <f t="shared" si="50"/>
        <v>2555753.6005120096</v>
      </c>
      <c r="W180" s="1328">
        <f t="shared" si="50"/>
        <v>2590507.5305245919</v>
      </c>
      <c r="X180" s="1328">
        <f t="shared" si="50"/>
        <v>2626651.6177376769</v>
      </c>
      <c r="Y180" s="1328">
        <f t="shared" si="50"/>
        <v>2664241.4684392861</v>
      </c>
      <c r="Z180" s="1328">
        <f t="shared" si="50"/>
        <v>2703334.9131689593</v>
      </c>
      <c r="AA180" s="1328">
        <f t="shared" si="50"/>
        <v>2743992.0956878196</v>
      </c>
    </row>
    <row r="181" spans="2:27" ht="17.25" customHeight="1" outlineLevel="1" x14ac:dyDescent="0.25">
      <c r="B181" s="576" t="s">
        <v>124</v>
      </c>
      <c r="C181" s="38"/>
      <c r="D181" s="38"/>
      <c r="E181" s="211"/>
      <c r="F181" s="211" t="s">
        <v>631</v>
      </c>
      <c r="G181" s="1328"/>
      <c r="H181" s="1328">
        <f t="shared" ref="H181:AA181" si="51">-H158</f>
        <v>2796800</v>
      </c>
      <c r="I181" s="1328">
        <f t="shared" si="51"/>
        <v>2796800</v>
      </c>
      <c r="J181" s="1328">
        <f t="shared" si="51"/>
        <v>2796800</v>
      </c>
      <c r="K181" s="1328">
        <f t="shared" si="51"/>
        <v>2796800</v>
      </c>
      <c r="L181" s="1328">
        <f t="shared" si="51"/>
        <v>2796800</v>
      </c>
      <c r="M181" s="1328">
        <f t="shared" si="51"/>
        <v>2796800</v>
      </c>
      <c r="N181" s="1328">
        <f t="shared" si="51"/>
        <v>2796800</v>
      </c>
      <c r="O181" s="1328">
        <f t="shared" si="51"/>
        <v>2796800</v>
      </c>
      <c r="P181" s="1328">
        <f t="shared" si="51"/>
        <v>2796800</v>
      </c>
      <c r="Q181" s="1328">
        <f t="shared" si="51"/>
        <v>2796800</v>
      </c>
      <c r="R181" s="1328">
        <f t="shared" si="51"/>
        <v>2796800</v>
      </c>
      <c r="S181" s="1328">
        <f t="shared" si="51"/>
        <v>2796800</v>
      </c>
      <c r="T181" s="1328">
        <f t="shared" si="51"/>
        <v>2796800</v>
      </c>
      <c r="U181" s="1328">
        <f t="shared" si="51"/>
        <v>2796800</v>
      </c>
      <c r="V181" s="1328">
        <f t="shared" si="51"/>
        <v>2796800</v>
      </c>
      <c r="W181" s="1328">
        <f t="shared" si="51"/>
        <v>2796800</v>
      </c>
      <c r="X181" s="1328">
        <f t="shared" si="51"/>
        <v>2796800</v>
      </c>
      <c r="Y181" s="1328">
        <f t="shared" si="51"/>
        <v>2796800</v>
      </c>
      <c r="Z181" s="1328">
        <f t="shared" si="51"/>
        <v>2796800</v>
      </c>
      <c r="AA181" s="1328">
        <f t="shared" si="51"/>
        <v>2796800</v>
      </c>
    </row>
    <row r="182" spans="2:27" ht="17.25" customHeight="1" outlineLevel="1" x14ac:dyDescent="0.25">
      <c r="B182" s="576"/>
      <c r="C182" s="38"/>
      <c r="D182" s="38"/>
      <c r="E182" s="211"/>
      <c r="F182" s="211"/>
      <c r="G182" s="1328"/>
      <c r="H182" s="1328"/>
      <c r="I182" s="1328"/>
      <c r="J182" s="1328"/>
      <c r="K182" s="1328"/>
      <c r="L182" s="1328"/>
      <c r="M182" s="1328"/>
      <c r="N182" s="1328"/>
      <c r="O182" s="1328"/>
      <c r="P182" s="1328"/>
      <c r="Q182" s="1328"/>
      <c r="R182" s="1328"/>
      <c r="S182" s="1328"/>
      <c r="T182" s="1328"/>
      <c r="U182" s="1328"/>
      <c r="V182" s="1328"/>
      <c r="W182" s="1328"/>
      <c r="X182" s="1328"/>
      <c r="Y182" s="1328"/>
      <c r="Z182" s="1328"/>
      <c r="AA182" s="1328"/>
    </row>
    <row r="183" spans="2:27" ht="17.25" customHeight="1" outlineLevel="1" x14ac:dyDescent="0.25">
      <c r="B183" s="576" t="s">
        <v>125</v>
      </c>
      <c r="C183" s="38"/>
      <c r="D183" s="38"/>
      <c r="E183" s="211"/>
      <c r="F183" s="211" t="s">
        <v>631</v>
      </c>
      <c r="G183" s="1328"/>
      <c r="H183" s="1328"/>
      <c r="I183" s="1328"/>
      <c r="J183" s="1328"/>
      <c r="K183" s="1328"/>
      <c r="L183" s="1328"/>
      <c r="M183" s="1328"/>
      <c r="N183" s="1328"/>
      <c r="O183" s="1328"/>
      <c r="P183" s="1328"/>
      <c r="Q183" s="1328"/>
      <c r="R183" s="1328"/>
      <c r="S183" s="1328"/>
      <c r="T183" s="1328"/>
      <c r="U183" s="1328"/>
      <c r="V183" s="1328"/>
      <c r="W183" s="1328"/>
      <c r="X183" s="1328"/>
      <c r="Y183" s="1328"/>
      <c r="Z183" s="1328"/>
      <c r="AA183" s="1328"/>
    </row>
    <row r="184" spans="2:27" ht="17.25" customHeight="1" outlineLevel="1" x14ac:dyDescent="0.25">
      <c r="B184" s="576" t="s">
        <v>126</v>
      </c>
      <c r="C184" s="38"/>
      <c r="D184" s="38"/>
      <c r="E184" s="211"/>
      <c r="F184" s="211" t="s">
        <v>631</v>
      </c>
      <c r="G184" s="1328"/>
      <c r="H184" s="1328"/>
      <c r="I184" s="1328"/>
      <c r="J184" s="1328"/>
      <c r="K184" s="1328"/>
      <c r="L184" s="1328"/>
      <c r="M184" s="1328"/>
      <c r="N184" s="1328"/>
      <c r="O184" s="1328"/>
      <c r="P184" s="1328"/>
      <c r="Q184" s="1328"/>
      <c r="R184" s="1328"/>
      <c r="S184" s="1328"/>
      <c r="T184" s="1328"/>
      <c r="U184" s="1328"/>
      <c r="V184" s="1328"/>
      <c r="W184" s="1328"/>
      <c r="X184" s="1328"/>
      <c r="Y184" s="1328"/>
      <c r="Z184" s="1328"/>
      <c r="AA184" s="1328"/>
    </row>
    <row r="185" spans="2:27" ht="17.25" customHeight="1" outlineLevel="1" x14ac:dyDescent="0.25">
      <c r="B185" s="576" t="s">
        <v>127</v>
      </c>
      <c r="C185" s="38"/>
      <c r="D185" s="38"/>
      <c r="E185" s="211"/>
      <c r="F185" s="211" t="s">
        <v>631</v>
      </c>
      <c r="G185" s="1328"/>
      <c r="H185" s="1328">
        <f>-(H283+H304+H325)</f>
        <v>-2170833.8591381256</v>
      </c>
      <c r="I185" s="1328">
        <f t="shared" ref="I185:AA185" si="52">-(I283+I304+I325)</f>
        <v>-2281284.4354334194</v>
      </c>
      <c r="J185" s="1328">
        <f t="shared" si="52"/>
        <v>-2397481.3194249645</v>
      </c>
      <c r="K185" s="1328">
        <f t="shared" si="52"/>
        <v>-2519729.0690782829</v>
      </c>
      <c r="L185" s="1328">
        <f t="shared" si="52"/>
        <v>-2648348.626288454</v>
      </c>
      <c r="M185" s="1328">
        <f t="shared" si="52"/>
        <v>-2783678.2085451614</v>
      </c>
      <c r="N185" s="1328">
        <f t="shared" si="52"/>
        <v>-2926074.2495548157</v>
      </c>
      <c r="O185" s="1328">
        <f t="shared" si="52"/>
        <v>-3075912.3915255284</v>
      </c>
      <c r="P185" s="1328">
        <f t="shared" si="52"/>
        <v>-3233588.5319709657</v>
      </c>
      <c r="Q185" s="1328">
        <f t="shared" si="52"/>
        <v>-3399519.9280477776</v>
      </c>
      <c r="R185" s="1328">
        <f t="shared" si="52"/>
        <v>-3574146.3616087735</v>
      </c>
      <c r="S185" s="1328">
        <f t="shared" si="52"/>
        <v>-1103432.7582389058</v>
      </c>
      <c r="T185" s="1328">
        <f t="shared" si="52"/>
        <v>-1147570.068568462</v>
      </c>
      <c r="U185" s="1328">
        <f t="shared" si="52"/>
        <v>-1193472.8713112005</v>
      </c>
      <c r="V185" s="1328">
        <f t="shared" si="52"/>
        <v>-1241211.7861636486</v>
      </c>
      <c r="W185" s="1328">
        <f t="shared" si="52"/>
        <v>-1290860.2576101946</v>
      </c>
      <c r="X185" s="1328">
        <f t="shared" si="52"/>
        <v>-1342494.6679146022</v>
      </c>
      <c r="Y185" s="1328">
        <f t="shared" si="52"/>
        <v>-1396194.4546311866</v>
      </c>
      <c r="Z185" s="1328">
        <f t="shared" si="52"/>
        <v>-1452042.232816434</v>
      </c>
      <c r="AA185" s="1328">
        <f t="shared" si="52"/>
        <v>-1510123.9221290913</v>
      </c>
    </row>
    <row r="186" spans="2:27" ht="17.25" customHeight="1" outlineLevel="1" x14ac:dyDescent="0.25">
      <c r="B186" s="584" t="s">
        <v>128</v>
      </c>
      <c r="C186" s="39"/>
      <c r="D186" s="39"/>
      <c r="E186" s="213"/>
      <c r="F186" s="213" t="s">
        <v>631</v>
      </c>
      <c r="G186" s="1332"/>
      <c r="H186" s="1332"/>
      <c r="I186" s="1332"/>
      <c r="J186" s="1332"/>
      <c r="K186" s="1332"/>
      <c r="L186" s="1332"/>
      <c r="M186" s="1332"/>
      <c r="N186" s="1332"/>
      <c r="O186" s="1332"/>
      <c r="P186" s="1332"/>
      <c r="Q186" s="1332"/>
      <c r="R186" s="1332"/>
      <c r="S186" s="1332"/>
      <c r="T186" s="1332"/>
      <c r="U186" s="1332"/>
      <c r="V186" s="1332"/>
      <c r="W186" s="1332"/>
      <c r="X186" s="1332"/>
      <c r="Y186" s="1332"/>
      <c r="Z186" s="1332"/>
      <c r="AA186" s="1332"/>
    </row>
    <row r="187" spans="2:27" ht="17.25" customHeight="1" outlineLevel="1" x14ac:dyDescent="0.25">
      <c r="B187" s="576" t="s">
        <v>129</v>
      </c>
      <c r="C187" s="38"/>
      <c r="D187" s="38"/>
      <c r="E187" s="211"/>
      <c r="F187" s="211" t="s">
        <v>631</v>
      </c>
      <c r="G187" s="1328">
        <f>G177</f>
        <v>-16192000</v>
      </c>
      <c r="H187" s="1328">
        <f>H180+H181+H185</f>
        <v>1974306.1653916603</v>
      </c>
      <c r="I187" s="1328">
        <f t="shared" ref="I187:AA187" si="53">I180+I181+I185</f>
        <v>1941170.9925030721</v>
      </c>
      <c r="J187" s="1328">
        <f t="shared" si="53"/>
        <v>1906311.927305609</v>
      </c>
      <c r="K187" s="1328">
        <f t="shared" si="53"/>
        <v>1869637.6024096138</v>
      </c>
      <c r="L187" s="1328">
        <f t="shared" si="53"/>
        <v>1831051.7352465624</v>
      </c>
      <c r="M187" s="1328">
        <f t="shared" si="53"/>
        <v>1790452.8605695497</v>
      </c>
      <c r="N187" s="1328">
        <f t="shared" si="53"/>
        <v>1747734.048266653</v>
      </c>
      <c r="O187" s="1328">
        <f t="shared" si="53"/>
        <v>1702782.6056754394</v>
      </c>
      <c r="P187" s="1328">
        <f t="shared" si="53"/>
        <v>1655479.7635418074</v>
      </c>
      <c r="Q187" s="1328">
        <f t="shared" si="53"/>
        <v>1605700.3447187641</v>
      </c>
      <c r="R187" s="1328">
        <f t="shared" si="53"/>
        <v>1553312.4146504654</v>
      </c>
      <c r="S187" s="1328">
        <f t="shared" si="53"/>
        <v>4152675.5227257833</v>
      </c>
      <c r="T187" s="1328">
        <f t="shared" si="53"/>
        <v>4139434.3296269164</v>
      </c>
      <c r="U187" s="1328">
        <f t="shared" si="53"/>
        <v>4125663.4888040954</v>
      </c>
      <c r="V187" s="1328">
        <f t="shared" si="53"/>
        <v>4111341.8143483605</v>
      </c>
      <c r="W187" s="1328">
        <f t="shared" si="53"/>
        <v>4096447.2729143975</v>
      </c>
      <c r="X187" s="1328">
        <f t="shared" si="53"/>
        <v>4080956.949823075</v>
      </c>
      <c r="Y187" s="1328">
        <f t="shared" si="53"/>
        <v>4064847.0138081</v>
      </c>
      <c r="Z187" s="1328">
        <f t="shared" si="53"/>
        <v>4048092.6803525253</v>
      </c>
      <c r="AA187" s="1328">
        <f t="shared" si="53"/>
        <v>4030668.1735587283</v>
      </c>
    </row>
    <row r="188" spans="2:27" ht="7.5" customHeight="1" outlineLevel="1" x14ac:dyDescent="0.25">
      <c r="B188" s="576"/>
      <c r="C188" s="38"/>
      <c r="D188" s="38"/>
      <c r="E188" s="211"/>
      <c r="F188" s="211"/>
      <c r="G188" s="1328"/>
      <c r="H188" s="1328"/>
      <c r="I188" s="1328"/>
      <c r="J188" s="1328"/>
      <c r="K188" s="1328"/>
      <c r="L188" s="1328"/>
      <c r="M188" s="1328"/>
      <c r="N188" s="1328"/>
      <c r="O188" s="1328"/>
      <c r="P188" s="1328"/>
      <c r="Q188" s="1328"/>
      <c r="R188" s="1328"/>
      <c r="S188" s="1328"/>
      <c r="T188" s="1328"/>
      <c r="U188" s="1328"/>
      <c r="V188" s="1328"/>
      <c r="W188" s="1328"/>
      <c r="X188" s="1328"/>
      <c r="Y188" s="1328"/>
      <c r="Z188" s="1328"/>
      <c r="AA188" s="1328"/>
    </row>
    <row r="189" spans="2:27" ht="17.25" customHeight="1" outlineLevel="1" x14ac:dyDescent="0.25">
      <c r="B189" s="576" t="s">
        <v>130</v>
      </c>
      <c r="C189" s="38"/>
      <c r="D189" s="38"/>
      <c r="E189" s="38"/>
      <c r="F189" s="38"/>
      <c r="G189" s="1328">
        <f>NPV($G$136,G187:AA187)</f>
        <v>-3.9752114897174018E-9</v>
      </c>
      <c r="H189" s="1328"/>
      <c r="I189" s="1328"/>
      <c r="J189" s="1328"/>
      <c r="K189" s="1328"/>
      <c r="L189" s="1328"/>
      <c r="M189" s="1328"/>
      <c r="N189" s="1328"/>
      <c r="O189" s="1328"/>
      <c r="P189" s="1328"/>
      <c r="Q189" s="1328"/>
      <c r="R189" s="1328"/>
      <c r="S189" s="1328"/>
      <c r="T189" s="1328"/>
      <c r="U189" s="1328"/>
      <c r="V189" s="1328"/>
      <c r="W189" s="1328"/>
      <c r="X189" s="1328"/>
      <c r="Y189" s="1328"/>
      <c r="Z189" s="1328"/>
      <c r="AA189" s="1328"/>
    </row>
    <row r="190" spans="2:27" ht="5.25" customHeight="1" outlineLevel="1" thickBot="1" x14ac:dyDescent="0.3">
      <c r="B190" s="599"/>
      <c r="C190" s="592"/>
      <c r="D190" s="592"/>
      <c r="E190" s="592"/>
      <c r="F190" s="592"/>
      <c r="G190" s="592"/>
      <c r="H190" s="592"/>
      <c r="I190" s="592"/>
      <c r="J190" s="592"/>
      <c r="K190" s="592"/>
      <c r="L190" s="592"/>
      <c r="M190" s="592"/>
      <c r="N190" s="592"/>
      <c r="O190" s="592"/>
      <c r="P190" s="592"/>
      <c r="Q190" s="592"/>
      <c r="R190" s="592"/>
      <c r="S190" s="592"/>
      <c r="T190" s="592"/>
      <c r="U190" s="592"/>
      <c r="V190" s="592"/>
      <c r="W190" s="592"/>
      <c r="X190" s="592"/>
      <c r="Y190" s="592"/>
      <c r="Z190" s="592"/>
      <c r="AA190" s="592"/>
    </row>
    <row r="191" spans="2:27" x14ac:dyDescent="0.25"/>
    <row r="192" spans="2:27" x14ac:dyDescent="0.25"/>
    <row r="193" spans="1:27" x14ac:dyDescent="0.25"/>
    <row r="194" spans="1:27" s="8" customFormat="1" ht="12.75" customHeight="1" x14ac:dyDescent="0.25">
      <c r="A194" s="44" t="s">
        <v>263</v>
      </c>
      <c r="B194" s="44"/>
      <c r="C194" s="44"/>
      <c r="D194" s="44"/>
      <c r="E194" s="44"/>
      <c r="F194" s="44"/>
      <c r="G194" s="44"/>
      <c r="H194" s="44"/>
      <c r="I194" s="44"/>
      <c r="J194" s="45"/>
      <c r="K194" s="46"/>
      <c r="L194" s="46"/>
      <c r="M194" s="46"/>
      <c r="N194" s="46"/>
      <c r="O194" s="46"/>
      <c r="P194" s="46"/>
      <c r="Q194" s="46"/>
      <c r="R194" s="46"/>
      <c r="S194" s="46"/>
      <c r="T194" s="46"/>
      <c r="U194" s="46"/>
      <c r="V194" s="46"/>
      <c r="W194" s="46"/>
      <c r="X194" s="46"/>
      <c r="Y194" s="46"/>
      <c r="Z194" s="46"/>
      <c r="AA194" s="46"/>
    </row>
    <row r="195" spans="1:27" x14ac:dyDescent="0.25"/>
    <row r="196" spans="1:27" s="36" customFormat="1" x14ac:dyDescent="0.25">
      <c r="B196" s="214" t="s">
        <v>58</v>
      </c>
      <c r="C196" s="215"/>
      <c r="D196" s="215"/>
      <c r="E196" s="216"/>
      <c r="F196" s="216"/>
      <c r="G196" s="216">
        <v>0</v>
      </c>
      <c r="H196" s="216">
        <v>1</v>
      </c>
      <c r="I196" s="216">
        <v>2</v>
      </c>
      <c r="J196" s="216">
        <v>3</v>
      </c>
      <c r="K196" s="216">
        <v>4</v>
      </c>
      <c r="L196" s="216">
        <v>5</v>
      </c>
      <c r="M196" s="216">
        <v>6</v>
      </c>
      <c r="N196" s="216">
        <v>7</v>
      </c>
      <c r="O196" s="216">
        <v>8</v>
      </c>
      <c r="P196" s="216">
        <v>9</v>
      </c>
      <c r="Q196" s="216">
        <v>10</v>
      </c>
      <c r="R196" s="216">
        <v>11</v>
      </c>
      <c r="S196" s="216">
        <v>12</v>
      </c>
      <c r="T196" s="216">
        <v>13</v>
      </c>
      <c r="U196" s="216">
        <v>14</v>
      </c>
      <c r="V196" s="216">
        <v>15</v>
      </c>
      <c r="W196" s="216">
        <v>16</v>
      </c>
      <c r="X196" s="216">
        <v>17</v>
      </c>
      <c r="Y196" s="216">
        <v>18</v>
      </c>
      <c r="Z196" s="216">
        <v>19</v>
      </c>
      <c r="AA196" s="216">
        <v>20</v>
      </c>
    </row>
    <row r="197" spans="1:27" ht="13.8" thickBot="1" x14ac:dyDescent="0.3">
      <c r="B197" s="33"/>
      <c r="C197" s="34"/>
      <c r="D197" s="34"/>
      <c r="E197" s="209"/>
      <c r="G197" s="209"/>
      <c r="H197" s="209"/>
      <c r="I197" s="209"/>
      <c r="J197" s="209"/>
      <c r="K197" s="209"/>
      <c r="L197" s="209"/>
      <c r="M197" s="209"/>
      <c r="N197" s="209"/>
      <c r="O197" s="209"/>
      <c r="P197" s="209"/>
      <c r="Q197" s="209"/>
      <c r="R197" s="209"/>
      <c r="S197" s="209"/>
      <c r="T197" s="209"/>
      <c r="U197" s="209"/>
      <c r="V197" s="209"/>
      <c r="W197" s="209"/>
      <c r="X197" s="209"/>
      <c r="Y197" s="209"/>
      <c r="Z197" s="209"/>
      <c r="AA197" s="209"/>
    </row>
    <row r="198" spans="1:27" x14ac:dyDescent="0.25">
      <c r="B198" s="538" t="s">
        <v>507</v>
      </c>
      <c r="C198" s="539"/>
      <c r="D198" s="539"/>
      <c r="E198" s="539"/>
      <c r="F198" s="539"/>
      <c r="G198" s="539"/>
      <c r="H198" s="539"/>
      <c r="I198" s="539"/>
      <c r="J198" s="539"/>
      <c r="K198" s="539"/>
      <c r="L198" s="539"/>
      <c r="M198" s="539"/>
      <c r="N198" s="539"/>
      <c r="O198" s="539"/>
      <c r="P198" s="539"/>
      <c r="Q198" s="539"/>
      <c r="R198" s="539"/>
      <c r="S198" s="539"/>
      <c r="T198" s="539"/>
      <c r="U198" s="539"/>
      <c r="V198" s="539"/>
      <c r="W198" s="539"/>
      <c r="X198" s="539"/>
      <c r="Y198" s="539"/>
      <c r="Z198" s="539"/>
      <c r="AA198" s="540"/>
    </row>
    <row r="199" spans="1:27" x14ac:dyDescent="0.25">
      <c r="B199" s="541"/>
      <c r="C199" s="542"/>
      <c r="D199" s="542"/>
      <c r="E199" s="542"/>
      <c r="F199" s="542"/>
      <c r="G199" s="542"/>
      <c r="H199" s="542"/>
      <c r="I199" s="542"/>
      <c r="J199" s="542"/>
      <c r="K199" s="542"/>
      <c r="L199" s="542"/>
      <c r="M199" s="542"/>
      <c r="N199" s="542"/>
      <c r="O199" s="542"/>
      <c r="P199" s="542"/>
      <c r="Q199" s="542"/>
      <c r="R199" s="542"/>
      <c r="S199" s="542"/>
      <c r="T199" s="542"/>
      <c r="U199" s="542"/>
      <c r="V199" s="542"/>
      <c r="W199" s="542"/>
      <c r="X199" s="542"/>
      <c r="Y199" s="542"/>
      <c r="Z199" s="542"/>
      <c r="AA199" s="543"/>
    </row>
    <row r="200" spans="1:27" x14ac:dyDescent="0.25">
      <c r="B200" s="554" t="s">
        <v>258</v>
      </c>
      <c r="C200" s="542"/>
      <c r="D200" s="542"/>
      <c r="E200" s="542"/>
      <c r="F200" s="542"/>
      <c r="G200" s="542"/>
      <c r="H200" s="542"/>
      <c r="I200" s="542"/>
      <c r="J200" s="542"/>
      <c r="K200" s="542"/>
      <c r="L200" s="542"/>
      <c r="M200" s="542"/>
      <c r="N200" s="542"/>
      <c r="O200" s="542"/>
      <c r="P200" s="542"/>
      <c r="Q200" s="542"/>
      <c r="R200" s="542"/>
      <c r="S200" s="542"/>
      <c r="T200" s="542"/>
      <c r="U200" s="542"/>
      <c r="V200" s="542"/>
      <c r="W200" s="542"/>
      <c r="X200" s="542"/>
      <c r="Y200" s="542"/>
      <c r="Z200" s="542"/>
      <c r="AA200" s="543"/>
    </row>
    <row r="201" spans="1:27" x14ac:dyDescent="0.25">
      <c r="B201" s="541"/>
      <c r="C201" s="600" t="s">
        <v>68</v>
      </c>
      <c r="D201" s="210" t="s">
        <v>631</v>
      </c>
      <c r="E201" s="542"/>
      <c r="F201" s="542"/>
      <c r="G201" s="1320">
        <f>IF('III. Inputs, Renewable Energy'!$S$30&gt;0,((('III. Inputs, Renewable Energy'!U254+('III. Inputs, Renewable Energy'!U250*'III. Inputs, Renewable Energy'!U252*'III. Inputs, Renewable Energy'!U253))*('III. Inputs, Renewable Energy'!U14/'III. Inputs, Renewable Energy'!U255))*'III. Inputs, Renewable Energy'!S28*SUM('III. Inputs, Renewable Energy'!$S$30)),0)</f>
        <v>0</v>
      </c>
      <c r="H201" s="542"/>
      <c r="I201" s="542"/>
      <c r="J201" s="542"/>
      <c r="K201" s="542"/>
      <c r="L201" s="542"/>
      <c r="M201" s="542"/>
      <c r="N201" s="542"/>
      <c r="O201" s="542"/>
      <c r="P201" s="542"/>
      <c r="Q201" s="542"/>
      <c r="R201" s="542"/>
      <c r="S201" s="542"/>
      <c r="T201" s="542"/>
      <c r="U201" s="542"/>
      <c r="V201" s="542"/>
      <c r="W201" s="542"/>
      <c r="X201" s="542"/>
      <c r="Y201" s="542"/>
      <c r="Z201" s="542"/>
      <c r="AA201" s="543"/>
    </row>
    <row r="202" spans="1:27" x14ac:dyDescent="0.25">
      <c r="B202" s="541"/>
      <c r="C202" s="600" t="s">
        <v>69</v>
      </c>
      <c r="D202" s="210" t="s">
        <v>20</v>
      </c>
      <c r="E202" s="542"/>
      <c r="F202" s="542"/>
      <c r="G202" s="601">
        <f>SUM('III. Inputs, Renewable Energy'!$S$42)</f>
        <v>0</v>
      </c>
      <c r="H202" s="542"/>
      <c r="I202" s="542"/>
      <c r="J202" s="542"/>
      <c r="K202" s="542"/>
      <c r="L202" s="542"/>
      <c r="M202" s="542"/>
      <c r="N202" s="542"/>
      <c r="O202" s="542"/>
      <c r="P202" s="542"/>
      <c r="Q202" s="542"/>
      <c r="R202" s="542"/>
      <c r="S202" s="542"/>
      <c r="T202" s="542"/>
      <c r="U202" s="542"/>
      <c r="V202" s="542"/>
      <c r="W202" s="542"/>
      <c r="X202" s="542"/>
      <c r="Y202" s="542"/>
      <c r="Z202" s="542"/>
      <c r="AA202" s="543"/>
    </row>
    <row r="203" spans="1:27" x14ac:dyDescent="0.25">
      <c r="B203" s="541"/>
      <c r="C203" s="600" t="s">
        <v>70</v>
      </c>
      <c r="D203" s="210" t="s">
        <v>16</v>
      </c>
      <c r="E203" s="542"/>
      <c r="F203" s="542"/>
      <c r="G203" s="602">
        <f>SUM('III. Inputs, Renewable Energy'!$S$37)</f>
        <v>0</v>
      </c>
      <c r="H203" s="542"/>
      <c r="I203" s="542"/>
      <c r="J203" s="542"/>
      <c r="K203" s="542"/>
      <c r="L203" s="542"/>
      <c r="M203" s="542"/>
      <c r="N203" s="542"/>
      <c r="O203" s="542"/>
      <c r="P203" s="542"/>
      <c r="Q203" s="542"/>
      <c r="R203" s="542"/>
      <c r="S203" s="542"/>
      <c r="T203" s="542"/>
      <c r="U203" s="542"/>
      <c r="V203" s="542"/>
      <c r="W203" s="542"/>
      <c r="X203" s="542"/>
      <c r="Y203" s="542"/>
      <c r="Z203" s="542"/>
      <c r="AA203" s="543"/>
    </row>
    <row r="204" spans="1:27" x14ac:dyDescent="0.25">
      <c r="B204" s="541"/>
      <c r="C204" s="542"/>
      <c r="D204" s="542"/>
      <c r="E204" s="542"/>
      <c r="F204" s="542"/>
      <c r="G204" s="542"/>
      <c r="H204" s="542"/>
      <c r="I204" s="542"/>
      <c r="J204" s="542"/>
      <c r="K204" s="542"/>
      <c r="L204" s="542"/>
      <c r="M204" s="542"/>
      <c r="N204" s="542"/>
      <c r="O204" s="542"/>
      <c r="P204" s="542"/>
      <c r="Q204" s="542"/>
      <c r="R204" s="542"/>
      <c r="S204" s="542"/>
      <c r="T204" s="542"/>
      <c r="U204" s="542"/>
      <c r="V204" s="542"/>
      <c r="W204" s="542"/>
      <c r="X204" s="542"/>
      <c r="Y204" s="542"/>
      <c r="Z204" s="542"/>
      <c r="AA204" s="543"/>
    </row>
    <row r="205" spans="1:27" x14ac:dyDescent="0.25">
      <c r="B205" s="541"/>
      <c r="C205" s="603" t="s">
        <v>67</v>
      </c>
      <c r="D205" s="542"/>
      <c r="E205" s="542"/>
      <c r="F205" s="542"/>
      <c r="G205" s="542"/>
      <c r="H205" s="542"/>
      <c r="I205" s="542"/>
      <c r="J205" s="542"/>
      <c r="K205" s="542"/>
      <c r="L205" s="542"/>
      <c r="M205" s="542"/>
      <c r="N205" s="542"/>
      <c r="O205" s="542"/>
      <c r="P205" s="542"/>
      <c r="Q205" s="542"/>
      <c r="R205" s="542"/>
      <c r="S205" s="542"/>
      <c r="T205" s="542"/>
      <c r="U205" s="542"/>
      <c r="V205" s="542"/>
      <c r="W205" s="542"/>
      <c r="X205" s="542"/>
      <c r="Y205" s="542"/>
      <c r="Z205" s="542"/>
      <c r="AA205" s="543"/>
    </row>
    <row r="206" spans="1:27" x14ac:dyDescent="0.25">
      <c r="B206" s="541"/>
      <c r="C206" s="542" t="s">
        <v>73</v>
      </c>
      <c r="D206" s="542"/>
      <c r="E206" s="542"/>
      <c r="F206" s="542"/>
      <c r="G206" s="1320"/>
      <c r="H206" s="1320">
        <f>IF($G$201=0,0,IF(H$196&gt;$G$202,0,IPMT($G$203,H$196,$G$202,-$G$201)))</f>
        <v>0</v>
      </c>
      <c r="I206" s="1320">
        <f t="shared" ref="I206:AA206" si="54">IF($G$201=0,0,IF(I$196&gt;$G$202,0,IPMT($G$203,I$196,$G$202,-$G$201)))</f>
        <v>0</v>
      </c>
      <c r="J206" s="1320">
        <f t="shared" si="54"/>
        <v>0</v>
      </c>
      <c r="K206" s="1320">
        <f t="shared" si="54"/>
        <v>0</v>
      </c>
      <c r="L206" s="1320">
        <f t="shared" si="54"/>
        <v>0</v>
      </c>
      <c r="M206" s="1320">
        <f t="shared" si="54"/>
        <v>0</v>
      </c>
      <c r="N206" s="1320">
        <f t="shared" si="54"/>
        <v>0</v>
      </c>
      <c r="O206" s="1320">
        <f t="shared" si="54"/>
        <v>0</v>
      </c>
      <c r="P206" s="1320">
        <f t="shared" si="54"/>
        <v>0</v>
      </c>
      <c r="Q206" s="1320">
        <f t="shared" si="54"/>
        <v>0</v>
      </c>
      <c r="R206" s="1320">
        <f t="shared" si="54"/>
        <v>0</v>
      </c>
      <c r="S206" s="1320">
        <f t="shared" si="54"/>
        <v>0</v>
      </c>
      <c r="T206" s="1320">
        <f t="shared" si="54"/>
        <v>0</v>
      </c>
      <c r="U206" s="1320">
        <f t="shared" si="54"/>
        <v>0</v>
      </c>
      <c r="V206" s="1320">
        <f t="shared" si="54"/>
        <v>0</v>
      </c>
      <c r="W206" s="1320">
        <f t="shared" si="54"/>
        <v>0</v>
      </c>
      <c r="X206" s="1320">
        <f t="shared" si="54"/>
        <v>0</v>
      </c>
      <c r="Y206" s="1320">
        <f t="shared" si="54"/>
        <v>0</v>
      </c>
      <c r="Z206" s="1320">
        <f t="shared" si="54"/>
        <v>0</v>
      </c>
      <c r="AA206" s="1323">
        <f t="shared" si="54"/>
        <v>0</v>
      </c>
    </row>
    <row r="207" spans="1:27" x14ac:dyDescent="0.25">
      <c r="B207" s="541"/>
      <c r="C207" s="552" t="s">
        <v>72</v>
      </c>
      <c r="D207" s="552"/>
      <c r="E207" s="552"/>
      <c r="F207" s="552"/>
      <c r="G207" s="1324"/>
      <c r="H207" s="1324">
        <f>IF(G201=0,0, IF(H$196&gt;$G$202,0,PPMT($G$203,H$196,$G$202,-$G$201)))</f>
        <v>0</v>
      </c>
      <c r="I207" s="1324">
        <f>IF($G$201=0,0, IF(I$196&gt;$G$202,0,PPMT($G$203,I$196,$G$202,-$G$201)))</f>
        <v>0</v>
      </c>
      <c r="J207" s="1324">
        <f t="shared" ref="J207:AA207" si="55">IF($G$201=0,0, IF(J$196&gt;$G$202,0,PPMT($G$203,J$196,$G$202,-$G$201)))</f>
        <v>0</v>
      </c>
      <c r="K207" s="1324">
        <f t="shared" si="55"/>
        <v>0</v>
      </c>
      <c r="L207" s="1324">
        <f t="shared" si="55"/>
        <v>0</v>
      </c>
      <c r="M207" s="1324">
        <f t="shared" si="55"/>
        <v>0</v>
      </c>
      <c r="N207" s="1324">
        <f t="shared" si="55"/>
        <v>0</v>
      </c>
      <c r="O207" s="1324">
        <f t="shared" si="55"/>
        <v>0</v>
      </c>
      <c r="P207" s="1324">
        <f t="shared" si="55"/>
        <v>0</v>
      </c>
      <c r="Q207" s="1324">
        <f t="shared" si="55"/>
        <v>0</v>
      </c>
      <c r="R207" s="1324">
        <f t="shared" si="55"/>
        <v>0</v>
      </c>
      <c r="S207" s="1324">
        <f t="shared" si="55"/>
        <v>0</v>
      </c>
      <c r="T207" s="1324">
        <f t="shared" si="55"/>
        <v>0</v>
      </c>
      <c r="U207" s="1324">
        <f t="shared" si="55"/>
        <v>0</v>
      </c>
      <c r="V207" s="1324">
        <f t="shared" si="55"/>
        <v>0</v>
      </c>
      <c r="W207" s="1324">
        <f t="shared" si="55"/>
        <v>0</v>
      </c>
      <c r="X207" s="1324">
        <f t="shared" si="55"/>
        <v>0</v>
      </c>
      <c r="Y207" s="1324">
        <f t="shared" si="55"/>
        <v>0</v>
      </c>
      <c r="Z207" s="1324">
        <f t="shared" si="55"/>
        <v>0</v>
      </c>
      <c r="AA207" s="1325">
        <f t="shared" si="55"/>
        <v>0</v>
      </c>
    </row>
    <row r="208" spans="1:27" x14ac:dyDescent="0.25">
      <c r="B208" s="541"/>
      <c r="C208" s="542" t="s">
        <v>74</v>
      </c>
      <c r="D208" s="542"/>
      <c r="E208" s="542"/>
      <c r="F208" s="542"/>
      <c r="G208" s="1320"/>
      <c r="H208" s="1320">
        <f>SUM(H206:H207)</f>
        <v>0</v>
      </c>
      <c r="I208" s="1320">
        <f t="shared" ref="I208:AA208" si="56">SUM(I206:I207)</f>
        <v>0</v>
      </c>
      <c r="J208" s="1320">
        <f t="shared" si="56"/>
        <v>0</v>
      </c>
      <c r="K208" s="1320">
        <f t="shared" si="56"/>
        <v>0</v>
      </c>
      <c r="L208" s="1320">
        <f t="shared" si="56"/>
        <v>0</v>
      </c>
      <c r="M208" s="1320">
        <f t="shared" si="56"/>
        <v>0</v>
      </c>
      <c r="N208" s="1320">
        <f t="shared" si="56"/>
        <v>0</v>
      </c>
      <c r="O208" s="1320">
        <f t="shared" si="56"/>
        <v>0</v>
      </c>
      <c r="P208" s="1320">
        <f t="shared" si="56"/>
        <v>0</v>
      </c>
      <c r="Q208" s="1320">
        <f t="shared" si="56"/>
        <v>0</v>
      </c>
      <c r="R208" s="1320">
        <f t="shared" si="56"/>
        <v>0</v>
      </c>
      <c r="S208" s="1320">
        <f t="shared" si="56"/>
        <v>0</v>
      </c>
      <c r="T208" s="1320">
        <f t="shared" si="56"/>
        <v>0</v>
      </c>
      <c r="U208" s="1320">
        <f t="shared" si="56"/>
        <v>0</v>
      </c>
      <c r="V208" s="1320">
        <f t="shared" si="56"/>
        <v>0</v>
      </c>
      <c r="W208" s="1320">
        <f t="shared" si="56"/>
        <v>0</v>
      </c>
      <c r="X208" s="1320">
        <f t="shared" si="56"/>
        <v>0</v>
      </c>
      <c r="Y208" s="1320">
        <f t="shared" si="56"/>
        <v>0</v>
      </c>
      <c r="Z208" s="1320">
        <f t="shared" si="56"/>
        <v>0</v>
      </c>
      <c r="AA208" s="1323">
        <f t="shared" si="56"/>
        <v>0</v>
      </c>
    </row>
    <row r="209" spans="2:27" x14ac:dyDescent="0.25">
      <c r="B209" s="541"/>
      <c r="C209" s="542"/>
      <c r="D209" s="542"/>
      <c r="E209" s="542"/>
      <c r="F209" s="542"/>
      <c r="G209" s="1320"/>
      <c r="H209" s="1320"/>
      <c r="I209" s="1320"/>
      <c r="J209" s="1320"/>
      <c r="K209" s="1320"/>
      <c r="L209" s="1320"/>
      <c r="M209" s="1320"/>
      <c r="N209" s="1320"/>
      <c r="O209" s="1320"/>
      <c r="P209" s="1320"/>
      <c r="Q209" s="1320"/>
      <c r="R209" s="1320"/>
      <c r="S209" s="1320"/>
      <c r="T209" s="1320"/>
      <c r="U209" s="1320"/>
      <c r="V209" s="1320"/>
      <c r="W209" s="1320"/>
      <c r="X209" s="1320"/>
      <c r="Y209" s="1320"/>
      <c r="Z209" s="1320"/>
      <c r="AA209" s="1323"/>
    </row>
    <row r="210" spans="2:27" x14ac:dyDescent="0.25">
      <c r="B210" s="541"/>
      <c r="C210" s="604" t="s">
        <v>65</v>
      </c>
      <c r="D210" s="542"/>
      <c r="E210" s="542"/>
      <c r="F210" s="542"/>
      <c r="G210" s="1320"/>
      <c r="H210" s="1320"/>
      <c r="I210" s="1320"/>
      <c r="J210" s="1320"/>
      <c r="K210" s="1320"/>
      <c r="L210" s="1320"/>
      <c r="M210" s="1320"/>
      <c r="N210" s="1320"/>
      <c r="O210" s="1320"/>
      <c r="P210" s="1320"/>
      <c r="Q210" s="1320"/>
      <c r="R210" s="1320"/>
      <c r="S210" s="1320"/>
      <c r="T210" s="1320"/>
      <c r="U210" s="1320"/>
      <c r="V210" s="1320"/>
      <c r="W210" s="1320"/>
      <c r="X210" s="1320"/>
      <c r="Y210" s="1320"/>
      <c r="Z210" s="1320"/>
      <c r="AA210" s="1323"/>
    </row>
    <row r="211" spans="2:27" x14ac:dyDescent="0.25">
      <c r="B211" s="541"/>
      <c r="C211" s="542" t="s">
        <v>75</v>
      </c>
      <c r="D211" s="542"/>
      <c r="E211" s="542"/>
      <c r="F211" s="542"/>
      <c r="G211" s="1320">
        <v>0</v>
      </c>
      <c r="H211" s="1320">
        <f t="shared" ref="H211:AA211" si="57">G214</f>
        <v>0</v>
      </c>
      <c r="I211" s="1320">
        <f t="shared" si="57"/>
        <v>0</v>
      </c>
      <c r="J211" s="1320">
        <f t="shared" si="57"/>
        <v>0</v>
      </c>
      <c r="K211" s="1320">
        <f t="shared" si="57"/>
        <v>0</v>
      </c>
      <c r="L211" s="1320">
        <f t="shared" si="57"/>
        <v>0</v>
      </c>
      <c r="M211" s="1320">
        <f t="shared" si="57"/>
        <v>0</v>
      </c>
      <c r="N211" s="1320">
        <f t="shared" si="57"/>
        <v>0</v>
      </c>
      <c r="O211" s="1320">
        <f t="shared" si="57"/>
        <v>0</v>
      </c>
      <c r="P211" s="1320">
        <f t="shared" si="57"/>
        <v>0</v>
      </c>
      <c r="Q211" s="1320">
        <f t="shared" si="57"/>
        <v>0</v>
      </c>
      <c r="R211" s="1320">
        <f t="shared" si="57"/>
        <v>0</v>
      </c>
      <c r="S211" s="1320">
        <f t="shared" si="57"/>
        <v>0</v>
      </c>
      <c r="T211" s="1320">
        <f t="shared" si="57"/>
        <v>0</v>
      </c>
      <c r="U211" s="1320">
        <f t="shared" si="57"/>
        <v>0</v>
      </c>
      <c r="V211" s="1320">
        <f t="shared" si="57"/>
        <v>0</v>
      </c>
      <c r="W211" s="1320">
        <f t="shared" si="57"/>
        <v>0</v>
      </c>
      <c r="X211" s="1320">
        <f t="shared" si="57"/>
        <v>0</v>
      </c>
      <c r="Y211" s="1320">
        <f t="shared" si="57"/>
        <v>0</v>
      </c>
      <c r="Z211" s="1320">
        <f t="shared" si="57"/>
        <v>0</v>
      </c>
      <c r="AA211" s="1323">
        <f t="shared" si="57"/>
        <v>0</v>
      </c>
    </row>
    <row r="212" spans="2:27" x14ac:dyDescent="0.25">
      <c r="B212" s="541"/>
      <c r="C212" s="542" t="s">
        <v>76</v>
      </c>
      <c r="D212" s="542"/>
      <c r="E212" s="542"/>
      <c r="F212" s="542"/>
      <c r="G212" s="1320">
        <f>G201</f>
        <v>0</v>
      </c>
      <c r="H212" s="1320">
        <v>0</v>
      </c>
      <c r="I212" s="1320">
        <v>0</v>
      </c>
      <c r="J212" s="1320">
        <v>0</v>
      </c>
      <c r="K212" s="1320">
        <v>0</v>
      </c>
      <c r="L212" s="1320">
        <v>0</v>
      </c>
      <c r="M212" s="1320">
        <v>0</v>
      </c>
      <c r="N212" s="1320">
        <v>0</v>
      </c>
      <c r="O212" s="1320">
        <v>0</v>
      </c>
      <c r="P212" s="1320">
        <v>0</v>
      </c>
      <c r="Q212" s="1320">
        <v>0</v>
      </c>
      <c r="R212" s="1320">
        <v>0</v>
      </c>
      <c r="S212" s="1320">
        <v>0</v>
      </c>
      <c r="T212" s="1320">
        <v>0</v>
      </c>
      <c r="U212" s="1320">
        <v>0</v>
      </c>
      <c r="V212" s="1320">
        <v>0</v>
      </c>
      <c r="W212" s="1320">
        <v>0</v>
      </c>
      <c r="X212" s="1320">
        <v>0</v>
      </c>
      <c r="Y212" s="1320">
        <v>0</v>
      </c>
      <c r="Z212" s="1320">
        <v>0</v>
      </c>
      <c r="AA212" s="1323">
        <v>0</v>
      </c>
    </row>
    <row r="213" spans="2:27" x14ac:dyDescent="0.25">
      <c r="B213" s="541"/>
      <c r="C213" s="552" t="s">
        <v>77</v>
      </c>
      <c r="D213" s="552"/>
      <c r="E213" s="552"/>
      <c r="F213" s="552"/>
      <c r="G213" s="1324">
        <v>0</v>
      </c>
      <c r="H213" s="1324">
        <f t="shared" ref="H213:AA213" si="58">-H207</f>
        <v>0</v>
      </c>
      <c r="I213" s="1324">
        <f t="shared" si="58"/>
        <v>0</v>
      </c>
      <c r="J213" s="1324">
        <f t="shared" si="58"/>
        <v>0</v>
      </c>
      <c r="K213" s="1324">
        <f t="shared" si="58"/>
        <v>0</v>
      </c>
      <c r="L213" s="1324">
        <f t="shared" si="58"/>
        <v>0</v>
      </c>
      <c r="M213" s="1324">
        <f t="shared" si="58"/>
        <v>0</v>
      </c>
      <c r="N213" s="1324">
        <f t="shared" si="58"/>
        <v>0</v>
      </c>
      <c r="O213" s="1324">
        <f t="shared" si="58"/>
        <v>0</v>
      </c>
      <c r="P213" s="1324">
        <f t="shared" si="58"/>
        <v>0</v>
      </c>
      <c r="Q213" s="1324">
        <f t="shared" si="58"/>
        <v>0</v>
      </c>
      <c r="R213" s="1324">
        <f t="shared" si="58"/>
        <v>0</v>
      </c>
      <c r="S213" s="1324">
        <f t="shared" si="58"/>
        <v>0</v>
      </c>
      <c r="T213" s="1324">
        <f t="shared" si="58"/>
        <v>0</v>
      </c>
      <c r="U213" s="1324">
        <f t="shared" si="58"/>
        <v>0</v>
      </c>
      <c r="V213" s="1324">
        <f t="shared" si="58"/>
        <v>0</v>
      </c>
      <c r="W213" s="1324">
        <f t="shared" si="58"/>
        <v>0</v>
      </c>
      <c r="X213" s="1324">
        <f t="shared" si="58"/>
        <v>0</v>
      </c>
      <c r="Y213" s="1324">
        <f t="shared" si="58"/>
        <v>0</v>
      </c>
      <c r="Z213" s="1324">
        <f t="shared" si="58"/>
        <v>0</v>
      </c>
      <c r="AA213" s="1325">
        <f t="shared" si="58"/>
        <v>0</v>
      </c>
    </row>
    <row r="214" spans="2:27" x14ac:dyDescent="0.25">
      <c r="B214" s="541"/>
      <c r="C214" s="542" t="s">
        <v>66</v>
      </c>
      <c r="D214" s="542"/>
      <c r="E214" s="542"/>
      <c r="F214" s="542"/>
      <c r="G214" s="1320">
        <f t="shared" ref="G214:AA214" si="59">SUM(G211:G213)</f>
        <v>0</v>
      </c>
      <c r="H214" s="1320">
        <f t="shared" si="59"/>
        <v>0</v>
      </c>
      <c r="I214" s="1320">
        <f t="shared" si="59"/>
        <v>0</v>
      </c>
      <c r="J214" s="1320">
        <f t="shared" si="59"/>
        <v>0</v>
      </c>
      <c r="K214" s="1320">
        <f t="shared" si="59"/>
        <v>0</v>
      </c>
      <c r="L214" s="1320">
        <f t="shared" si="59"/>
        <v>0</v>
      </c>
      <c r="M214" s="1320">
        <f t="shared" si="59"/>
        <v>0</v>
      </c>
      <c r="N214" s="1320">
        <f t="shared" si="59"/>
        <v>0</v>
      </c>
      <c r="O214" s="1320">
        <f t="shared" si="59"/>
        <v>0</v>
      </c>
      <c r="P214" s="1320">
        <f t="shared" si="59"/>
        <v>0</v>
      </c>
      <c r="Q214" s="1320">
        <f t="shared" si="59"/>
        <v>0</v>
      </c>
      <c r="R214" s="1320">
        <f t="shared" si="59"/>
        <v>0</v>
      </c>
      <c r="S214" s="1320">
        <f t="shared" si="59"/>
        <v>0</v>
      </c>
      <c r="T214" s="1320">
        <f t="shared" si="59"/>
        <v>0</v>
      </c>
      <c r="U214" s="1320">
        <f t="shared" si="59"/>
        <v>0</v>
      </c>
      <c r="V214" s="1320">
        <f t="shared" si="59"/>
        <v>0</v>
      </c>
      <c r="W214" s="1320">
        <f t="shared" si="59"/>
        <v>0</v>
      </c>
      <c r="X214" s="1320">
        <f t="shared" si="59"/>
        <v>0</v>
      </c>
      <c r="Y214" s="1320">
        <f t="shared" si="59"/>
        <v>0</v>
      </c>
      <c r="Z214" s="1320">
        <f t="shared" si="59"/>
        <v>0</v>
      </c>
      <c r="AA214" s="1323">
        <f t="shared" si="59"/>
        <v>0</v>
      </c>
    </row>
    <row r="215" spans="2:27" x14ac:dyDescent="0.25">
      <c r="B215" s="541"/>
      <c r="C215" s="542"/>
      <c r="D215" s="542"/>
      <c r="E215" s="542"/>
      <c r="F215" s="542"/>
      <c r="G215" s="1320"/>
      <c r="H215" s="1320"/>
      <c r="I215" s="1320"/>
      <c r="J215" s="1320"/>
      <c r="K215" s="1320"/>
      <c r="L215" s="1320"/>
      <c r="M215" s="1320"/>
      <c r="N215" s="1320"/>
      <c r="O215" s="1320"/>
      <c r="P215" s="1320"/>
      <c r="Q215" s="1320"/>
      <c r="R215" s="1320"/>
      <c r="S215" s="1320"/>
      <c r="T215" s="1320"/>
      <c r="U215" s="1320"/>
      <c r="V215" s="1320"/>
      <c r="W215" s="1320"/>
      <c r="X215" s="1320"/>
      <c r="Y215" s="1320"/>
      <c r="Z215" s="1320"/>
      <c r="AA215" s="1323"/>
    </row>
    <row r="216" spans="2:27" x14ac:dyDescent="0.25">
      <c r="B216" s="541"/>
      <c r="C216" s="604" t="s">
        <v>71</v>
      </c>
      <c r="D216" s="542"/>
      <c r="E216" s="542"/>
      <c r="F216" s="542"/>
      <c r="G216" s="1320"/>
      <c r="H216" s="1320"/>
      <c r="I216" s="1320"/>
      <c r="J216" s="1320"/>
      <c r="K216" s="1320"/>
      <c r="L216" s="1320"/>
      <c r="M216" s="1320"/>
      <c r="N216" s="1320"/>
      <c r="O216" s="1320"/>
      <c r="P216" s="1320"/>
      <c r="Q216" s="1320"/>
      <c r="R216" s="1320"/>
      <c r="S216" s="1320"/>
      <c r="T216" s="1320"/>
      <c r="U216" s="1320"/>
      <c r="V216" s="1320"/>
      <c r="W216" s="1320"/>
      <c r="X216" s="1320"/>
      <c r="Y216" s="1320"/>
      <c r="Z216" s="1320"/>
      <c r="AA216" s="1323"/>
    </row>
    <row r="217" spans="2:27" x14ac:dyDescent="0.25">
      <c r="B217" s="541"/>
      <c r="C217" s="542" t="str">
        <f>'II. Inputs, Baseline Energy Mix'!E70</f>
        <v>Front-end Fee</v>
      </c>
      <c r="D217" s="542"/>
      <c r="E217" s="542"/>
      <c r="F217" s="542"/>
      <c r="G217" s="1320"/>
      <c r="H217" s="1320">
        <f>IF($G$201&gt;0, $G$201*'III. Inputs, Renewable Energy'!$S$47/10000,0)</f>
        <v>0</v>
      </c>
      <c r="I217" s="1336">
        <v>0</v>
      </c>
      <c r="J217" s="1336">
        <v>0</v>
      </c>
      <c r="K217" s="1336">
        <v>0</v>
      </c>
      <c r="L217" s="1336">
        <v>0</v>
      </c>
      <c r="M217" s="1336">
        <v>0</v>
      </c>
      <c r="N217" s="1336">
        <v>0</v>
      </c>
      <c r="O217" s="1336">
        <v>0</v>
      </c>
      <c r="P217" s="1336">
        <v>0</v>
      </c>
      <c r="Q217" s="1336">
        <v>0</v>
      </c>
      <c r="R217" s="1336">
        <v>0</v>
      </c>
      <c r="S217" s="1336">
        <v>0</v>
      </c>
      <c r="T217" s="1336">
        <v>0</v>
      </c>
      <c r="U217" s="1336">
        <v>0</v>
      </c>
      <c r="V217" s="1336">
        <v>0</v>
      </c>
      <c r="W217" s="1336">
        <v>0</v>
      </c>
      <c r="X217" s="1336">
        <v>0</v>
      </c>
      <c r="Y217" s="1336">
        <v>0</v>
      </c>
      <c r="Z217" s="1336">
        <v>0</v>
      </c>
      <c r="AA217" s="1337">
        <v>0</v>
      </c>
    </row>
    <row r="218" spans="2:27" x14ac:dyDescent="0.25">
      <c r="B218" s="541"/>
      <c r="C218" s="542"/>
      <c r="D218" s="542"/>
      <c r="E218" s="542"/>
      <c r="F218" s="542"/>
      <c r="G218" s="542"/>
      <c r="H218" s="542"/>
      <c r="I218" s="542"/>
      <c r="J218" s="542"/>
      <c r="K218" s="542"/>
      <c r="L218" s="542"/>
      <c r="M218" s="542"/>
      <c r="N218" s="542"/>
      <c r="O218" s="542"/>
      <c r="P218" s="542"/>
      <c r="Q218" s="542"/>
      <c r="R218" s="542"/>
      <c r="S218" s="542"/>
      <c r="T218" s="542"/>
      <c r="U218" s="542"/>
      <c r="V218" s="542"/>
      <c r="W218" s="542"/>
      <c r="X218" s="542"/>
      <c r="Y218" s="542"/>
      <c r="Z218" s="542"/>
      <c r="AA218" s="543"/>
    </row>
    <row r="219" spans="2:27" x14ac:dyDescent="0.25">
      <c r="B219" s="554" t="s">
        <v>180</v>
      </c>
      <c r="C219" s="542"/>
      <c r="D219" s="542"/>
      <c r="E219" s="542"/>
      <c r="F219" s="542"/>
      <c r="G219" s="542"/>
      <c r="H219" s="542"/>
      <c r="I219" s="542"/>
      <c r="J219" s="542"/>
      <c r="K219" s="542"/>
      <c r="L219" s="542"/>
      <c r="M219" s="542"/>
      <c r="N219" s="542"/>
      <c r="O219" s="542"/>
      <c r="P219" s="542"/>
      <c r="Q219" s="542"/>
      <c r="R219" s="542"/>
      <c r="S219" s="542"/>
      <c r="T219" s="542"/>
      <c r="U219" s="542"/>
      <c r="V219" s="542"/>
      <c r="W219" s="542"/>
      <c r="X219" s="542"/>
      <c r="Y219" s="542"/>
      <c r="Z219" s="542"/>
      <c r="AA219" s="543"/>
    </row>
    <row r="220" spans="2:27" x14ac:dyDescent="0.25">
      <c r="B220" s="541"/>
      <c r="C220" s="600" t="s">
        <v>68</v>
      </c>
      <c r="D220" s="210" t="s">
        <v>631</v>
      </c>
      <c r="E220" s="542"/>
      <c r="F220" s="542"/>
      <c r="G220" s="1320">
        <f>IF('III. Inputs, Renewable Energy'!$S$31&gt;0,((('III. Inputs, Renewable Energy'!U254+('III. Inputs, Renewable Energy'!U250*'III. Inputs, Renewable Energy'!U252*'III. Inputs, Renewable Energy'!U253))*('III. Inputs, Renewable Energy'!U14/'III. Inputs, Renewable Energy'!U255))*'III. Inputs, Renewable Energy'!S28*SUM('III. Inputs, Renewable Energy'!$S$31)),0)</f>
        <v>0</v>
      </c>
      <c r="H220" s="542"/>
      <c r="I220" s="542"/>
      <c r="J220" s="542"/>
      <c r="K220" s="542"/>
      <c r="L220" s="542"/>
      <c r="M220" s="542"/>
      <c r="N220" s="542"/>
      <c r="O220" s="542"/>
      <c r="P220" s="542"/>
      <c r="Q220" s="542"/>
      <c r="R220" s="542"/>
      <c r="S220" s="542"/>
      <c r="T220" s="542"/>
      <c r="U220" s="542"/>
      <c r="V220" s="542"/>
      <c r="W220" s="542"/>
      <c r="X220" s="542"/>
      <c r="Y220" s="542"/>
      <c r="Z220" s="542"/>
      <c r="AA220" s="543"/>
    </row>
    <row r="221" spans="2:27" x14ac:dyDescent="0.25">
      <c r="B221" s="541"/>
      <c r="C221" s="600" t="s">
        <v>69</v>
      </c>
      <c r="D221" s="210" t="s">
        <v>20</v>
      </c>
      <c r="E221" s="542"/>
      <c r="F221" s="542"/>
      <c r="G221" s="601">
        <f>SUM('III. Inputs, Renewable Energy'!$S$43)</f>
        <v>0</v>
      </c>
      <c r="H221" s="542"/>
      <c r="I221" s="542"/>
      <c r="J221" s="542"/>
      <c r="K221" s="542"/>
      <c r="L221" s="542"/>
      <c r="M221" s="542"/>
      <c r="N221" s="542"/>
      <c r="O221" s="542"/>
      <c r="P221" s="542"/>
      <c r="Q221" s="542"/>
      <c r="R221" s="542"/>
      <c r="S221" s="542"/>
      <c r="T221" s="542"/>
      <c r="U221" s="542"/>
      <c r="V221" s="542"/>
      <c r="W221" s="542"/>
      <c r="X221" s="542"/>
      <c r="Y221" s="542"/>
      <c r="Z221" s="542"/>
      <c r="AA221" s="543"/>
    </row>
    <row r="222" spans="2:27" x14ac:dyDescent="0.25">
      <c r="B222" s="541"/>
      <c r="C222" s="600" t="s">
        <v>70</v>
      </c>
      <c r="D222" s="210" t="s">
        <v>16</v>
      </c>
      <c r="E222" s="542"/>
      <c r="F222" s="542"/>
      <c r="G222" s="602">
        <f>SUM('III. Inputs, Renewable Energy'!$S$38)</f>
        <v>0</v>
      </c>
      <c r="H222" s="542"/>
      <c r="I222" s="542"/>
      <c r="J222" s="542"/>
      <c r="K222" s="542"/>
      <c r="L222" s="542"/>
      <c r="M222" s="542"/>
      <c r="N222" s="542"/>
      <c r="O222" s="542"/>
      <c r="P222" s="542"/>
      <c r="Q222" s="542"/>
      <c r="R222" s="542"/>
      <c r="S222" s="542"/>
      <c r="T222" s="542"/>
      <c r="U222" s="542"/>
      <c r="V222" s="542"/>
      <c r="W222" s="542"/>
      <c r="X222" s="542"/>
      <c r="Y222" s="542"/>
      <c r="Z222" s="542"/>
      <c r="AA222" s="543"/>
    </row>
    <row r="223" spans="2:27" x14ac:dyDescent="0.25">
      <c r="B223" s="541"/>
      <c r="C223" s="600" t="s">
        <v>236</v>
      </c>
      <c r="D223" s="210" t="s">
        <v>16</v>
      </c>
      <c r="E223" s="542"/>
      <c r="F223" s="542"/>
      <c r="G223" s="605">
        <f>SUM('III. Inputs, Renewable Energy'!$S$183)</f>
        <v>0</v>
      </c>
      <c r="H223" s="542"/>
      <c r="I223" s="542"/>
      <c r="J223" s="542"/>
      <c r="K223" s="542"/>
      <c r="L223" s="542"/>
      <c r="M223" s="542"/>
      <c r="N223" s="542"/>
      <c r="O223" s="542"/>
      <c r="P223" s="542"/>
      <c r="Q223" s="542"/>
      <c r="R223" s="542"/>
      <c r="S223" s="542"/>
      <c r="T223" s="542"/>
      <c r="U223" s="542"/>
      <c r="V223" s="542"/>
      <c r="W223" s="542"/>
      <c r="X223" s="542"/>
      <c r="Y223" s="542"/>
      <c r="Z223" s="542"/>
      <c r="AA223" s="543"/>
    </row>
    <row r="224" spans="2:27" x14ac:dyDescent="0.25">
      <c r="B224" s="541"/>
      <c r="C224" s="600" t="s">
        <v>209</v>
      </c>
      <c r="D224" s="210" t="s">
        <v>20</v>
      </c>
      <c r="E224" s="542"/>
      <c r="F224" s="542"/>
      <c r="G224" s="556">
        <f>'III. Inputs, Renewable Energy'!$S$184</f>
        <v>0</v>
      </c>
      <c r="H224" s="542"/>
      <c r="I224" s="542"/>
      <c r="J224" s="542"/>
      <c r="K224" s="542"/>
      <c r="L224" s="542"/>
      <c r="M224" s="542"/>
      <c r="N224" s="542"/>
      <c r="O224" s="542"/>
      <c r="P224" s="542"/>
      <c r="Q224" s="542"/>
      <c r="R224" s="542"/>
      <c r="S224" s="542"/>
      <c r="T224" s="542"/>
      <c r="U224" s="542"/>
      <c r="V224" s="542"/>
      <c r="W224" s="542"/>
      <c r="X224" s="542"/>
      <c r="Y224" s="542"/>
      <c r="Z224" s="542"/>
      <c r="AA224" s="543"/>
    </row>
    <row r="225" spans="2:27" x14ac:dyDescent="0.25">
      <c r="B225" s="541"/>
      <c r="C225" s="542"/>
      <c r="D225" s="542"/>
      <c r="E225" s="542"/>
      <c r="F225" s="542"/>
      <c r="G225" s="542"/>
      <c r="H225" s="542"/>
      <c r="I225" s="542"/>
      <c r="J225" s="542"/>
      <c r="K225" s="542"/>
      <c r="L225" s="542"/>
      <c r="M225" s="542"/>
      <c r="N225" s="542"/>
      <c r="O225" s="542"/>
      <c r="P225" s="542"/>
      <c r="Q225" s="542"/>
      <c r="R225" s="542"/>
      <c r="S225" s="542"/>
      <c r="T225" s="542"/>
      <c r="U225" s="542"/>
      <c r="V225" s="542"/>
      <c r="W225" s="542"/>
      <c r="X225" s="542"/>
      <c r="Y225" s="542"/>
      <c r="Z225" s="542"/>
      <c r="AA225" s="543"/>
    </row>
    <row r="226" spans="2:27" x14ac:dyDescent="0.25">
      <c r="B226" s="541"/>
      <c r="C226" s="603" t="s">
        <v>67</v>
      </c>
      <c r="D226" s="542"/>
      <c r="E226" s="542"/>
      <c r="F226" s="542"/>
      <c r="G226" s="542"/>
      <c r="H226" s="542"/>
      <c r="I226" s="542"/>
      <c r="J226" s="542"/>
      <c r="K226" s="542"/>
      <c r="L226" s="542"/>
      <c r="M226" s="542"/>
      <c r="N226" s="542"/>
      <c r="O226" s="542"/>
      <c r="P226" s="542"/>
      <c r="Q226" s="542"/>
      <c r="R226" s="542"/>
      <c r="S226" s="542"/>
      <c r="T226" s="542"/>
      <c r="U226" s="542"/>
      <c r="V226" s="542"/>
      <c r="W226" s="542"/>
      <c r="X226" s="542"/>
      <c r="Y226" s="542"/>
      <c r="Z226" s="542"/>
      <c r="AA226" s="543"/>
    </row>
    <row r="227" spans="2:27" x14ac:dyDescent="0.25">
      <c r="B227" s="541"/>
      <c r="C227" s="542" t="s">
        <v>73</v>
      </c>
      <c r="D227" s="542"/>
      <c r="E227" s="542"/>
      <c r="F227" s="542"/>
      <c r="G227" s="1320"/>
      <c r="H227" s="1320">
        <f>IF($G$220=0,0,IF(H$196&gt;$G$221,0,IPMT($G$222,H$196,$G$221,-$G$220)))</f>
        <v>0</v>
      </c>
      <c r="I227" s="1320">
        <f t="shared" ref="I227:AA227" si="60">IF($G$220=0,0,IF(I$196&gt;$G$221,0,IPMT($G$222,I$196,$G$221,-$G$220)))</f>
        <v>0</v>
      </c>
      <c r="J227" s="1320">
        <f t="shared" si="60"/>
        <v>0</v>
      </c>
      <c r="K227" s="1320">
        <f t="shared" si="60"/>
        <v>0</v>
      </c>
      <c r="L227" s="1320">
        <f t="shared" si="60"/>
        <v>0</v>
      </c>
      <c r="M227" s="1320">
        <f t="shared" si="60"/>
        <v>0</v>
      </c>
      <c r="N227" s="1320">
        <f t="shared" si="60"/>
        <v>0</v>
      </c>
      <c r="O227" s="1320">
        <f t="shared" si="60"/>
        <v>0</v>
      </c>
      <c r="P227" s="1320">
        <f t="shared" si="60"/>
        <v>0</v>
      </c>
      <c r="Q227" s="1320">
        <f t="shared" si="60"/>
        <v>0</v>
      </c>
      <c r="R227" s="1320">
        <f t="shared" si="60"/>
        <v>0</v>
      </c>
      <c r="S227" s="1320">
        <f t="shared" si="60"/>
        <v>0</v>
      </c>
      <c r="T227" s="1320">
        <f t="shared" si="60"/>
        <v>0</v>
      </c>
      <c r="U227" s="1320">
        <f t="shared" si="60"/>
        <v>0</v>
      </c>
      <c r="V227" s="1320">
        <f t="shared" si="60"/>
        <v>0</v>
      </c>
      <c r="W227" s="1320">
        <f t="shared" si="60"/>
        <v>0</v>
      </c>
      <c r="X227" s="1320">
        <f t="shared" si="60"/>
        <v>0</v>
      </c>
      <c r="Y227" s="1320">
        <f t="shared" si="60"/>
        <v>0</v>
      </c>
      <c r="Z227" s="1320">
        <f t="shared" si="60"/>
        <v>0</v>
      </c>
      <c r="AA227" s="1323">
        <f t="shared" si="60"/>
        <v>0</v>
      </c>
    </row>
    <row r="228" spans="2:27" x14ac:dyDescent="0.25">
      <c r="B228" s="541"/>
      <c r="C228" s="552" t="s">
        <v>72</v>
      </c>
      <c r="D228" s="552"/>
      <c r="E228" s="552"/>
      <c r="F228" s="552"/>
      <c r="G228" s="1324"/>
      <c r="H228" s="1324">
        <f>IF($G$220=0,0,IF(H$196&gt;$G$221,0,PPMT($G$222,H$196,$G$221,-$G$220)))</f>
        <v>0</v>
      </c>
      <c r="I228" s="1324">
        <f t="shared" ref="I228:AA228" si="61">IF($G$220=0,0,IF(I$196&gt;$G$221,0,PPMT($G$222,I$196,$G$221,-$G$220)))</f>
        <v>0</v>
      </c>
      <c r="J228" s="1324">
        <f t="shared" si="61"/>
        <v>0</v>
      </c>
      <c r="K228" s="1324">
        <f t="shared" si="61"/>
        <v>0</v>
      </c>
      <c r="L228" s="1324">
        <f t="shared" si="61"/>
        <v>0</v>
      </c>
      <c r="M228" s="1324">
        <f t="shared" si="61"/>
        <v>0</v>
      </c>
      <c r="N228" s="1324">
        <f t="shared" si="61"/>
        <v>0</v>
      </c>
      <c r="O228" s="1324">
        <f t="shared" si="61"/>
        <v>0</v>
      </c>
      <c r="P228" s="1324">
        <f t="shared" si="61"/>
        <v>0</v>
      </c>
      <c r="Q228" s="1324">
        <f t="shared" si="61"/>
        <v>0</v>
      </c>
      <c r="R228" s="1324">
        <f t="shared" si="61"/>
        <v>0</v>
      </c>
      <c r="S228" s="1324">
        <f t="shared" si="61"/>
        <v>0</v>
      </c>
      <c r="T228" s="1324">
        <f t="shared" si="61"/>
        <v>0</v>
      </c>
      <c r="U228" s="1324">
        <f t="shared" si="61"/>
        <v>0</v>
      </c>
      <c r="V228" s="1324">
        <f t="shared" si="61"/>
        <v>0</v>
      </c>
      <c r="W228" s="1324">
        <f t="shared" si="61"/>
        <v>0</v>
      </c>
      <c r="X228" s="1324">
        <f t="shared" si="61"/>
        <v>0</v>
      </c>
      <c r="Y228" s="1324">
        <f t="shared" si="61"/>
        <v>0</v>
      </c>
      <c r="Z228" s="1324">
        <f t="shared" si="61"/>
        <v>0</v>
      </c>
      <c r="AA228" s="1325">
        <f t="shared" si="61"/>
        <v>0</v>
      </c>
    </row>
    <row r="229" spans="2:27" x14ac:dyDescent="0.25">
      <c r="B229" s="541"/>
      <c r="C229" s="542" t="s">
        <v>74</v>
      </c>
      <c r="D229" s="542"/>
      <c r="E229" s="542"/>
      <c r="F229" s="542"/>
      <c r="G229" s="1320"/>
      <c r="H229" s="1320">
        <f>SUM(H227:H228)</f>
        <v>0</v>
      </c>
      <c r="I229" s="1320">
        <f t="shared" ref="I229:AA229" si="62">SUM(I227:I228)</f>
        <v>0</v>
      </c>
      <c r="J229" s="1320">
        <f t="shared" si="62"/>
        <v>0</v>
      </c>
      <c r="K229" s="1320">
        <f t="shared" si="62"/>
        <v>0</v>
      </c>
      <c r="L229" s="1320">
        <f t="shared" si="62"/>
        <v>0</v>
      </c>
      <c r="M229" s="1320">
        <f t="shared" si="62"/>
        <v>0</v>
      </c>
      <c r="N229" s="1320">
        <f t="shared" si="62"/>
        <v>0</v>
      </c>
      <c r="O229" s="1320">
        <f t="shared" si="62"/>
        <v>0</v>
      </c>
      <c r="P229" s="1320">
        <f t="shared" si="62"/>
        <v>0</v>
      </c>
      <c r="Q229" s="1320">
        <f t="shared" si="62"/>
        <v>0</v>
      </c>
      <c r="R229" s="1320">
        <f t="shared" si="62"/>
        <v>0</v>
      </c>
      <c r="S229" s="1320">
        <f t="shared" si="62"/>
        <v>0</v>
      </c>
      <c r="T229" s="1320">
        <f t="shared" si="62"/>
        <v>0</v>
      </c>
      <c r="U229" s="1320">
        <f t="shared" si="62"/>
        <v>0</v>
      </c>
      <c r="V229" s="1320">
        <f t="shared" si="62"/>
        <v>0</v>
      </c>
      <c r="W229" s="1320">
        <f t="shared" si="62"/>
        <v>0</v>
      </c>
      <c r="X229" s="1320">
        <f t="shared" si="62"/>
        <v>0</v>
      </c>
      <c r="Y229" s="1320">
        <f t="shared" si="62"/>
        <v>0</v>
      </c>
      <c r="Z229" s="1320">
        <f t="shared" si="62"/>
        <v>0</v>
      </c>
      <c r="AA229" s="1323">
        <f t="shared" si="62"/>
        <v>0</v>
      </c>
    </row>
    <row r="230" spans="2:27" x14ac:dyDescent="0.25">
      <c r="B230" s="541"/>
      <c r="C230" s="542"/>
      <c r="D230" s="542"/>
      <c r="E230" s="542"/>
      <c r="F230" s="542"/>
      <c r="G230" s="1320"/>
      <c r="H230" s="1320"/>
      <c r="I230" s="1320"/>
      <c r="J230" s="1320"/>
      <c r="K230" s="1320"/>
      <c r="L230" s="1320"/>
      <c r="M230" s="1320"/>
      <c r="N230" s="1320"/>
      <c r="O230" s="1320"/>
      <c r="P230" s="1320"/>
      <c r="Q230" s="1320"/>
      <c r="R230" s="1320"/>
      <c r="S230" s="1320"/>
      <c r="T230" s="1320"/>
      <c r="U230" s="1320"/>
      <c r="V230" s="1320"/>
      <c r="W230" s="1320"/>
      <c r="X230" s="1320"/>
      <c r="Y230" s="1320"/>
      <c r="Z230" s="1320"/>
      <c r="AA230" s="1323"/>
    </row>
    <row r="231" spans="2:27" x14ac:dyDescent="0.25">
      <c r="B231" s="541"/>
      <c r="C231" s="604" t="s">
        <v>65</v>
      </c>
      <c r="D231" s="542"/>
      <c r="E231" s="542"/>
      <c r="F231" s="542"/>
      <c r="G231" s="1320"/>
      <c r="H231" s="1320"/>
      <c r="I231" s="1320"/>
      <c r="J231" s="1320"/>
      <c r="K231" s="1320"/>
      <c r="L231" s="1320"/>
      <c r="M231" s="1320"/>
      <c r="N231" s="1320"/>
      <c r="O231" s="1320"/>
      <c r="P231" s="1320"/>
      <c r="Q231" s="1320"/>
      <c r="R231" s="1320"/>
      <c r="S231" s="1320"/>
      <c r="T231" s="1320"/>
      <c r="U231" s="1320"/>
      <c r="V231" s="1320"/>
      <c r="W231" s="1320"/>
      <c r="X231" s="1320"/>
      <c r="Y231" s="1320"/>
      <c r="Z231" s="1320"/>
      <c r="AA231" s="1323"/>
    </row>
    <row r="232" spans="2:27" x14ac:dyDescent="0.25">
      <c r="B232" s="541"/>
      <c r="C232" s="542" t="s">
        <v>75</v>
      </c>
      <c r="D232" s="542"/>
      <c r="E232" s="542"/>
      <c r="F232" s="542"/>
      <c r="G232" s="1320">
        <v>0</v>
      </c>
      <c r="H232" s="1320">
        <f>G235</f>
        <v>0</v>
      </c>
      <c r="I232" s="1320">
        <f t="shared" ref="I232:AA232" si="63">H235</f>
        <v>0</v>
      </c>
      <c r="J232" s="1320">
        <f t="shared" si="63"/>
        <v>0</v>
      </c>
      <c r="K232" s="1320">
        <f t="shared" si="63"/>
        <v>0</v>
      </c>
      <c r="L232" s="1320">
        <f t="shared" si="63"/>
        <v>0</v>
      </c>
      <c r="M232" s="1320">
        <f t="shared" si="63"/>
        <v>0</v>
      </c>
      <c r="N232" s="1320">
        <f t="shared" si="63"/>
        <v>0</v>
      </c>
      <c r="O232" s="1320">
        <f t="shared" si="63"/>
        <v>0</v>
      </c>
      <c r="P232" s="1320">
        <f t="shared" si="63"/>
        <v>0</v>
      </c>
      <c r="Q232" s="1320">
        <f t="shared" si="63"/>
        <v>0</v>
      </c>
      <c r="R232" s="1320">
        <f t="shared" si="63"/>
        <v>0</v>
      </c>
      <c r="S232" s="1320">
        <f t="shared" si="63"/>
        <v>0</v>
      </c>
      <c r="T232" s="1320">
        <f t="shared" si="63"/>
        <v>0</v>
      </c>
      <c r="U232" s="1320">
        <f t="shared" si="63"/>
        <v>0</v>
      </c>
      <c r="V232" s="1320">
        <f t="shared" si="63"/>
        <v>0</v>
      </c>
      <c r="W232" s="1320">
        <f t="shared" si="63"/>
        <v>0</v>
      </c>
      <c r="X232" s="1320">
        <f t="shared" si="63"/>
        <v>0</v>
      </c>
      <c r="Y232" s="1320">
        <f t="shared" si="63"/>
        <v>0</v>
      </c>
      <c r="Z232" s="1320">
        <f t="shared" si="63"/>
        <v>0</v>
      </c>
      <c r="AA232" s="1323">
        <f t="shared" si="63"/>
        <v>0</v>
      </c>
    </row>
    <row r="233" spans="2:27" x14ac:dyDescent="0.25">
      <c r="B233" s="541"/>
      <c r="C233" s="542" t="s">
        <v>76</v>
      </c>
      <c r="D233" s="542"/>
      <c r="E233" s="542"/>
      <c r="F233" s="542"/>
      <c r="G233" s="1320">
        <f>G220</f>
        <v>0</v>
      </c>
      <c r="H233" s="1320">
        <v>0</v>
      </c>
      <c r="I233" s="1320">
        <v>0</v>
      </c>
      <c r="J233" s="1320">
        <v>0</v>
      </c>
      <c r="K233" s="1320">
        <v>0</v>
      </c>
      <c r="L233" s="1320">
        <v>0</v>
      </c>
      <c r="M233" s="1320">
        <v>0</v>
      </c>
      <c r="N233" s="1320">
        <v>0</v>
      </c>
      <c r="O233" s="1320">
        <v>0</v>
      </c>
      <c r="P233" s="1320">
        <v>0</v>
      </c>
      <c r="Q233" s="1320">
        <v>0</v>
      </c>
      <c r="R233" s="1320">
        <v>0</v>
      </c>
      <c r="S233" s="1320">
        <v>0</v>
      </c>
      <c r="T233" s="1320">
        <v>0</v>
      </c>
      <c r="U233" s="1320">
        <v>0</v>
      </c>
      <c r="V233" s="1320">
        <v>0</v>
      </c>
      <c r="W233" s="1320">
        <v>0</v>
      </c>
      <c r="X233" s="1320">
        <v>0</v>
      </c>
      <c r="Y233" s="1320">
        <v>0</v>
      </c>
      <c r="Z233" s="1320">
        <v>0</v>
      </c>
      <c r="AA233" s="1323">
        <v>0</v>
      </c>
    </row>
    <row r="234" spans="2:27" x14ac:dyDescent="0.25">
      <c r="B234" s="541"/>
      <c r="C234" s="552" t="s">
        <v>77</v>
      </c>
      <c r="D234" s="552"/>
      <c r="E234" s="552"/>
      <c r="F234" s="552"/>
      <c r="G234" s="1324">
        <v>0</v>
      </c>
      <c r="H234" s="1324">
        <f>-H228</f>
        <v>0</v>
      </c>
      <c r="I234" s="1324">
        <f t="shared" ref="I234:AA234" si="64">-I228</f>
        <v>0</v>
      </c>
      <c r="J234" s="1324">
        <f t="shared" si="64"/>
        <v>0</v>
      </c>
      <c r="K234" s="1324">
        <f t="shared" si="64"/>
        <v>0</v>
      </c>
      <c r="L234" s="1324">
        <f t="shared" si="64"/>
        <v>0</v>
      </c>
      <c r="M234" s="1324">
        <f t="shared" si="64"/>
        <v>0</v>
      </c>
      <c r="N234" s="1324">
        <f t="shared" si="64"/>
        <v>0</v>
      </c>
      <c r="O234" s="1324">
        <f t="shared" si="64"/>
        <v>0</v>
      </c>
      <c r="P234" s="1324">
        <f t="shared" si="64"/>
        <v>0</v>
      </c>
      <c r="Q234" s="1324">
        <f t="shared" si="64"/>
        <v>0</v>
      </c>
      <c r="R234" s="1324">
        <f t="shared" si="64"/>
        <v>0</v>
      </c>
      <c r="S234" s="1324">
        <f t="shared" si="64"/>
        <v>0</v>
      </c>
      <c r="T234" s="1324">
        <f t="shared" si="64"/>
        <v>0</v>
      </c>
      <c r="U234" s="1324">
        <f t="shared" si="64"/>
        <v>0</v>
      </c>
      <c r="V234" s="1324">
        <f t="shared" si="64"/>
        <v>0</v>
      </c>
      <c r="W234" s="1324">
        <f t="shared" si="64"/>
        <v>0</v>
      </c>
      <c r="X234" s="1324">
        <f t="shared" si="64"/>
        <v>0</v>
      </c>
      <c r="Y234" s="1324">
        <f t="shared" si="64"/>
        <v>0</v>
      </c>
      <c r="Z234" s="1324">
        <f t="shared" si="64"/>
        <v>0</v>
      </c>
      <c r="AA234" s="1325">
        <f t="shared" si="64"/>
        <v>0</v>
      </c>
    </row>
    <row r="235" spans="2:27" x14ac:dyDescent="0.25">
      <c r="B235" s="541"/>
      <c r="C235" s="542" t="s">
        <v>66</v>
      </c>
      <c r="D235" s="542"/>
      <c r="E235" s="542"/>
      <c r="F235" s="542"/>
      <c r="G235" s="1320">
        <f>SUM(G232:G234)</f>
        <v>0</v>
      </c>
      <c r="H235" s="1320">
        <f>SUM(H232:H234)</f>
        <v>0</v>
      </c>
      <c r="I235" s="1320">
        <f t="shared" ref="I235:AA235" si="65">SUM(I232:I234)</f>
        <v>0</v>
      </c>
      <c r="J235" s="1320">
        <f t="shared" si="65"/>
        <v>0</v>
      </c>
      <c r="K235" s="1320">
        <f t="shared" si="65"/>
        <v>0</v>
      </c>
      <c r="L235" s="1320">
        <f t="shared" si="65"/>
        <v>0</v>
      </c>
      <c r="M235" s="1320">
        <f t="shared" si="65"/>
        <v>0</v>
      </c>
      <c r="N235" s="1320">
        <f t="shared" si="65"/>
        <v>0</v>
      </c>
      <c r="O235" s="1320">
        <f t="shared" si="65"/>
        <v>0</v>
      </c>
      <c r="P235" s="1320">
        <f t="shared" si="65"/>
        <v>0</v>
      </c>
      <c r="Q235" s="1320">
        <f t="shared" si="65"/>
        <v>0</v>
      </c>
      <c r="R235" s="1320">
        <f t="shared" si="65"/>
        <v>0</v>
      </c>
      <c r="S235" s="1320">
        <f t="shared" si="65"/>
        <v>0</v>
      </c>
      <c r="T235" s="1320">
        <f t="shared" si="65"/>
        <v>0</v>
      </c>
      <c r="U235" s="1320">
        <f t="shared" si="65"/>
        <v>0</v>
      </c>
      <c r="V235" s="1320">
        <f t="shared" si="65"/>
        <v>0</v>
      </c>
      <c r="W235" s="1320">
        <f t="shared" si="65"/>
        <v>0</v>
      </c>
      <c r="X235" s="1320">
        <f t="shared" si="65"/>
        <v>0</v>
      </c>
      <c r="Y235" s="1320">
        <f t="shared" si="65"/>
        <v>0</v>
      </c>
      <c r="Z235" s="1320">
        <f t="shared" si="65"/>
        <v>0</v>
      </c>
      <c r="AA235" s="1323">
        <f t="shared" si="65"/>
        <v>0</v>
      </c>
    </row>
    <row r="236" spans="2:27" x14ac:dyDescent="0.25">
      <c r="B236" s="541"/>
      <c r="C236" s="542"/>
      <c r="D236" s="542"/>
      <c r="E236" s="542"/>
      <c r="F236" s="542"/>
      <c r="G236" s="1320"/>
      <c r="H236" s="1320"/>
      <c r="I236" s="1320"/>
      <c r="J236" s="1320"/>
      <c r="K236" s="1320"/>
      <c r="L236" s="1320"/>
      <c r="M236" s="1320"/>
      <c r="N236" s="1320"/>
      <c r="O236" s="1320"/>
      <c r="P236" s="1320"/>
      <c r="Q236" s="1320"/>
      <c r="R236" s="1320"/>
      <c r="S236" s="1320"/>
      <c r="T236" s="1320"/>
      <c r="U236" s="1320"/>
      <c r="V236" s="1320"/>
      <c r="W236" s="1320"/>
      <c r="X236" s="1320"/>
      <c r="Y236" s="1320"/>
      <c r="Z236" s="1320"/>
      <c r="AA236" s="1323"/>
    </row>
    <row r="237" spans="2:27" x14ac:dyDescent="0.25">
      <c r="B237" s="541"/>
      <c r="C237" s="604" t="s">
        <v>71</v>
      </c>
      <c r="D237" s="542"/>
      <c r="E237" s="542"/>
      <c r="F237" s="542"/>
      <c r="G237" s="1320"/>
      <c r="H237" s="1320"/>
      <c r="I237" s="1320"/>
      <c r="J237" s="1320"/>
      <c r="K237" s="1320"/>
      <c r="L237" s="1320"/>
      <c r="M237" s="1320"/>
      <c r="N237" s="1320"/>
      <c r="O237" s="1320"/>
      <c r="P237" s="1320"/>
      <c r="Q237" s="1320"/>
      <c r="R237" s="1320"/>
      <c r="S237" s="1320"/>
      <c r="T237" s="1320"/>
      <c r="U237" s="1320"/>
      <c r="V237" s="1320"/>
      <c r="W237" s="1320"/>
      <c r="X237" s="1320"/>
      <c r="Y237" s="1320"/>
      <c r="Z237" s="1320"/>
      <c r="AA237" s="1323"/>
    </row>
    <row r="238" spans="2:27" x14ac:dyDescent="0.25">
      <c r="B238" s="541"/>
      <c r="C238" s="542" t="s">
        <v>234</v>
      </c>
      <c r="D238" s="542"/>
      <c r="E238" s="542"/>
      <c r="F238" s="542"/>
      <c r="G238" s="1320"/>
      <c r="H238" s="1320">
        <f>IF($G$220&gt;0, $G$220*'III. Inputs, Renewable Energy'!$S$48/10000,0)</f>
        <v>0</v>
      </c>
      <c r="I238" s="1336">
        <v>0</v>
      </c>
      <c r="J238" s="1336">
        <v>0</v>
      </c>
      <c r="K238" s="1336">
        <v>0</v>
      </c>
      <c r="L238" s="1336">
        <v>0</v>
      </c>
      <c r="M238" s="1336">
        <v>0</v>
      </c>
      <c r="N238" s="1336">
        <v>0</v>
      </c>
      <c r="O238" s="1336">
        <v>0</v>
      </c>
      <c r="P238" s="1336">
        <v>0</v>
      </c>
      <c r="Q238" s="1336">
        <v>0</v>
      </c>
      <c r="R238" s="1336">
        <v>0</v>
      </c>
      <c r="S238" s="1336">
        <v>0</v>
      </c>
      <c r="T238" s="1336">
        <v>0</v>
      </c>
      <c r="U238" s="1336">
        <v>0</v>
      </c>
      <c r="V238" s="1336">
        <v>0</v>
      </c>
      <c r="W238" s="1336">
        <v>0</v>
      </c>
      <c r="X238" s="1336">
        <v>0</v>
      </c>
      <c r="Y238" s="1336">
        <v>0</v>
      </c>
      <c r="Z238" s="1336">
        <v>0</v>
      </c>
      <c r="AA238" s="1337">
        <v>0</v>
      </c>
    </row>
    <row r="239" spans="2:27" x14ac:dyDescent="0.25">
      <c r="B239" s="541"/>
      <c r="C239" s="542" t="str">
        <f>'III. Inputs, Renewable Energy'!$O$185</f>
        <v>Front-end Fee, Public Guarantee</v>
      </c>
      <c r="D239" s="542"/>
      <c r="E239" s="542"/>
      <c r="F239" s="542"/>
      <c r="G239" s="1320"/>
      <c r="H239" s="1320">
        <f>IF($G$223&gt;0, $G$220*$G$223*'III. Inputs, Renewable Energy'!$S$185/10000,0)</f>
        <v>0</v>
      </c>
      <c r="I239" s="1336">
        <v>0</v>
      </c>
      <c r="J239" s="1336">
        <v>0</v>
      </c>
      <c r="K239" s="1336">
        <v>0</v>
      </c>
      <c r="L239" s="1336">
        <v>0</v>
      </c>
      <c r="M239" s="1336">
        <v>0</v>
      </c>
      <c r="N239" s="1336">
        <v>0</v>
      </c>
      <c r="O239" s="1336">
        <v>0</v>
      </c>
      <c r="P239" s="1336">
        <v>0</v>
      </c>
      <c r="Q239" s="1336">
        <v>0</v>
      </c>
      <c r="R239" s="1336">
        <v>0</v>
      </c>
      <c r="S239" s="1336">
        <v>0</v>
      </c>
      <c r="T239" s="1336">
        <v>0</v>
      </c>
      <c r="U239" s="1336">
        <v>0</v>
      </c>
      <c r="V239" s="1336">
        <v>0</v>
      </c>
      <c r="W239" s="1336">
        <v>0</v>
      </c>
      <c r="X239" s="1336">
        <v>0</v>
      </c>
      <c r="Y239" s="1336">
        <v>0</v>
      </c>
      <c r="Z239" s="1336">
        <v>0</v>
      </c>
      <c r="AA239" s="1337">
        <v>0</v>
      </c>
    </row>
    <row r="240" spans="2:27" x14ac:dyDescent="0.25">
      <c r="B240" s="541"/>
      <c r="C240" s="542" t="str">
        <f>'III. Inputs, Renewable Energy'!$O$186</f>
        <v>Annual Guarantee Fee</v>
      </c>
      <c r="D240" s="542"/>
      <c r="E240" s="542"/>
      <c r="F240" s="542"/>
      <c r="G240" s="1320"/>
      <c r="H240" s="1320">
        <f>IF(H$196&gt;$G$224,0,((H232+H235)/2)*$G$223*'III. Inputs, Renewable Energy'!$S$186/10000)</f>
        <v>0</v>
      </c>
      <c r="I240" s="1320">
        <f>IF(I$196&gt;$G$224,0,((I232+I235)/2)*$G$223*'III. Inputs, Renewable Energy'!$S$186/10000)</f>
        <v>0</v>
      </c>
      <c r="J240" s="1320">
        <f>IF(J$196&gt;$G$224,0,((J232+J235)/2)*$G$223*'III. Inputs, Renewable Energy'!$S$186/10000)</f>
        <v>0</v>
      </c>
      <c r="K240" s="1320">
        <f>IF(K$196&gt;$G$224,0,((K232+K235)/2)*$G$223*'III. Inputs, Renewable Energy'!$S$186/10000)</f>
        <v>0</v>
      </c>
      <c r="L240" s="1320">
        <f>IF(L$196&gt;$G$224,0,((L232+L235)/2)*$G$223*'III. Inputs, Renewable Energy'!$S$186/10000)</f>
        <v>0</v>
      </c>
      <c r="M240" s="1320">
        <f>IF(M$196&gt;$G$224,0,((M232+M235)/2)*$G$223*'III. Inputs, Renewable Energy'!$S$186/10000)</f>
        <v>0</v>
      </c>
      <c r="N240" s="1320">
        <f>IF(N$196&gt;$G$224,0,((N232+N235)/2)*$G$223*'III. Inputs, Renewable Energy'!$S$186/10000)</f>
        <v>0</v>
      </c>
      <c r="O240" s="1320">
        <f>IF(O$196&gt;$G$224,0,((O232+O235)/2)*$G$223*'III. Inputs, Renewable Energy'!$S$186/10000)</f>
        <v>0</v>
      </c>
      <c r="P240" s="1320">
        <f>IF(P$196&gt;$G$224,0,((P232+P235)/2)*$G$223*'III. Inputs, Renewable Energy'!$S$186/10000)</f>
        <v>0</v>
      </c>
      <c r="Q240" s="1320">
        <f>IF(Q$196&gt;$G$224,0,((Q232+Q235)/2)*$G$223*'III. Inputs, Renewable Energy'!$S$186/10000)</f>
        <v>0</v>
      </c>
      <c r="R240" s="1320">
        <f>IF(R$196&gt;$G$224,0,((R232+R235)/2)*$G$223*'III. Inputs, Renewable Energy'!$S$186/10000)</f>
        <v>0</v>
      </c>
      <c r="S240" s="1320">
        <f>IF(S$196&gt;$G$224,0,((S232+S235)/2)*$G$223*'III. Inputs, Renewable Energy'!$S$186/10000)</f>
        <v>0</v>
      </c>
      <c r="T240" s="1320">
        <f>IF(T$196&gt;$G$224,0,((T232+T235)/2)*$G$223*'III. Inputs, Renewable Energy'!$S$186/10000)</f>
        <v>0</v>
      </c>
      <c r="U240" s="1320">
        <f>IF(U$196&gt;$G$224,0,((U232+U235)/2)*$G$223*'III. Inputs, Renewable Energy'!$S$186/10000)</f>
        <v>0</v>
      </c>
      <c r="V240" s="1320">
        <f>IF(V$196&gt;$G$224,0,((V232+V235)/2)*$G$223*'III. Inputs, Renewable Energy'!$S$186/10000)</f>
        <v>0</v>
      </c>
      <c r="W240" s="1320">
        <f>IF(W$196&gt;$G$224,0,((W232+W235)/2)*$G$223*'III. Inputs, Renewable Energy'!$S$186/10000)</f>
        <v>0</v>
      </c>
      <c r="X240" s="1320">
        <f>IF(X$196&gt;$G$224,0,((X232+X235)/2)*$G$223*'III. Inputs, Renewable Energy'!$S$186/10000)</f>
        <v>0</v>
      </c>
      <c r="Y240" s="1320">
        <f>IF(Y$196&gt;$G$224,0,((Y232+Y235)/2)*$G$223*'III. Inputs, Renewable Energy'!$S$186/10000)</f>
        <v>0</v>
      </c>
      <c r="Z240" s="1320">
        <f>IF(Z$196&gt;$G$224,0,((Z232+Z235)/2)*$G$223*'III. Inputs, Renewable Energy'!$S$186/10000)</f>
        <v>0</v>
      </c>
      <c r="AA240" s="1323">
        <f>IF(AA$196&gt;$G$224,0,((AA232+AA235)/2)*$G$223*'III. Inputs, Renewable Energy'!$S$186/10000)</f>
        <v>0</v>
      </c>
    </row>
    <row r="241" spans="2:27" x14ac:dyDescent="0.25">
      <c r="B241" s="541"/>
      <c r="C241" s="542"/>
      <c r="D241" s="542"/>
      <c r="E241" s="542"/>
      <c r="F241" s="542"/>
      <c r="G241" s="542"/>
      <c r="H241" s="542"/>
      <c r="I241" s="542"/>
      <c r="J241" s="542"/>
      <c r="K241" s="542"/>
      <c r="L241" s="542"/>
      <c r="M241" s="542"/>
      <c r="N241" s="542"/>
      <c r="O241" s="542"/>
      <c r="P241" s="542"/>
      <c r="Q241" s="542"/>
      <c r="R241" s="542"/>
      <c r="S241" s="542"/>
      <c r="T241" s="542"/>
      <c r="U241" s="542"/>
      <c r="V241" s="542"/>
      <c r="W241" s="542"/>
      <c r="X241" s="542"/>
      <c r="Y241" s="542"/>
      <c r="Z241" s="542"/>
      <c r="AA241" s="543"/>
    </row>
    <row r="242" spans="2:27" x14ac:dyDescent="0.25">
      <c r="B242" s="554" t="s">
        <v>181</v>
      </c>
      <c r="C242" s="542"/>
      <c r="D242" s="542"/>
      <c r="E242" s="542"/>
      <c r="F242" s="542"/>
      <c r="G242" s="542"/>
      <c r="H242" s="542"/>
      <c r="I242" s="542"/>
      <c r="J242" s="542"/>
      <c r="K242" s="542"/>
      <c r="L242" s="542"/>
      <c r="M242" s="542"/>
      <c r="N242" s="542"/>
      <c r="O242" s="542"/>
      <c r="P242" s="542"/>
      <c r="Q242" s="542"/>
      <c r="R242" s="542"/>
      <c r="S242" s="542"/>
      <c r="T242" s="542"/>
      <c r="U242" s="542"/>
      <c r="V242" s="542"/>
      <c r="W242" s="542"/>
      <c r="X242" s="542"/>
      <c r="Y242" s="542"/>
      <c r="Z242" s="542"/>
      <c r="AA242" s="543"/>
    </row>
    <row r="243" spans="2:27" x14ac:dyDescent="0.25">
      <c r="B243" s="541"/>
      <c r="C243" s="600" t="s">
        <v>68</v>
      </c>
      <c r="D243" s="542"/>
      <c r="E243" s="542"/>
      <c r="F243" s="542"/>
      <c r="G243" s="1320">
        <f>IF('III. Inputs, Renewable Energy'!$S$32&gt;0,((('III. Inputs, Renewable Energy'!U254+('III. Inputs, Renewable Energy'!U250*'III. Inputs, Renewable Energy'!U252*'III. Inputs, Renewable Energy'!U253))*('III. Inputs, Renewable Energy'!U14/'III. Inputs, Renewable Energy'!U255))*'III. Inputs, Renewable Energy'!S28*SUM('III. Inputs, Renewable Energy'!$S$32)),0)</f>
        <v>41215999.999999993</v>
      </c>
      <c r="H243" s="542"/>
      <c r="I243" s="542"/>
      <c r="J243" s="542"/>
      <c r="K243" s="542"/>
      <c r="L243" s="542"/>
      <c r="M243" s="542"/>
      <c r="N243" s="542"/>
      <c r="O243" s="542"/>
      <c r="P243" s="542"/>
      <c r="Q243" s="542"/>
      <c r="R243" s="542"/>
      <c r="S243" s="542"/>
      <c r="T243" s="542"/>
      <c r="U243" s="542"/>
      <c r="V243" s="542"/>
      <c r="W243" s="542"/>
      <c r="X243" s="542"/>
      <c r="Y243" s="542"/>
      <c r="Z243" s="542"/>
      <c r="AA243" s="543"/>
    </row>
    <row r="244" spans="2:27" x14ac:dyDescent="0.25">
      <c r="B244" s="541"/>
      <c r="C244" s="600" t="s">
        <v>69</v>
      </c>
      <c r="D244" s="542"/>
      <c r="E244" s="542"/>
      <c r="F244" s="542"/>
      <c r="G244" s="556">
        <f>SUM('III. Inputs, Renewable Energy'!S44)</f>
        <v>10</v>
      </c>
      <c r="H244" s="542"/>
      <c r="I244" s="542"/>
      <c r="J244" s="542"/>
      <c r="K244" s="542"/>
      <c r="L244" s="542"/>
      <c r="M244" s="542"/>
      <c r="N244" s="542"/>
      <c r="O244" s="542"/>
      <c r="P244" s="542"/>
      <c r="Q244" s="542"/>
      <c r="R244" s="542"/>
      <c r="S244" s="542"/>
      <c r="T244" s="542"/>
      <c r="U244" s="542"/>
      <c r="V244" s="542"/>
      <c r="W244" s="542"/>
      <c r="X244" s="542"/>
      <c r="Y244" s="542"/>
      <c r="Z244" s="542"/>
      <c r="AA244" s="543"/>
    </row>
    <row r="245" spans="2:27" x14ac:dyDescent="0.25">
      <c r="B245" s="541"/>
      <c r="C245" s="600" t="s">
        <v>70</v>
      </c>
      <c r="D245" s="542"/>
      <c r="E245" s="542"/>
      <c r="F245" s="542"/>
      <c r="G245" s="780">
        <f>SUM('III. Inputs, Renewable Energy'!S39)</f>
        <v>6.5000000000000002E-2</v>
      </c>
      <c r="H245" s="542"/>
      <c r="I245" s="542"/>
      <c r="J245" s="542"/>
      <c r="K245" s="542"/>
      <c r="L245" s="542"/>
      <c r="M245" s="542"/>
      <c r="N245" s="542"/>
      <c r="O245" s="542"/>
      <c r="P245" s="542"/>
      <c r="Q245" s="542"/>
      <c r="R245" s="542"/>
      <c r="S245" s="542"/>
      <c r="T245" s="542"/>
      <c r="U245" s="542"/>
      <c r="V245" s="542"/>
      <c r="W245" s="542"/>
      <c r="X245" s="542"/>
      <c r="Y245" s="542"/>
      <c r="Z245" s="542"/>
      <c r="AA245" s="543"/>
    </row>
    <row r="246" spans="2:27" x14ac:dyDescent="0.25">
      <c r="B246" s="541"/>
      <c r="C246" s="542"/>
      <c r="D246" s="542"/>
      <c r="E246" s="542"/>
      <c r="F246" s="542"/>
      <c r="G246" s="542"/>
      <c r="H246" s="542"/>
      <c r="I246" s="542"/>
      <c r="J246" s="542"/>
      <c r="K246" s="542"/>
      <c r="L246" s="542"/>
      <c r="M246" s="542"/>
      <c r="N246" s="542"/>
      <c r="O246" s="542"/>
      <c r="P246" s="542"/>
      <c r="Q246" s="542"/>
      <c r="R246" s="542"/>
      <c r="S246" s="542"/>
      <c r="T246" s="542"/>
      <c r="U246" s="542"/>
      <c r="V246" s="542"/>
      <c r="W246" s="542"/>
      <c r="X246" s="542"/>
      <c r="Y246" s="542"/>
      <c r="Z246" s="542"/>
      <c r="AA246" s="543"/>
    </row>
    <row r="247" spans="2:27" x14ac:dyDescent="0.25">
      <c r="B247" s="541"/>
      <c r="C247" s="603" t="s">
        <v>67</v>
      </c>
      <c r="D247" s="542"/>
      <c r="E247" s="542"/>
      <c r="F247" s="542"/>
      <c r="G247" s="542"/>
      <c r="H247" s="542"/>
      <c r="I247" s="542"/>
      <c r="J247" s="542"/>
      <c r="K247" s="542"/>
      <c r="L247" s="542"/>
      <c r="M247" s="542"/>
      <c r="N247" s="542"/>
      <c r="O247" s="542"/>
      <c r="P247" s="542"/>
      <c r="Q247" s="542"/>
      <c r="R247" s="542"/>
      <c r="S247" s="542"/>
      <c r="T247" s="542"/>
      <c r="U247" s="542"/>
      <c r="V247" s="542"/>
      <c r="W247" s="542"/>
      <c r="X247" s="542"/>
      <c r="Y247" s="542"/>
      <c r="Z247" s="542"/>
      <c r="AA247" s="543"/>
    </row>
    <row r="248" spans="2:27" x14ac:dyDescent="0.25">
      <c r="B248" s="541"/>
      <c r="C248" s="542" t="s">
        <v>73</v>
      </c>
      <c r="D248" s="542"/>
      <c r="E248" s="542"/>
      <c r="F248" s="542"/>
      <c r="G248" s="1320"/>
      <c r="H248" s="1320">
        <f t="shared" ref="H248:AA248" si="66">IF(H$196&gt;$G$244,0,IPMT($G$245,H$196,$G$244,-$G$243))</f>
        <v>2679039.9999999995</v>
      </c>
      <c r="I248" s="1320">
        <f t="shared" si="66"/>
        <v>2480510.5711532631</v>
      </c>
      <c r="J248" s="1320">
        <f t="shared" si="66"/>
        <v>2269076.7294314895</v>
      </c>
      <c r="K248" s="1320">
        <f t="shared" si="66"/>
        <v>2043899.6879978001</v>
      </c>
      <c r="L248" s="1320">
        <f t="shared" si="66"/>
        <v>1804086.138870921</v>
      </c>
      <c r="M248" s="1320">
        <f t="shared" si="66"/>
        <v>1548684.7090507944</v>
      </c>
      <c r="N248" s="1320">
        <f t="shared" si="66"/>
        <v>1276682.1862923601</v>
      </c>
      <c r="O248" s="1320">
        <f t="shared" si="66"/>
        <v>986999.49955462746</v>
      </c>
      <c r="P248" s="1320">
        <f t="shared" si="66"/>
        <v>678487.43817894184</v>
      </c>
      <c r="Q248" s="1320">
        <f t="shared" si="66"/>
        <v>349922.09281383676</v>
      </c>
      <c r="R248" s="1320">
        <f t="shared" si="66"/>
        <v>0</v>
      </c>
      <c r="S248" s="1320">
        <f t="shared" si="66"/>
        <v>0</v>
      </c>
      <c r="T248" s="1320">
        <f t="shared" si="66"/>
        <v>0</v>
      </c>
      <c r="U248" s="1320">
        <f t="shared" si="66"/>
        <v>0</v>
      </c>
      <c r="V248" s="1320">
        <f t="shared" si="66"/>
        <v>0</v>
      </c>
      <c r="W248" s="1320">
        <f t="shared" si="66"/>
        <v>0</v>
      </c>
      <c r="X248" s="1320">
        <f t="shared" si="66"/>
        <v>0</v>
      </c>
      <c r="Y248" s="1320">
        <f t="shared" si="66"/>
        <v>0</v>
      </c>
      <c r="Z248" s="1320">
        <f t="shared" si="66"/>
        <v>0</v>
      </c>
      <c r="AA248" s="1323">
        <f t="shared" si="66"/>
        <v>0</v>
      </c>
    </row>
    <row r="249" spans="2:27" x14ac:dyDescent="0.25">
      <c r="B249" s="541"/>
      <c r="C249" s="552" t="s">
        <v>72</v>
      </c>
      <c r="D249" s="552"/>
      <c r="E249" s="552"/>
      <c r="F249" s="552"/>
      <c r="G249" s="1324"/>
      <c r="H249" s="1324">
        <f t="shared" ref="H249:AA249" si="67">IF(H$196&gt;$G$244,0,PPMT($G$245,H$196,$G$244,-$G$243))</f>
        <v>3054298.9053344023</v>
      </c>
      <c r="I249" s="1324">
        <f t="shared" si="67"/>
        <v>3252828.3341811388</v>
      </c>
      <c r="J249" s="1324">
        <f t="shared" si="67"/>
        <v>3464262.1759029129</v>
      </c>
      <c r="K249" s="1324">
        <f t="shared" si="67"/>
        <v>3689439.2173366025</v>
      </c>
      <c r="L249" s="1324">
        <f t="shared" si="67"/>
        <v>3929252.7664634814</v>
      </c>
      <c r="M249" s="1324">
        <f t="shared" si="67"/>
        <v>4184654.1962836073</v>
      </c>
      <c r="N249" s="1324">
        <f t="shared" si="67"/>
        <v>4456656.7190420423</v>
      </c>
      <c r="O249" s="1324">
        <f t="shared" si="67"/>
        <v>4746339.4057797752</v>
      </c>
      <c r="P249" s="1324">
        <f t="shared" si="67"/>
        <v>5054851.4671554612</v>
      </c>
      <c r="Q249" s="1324">
        <f t="shared" si="67"/>
        <v>5383416.8125205655</v>
      </c>
      <c r="R249" s="1324">
        <f t="shared" si="67"/>
        <v>0</v>
      </c>
      <c r="S249" s="1324">
        <f t="shared" si="67"/>
        <v>0</v>
      </c>
      <c r="T249" s="1324">
        <f t="shared" si="67"/>
        <v>0</v>
      </c>
      <c r="U249" s="1324">
        <f t="shared" si="67"/>
        <v>0</v>
      </c>
      <c r="V249" s="1324">
        <f t="shared" si="67"/>
        <v>0</v>
      </c>
      <c r="W249" s="1324">
        <f t="shared" si="67"/>
        <v>0</v>
      </c>
      <c r="X249" s="1324">
        <f t="shared" si="67"/>
        <v>0</v>
      </c>
      <c r="Y249" s="1324">
        <f t="shared" si="67"/>
        <v>0</v>
      </c>
      <c r="Z249" s="1324">
        <f t="shared" si="67"/>
        <v>0</v>
      </c>
      <c r="AA249" s="1325">
        <f t="shared" si="67"/>
        <v>0</v>
      </c>
    </row>
    <row r="250" spans="2:27" x14ac:dyDescent="0.25">
      <c r="B250" s="541"/>
      <c r="C250" s="542" t="s">
        <v>74</v>
      </c>
      <c r="D250" s="542"/>
      <c r="E250" s="542"/>
      <c r="F250" s="542"/>
      <c r="G250" s="1320"/>
      <c r="H250" s="1320">
        <f>SUM(H248:H249)</f>
        <v>5733338.9053344019</v>
      </c>
      <c r="I250" s="1320">
        <f t="shared" ref="I250:AA250" si="68">SUM(I248:I249)</f>
        <v>5733338.9053344019</v>
      </c>
      <c r="J250" s="1320">
        <f t="shared" si="68"/>
        <v>5733338.9053344019</v>
      </c>
      <c r="K250" s="1320">
        <f t="shared" si="68"/>
        <v>5733338.9053344028</v>
      </c>
      <c r="L250" s="1320">
        <f t="shared" si="68"/>
        <v>5733338.9053344019</v>
      </c>
      <c r="M250" s="1320">
        <f t="shared" si="68"/>
        <v>5733338.9053344019</v>
      </c>
      <c r="N250" s="1320">
        <f t="shared" si="68"/>
        <v>5733338.9053344019</v>
      </c>
      <c r="O250" s="1320">
        <f t="shared" si="68"/>
        <v>5733338.9053344028</v>
      </c>
      <c r="P250" s="1320">
        <f t="shared" si="68"/>
        <v>5733338.9053344028</v>
      </c>
      <c r="Q250" s="1320">
        <f t="shared" si="68"/>
        <v>5733338.9053344019</v>
      </c>
      <c r="R250" s="1320">
        <f t="shared" si="68"/>
        <v>0</v>
      </c>
      <c r="S250" s="1320">
        <f t="shared" si="68"/>
        <v>0</v>
      </c>
      <c r="T250" s="1320">
        <f t="shared" si="68"/>
        <v>0</v>
      </c>
      <c r="U250" s="1320">
        <f t="shared" si="68"/>
        <v>0</v>
      </c>
      <c r="V250" s="1320">
        <f t="shared" si="68"/>
        <v>0</v>
      </c>
      <c r="W250" s="1320">
        <f t="shared" si="68"/>
        <v>0</v>
      </c>
      <c r="X250" s="1320">
        <f t="shared" si="68"/>
        <v>0</v>
      </c>
      <c r="Y250" s="1320">
        <f t="shared" si="68"/>
        <v>0</v>
      </c>
      <c r="Z250" s="1320">
        <f t="shared" si="68"/>
        <v>0</v>
      </c>
      <c r="AA250" s="1323">
        <f t="shared" si="68"/>
        <v>0</v>
      </c>
    </row>
    <row r="251" spans="2:27" x14ac:dyDescent="0.25">
      <c r="B251" s="541"/>
      <c r="C251" s="542"/>
      <c r="D251" s="542"/>
      <c r="E251" s="542"/>
      <c r="F251" s="542"/>
      <c r="G251" s="1320"/>
      <c r="H251" s="1320"/>
      <c r="I251" s="1320"/>
      <c r="J251" s="1320"/>
      <c r="K251" s="1320"/>
      <c r="L251" s="1320"/>
      <c r="M251" s="1320"/>
      <c r="N251" s="1320"/>
      <c r="O251" s="1320"/>
      <c r="P251" s="1320"/>
      <c r="Q251" s="1320"/>
      <c r="R251" s="1320"/>
      <c r="S251" s="1320"/>
      <c r="T251" s="1320"/>
      <c r="U251" s="1320"/>
      <c r="V251" s="1320"/>
      <c r="W251" s="1320"/>
      <c r="X251" s="1320"/>
      <c r="Y251" s="1320"/>
      <c r="Z251" s="1320"/>
      <c r="AA251" s="1323"/>
    </row>
    <row r="252" spans="2:27" x14ac:dyDescent="0.25">
      <c r="B252" s="541"/>
      <c r="C252" s="604" t="s">
        <v>65</v>
      </c>
      <c r="D252" s="542"/>
      <c r="E252" s="542"/>
      <c r="F252" s="542"/>
      <c r="G252" s="1320"/>
      <c r="H252" s="1320"/>
      <c r="I252" s="1320"/>
      <c r="J252" s="1320"/>
      <c r="K252" s="1320"/>
      <c r="L252" s="1320"/>
      <c r="M252" s="1320"/>
      <c r="N252" s="1320"/>
      <c r="O252" s="1320"/>
      <c r="P252" s="1320"/>
      <c r="Q252" s="1320"/>
      <c r="R252" s="1320"/>
      <c r="S252" s="1320"/>
      <c r="T252" s="1320"/>
      <c r="U252" s="1320"/>
      <c r="V252" s="1320"/>
      <c r="W252" s="1320"/>
      <c r="X252" s="1320"/>
      <c r="Y252" s="1320"/>
      <c r="Z252" s="1320"/>
      <c r="AA252" s="1323"/>
    </row>
    <row r="253" spans="2:27" x14ac:dyDescent="0.25">
      <c r="B253" s="541"/>
      <c r="C253" s="542" t="s">
        <v>75</v>
      </c>
      <c r="D253" s="542"/>
      <c r="E253" s="542"/>
      <c r="F253" s="542"/>
      <c r="G253" s="1320">
        <v>0</v>
      </c>
      <c r="H253" s="1320">
        <f>G256</f>
        <v>41215999.999999993</v>
      </c>
      <c r="I253" s="1320">
        <f t="shared" ref="I253:AA253" si="69">H256</f>
        <v>38161701.094665587</v>
      </c>
      <c r="J253" s="1320">
        <f t="shared" si="69"/>
        <v>34908872.76048445</v>
      </c>
      <c r="K253" s="1320">
        <f t="shared" si="69"/>
        <v>31444610.584581535</v>
      </c>
      <c r="L253" s="1320">
        <f t="shared" si="69"/>
        <v>27755171.367244933</v>
      </c>
      <c r="M253" s="1320">
        <f t="shared" si="69"/>
        <v>23825918.600781452</v>
      </c>
      <c r="N253" s="1320">
        <f t="shared" si="69"/>
        <v>19641264.404497843</v>
      </c>
      <c r="O253" s="1320">
        <f t="shared" si="69"/>
        <v>15184607.685455801</v>
      </c>
      <c r="P253" s="1320">
        <f t="shared" si="69"/>
        <v>10438268.279676026</v>
      </c>
      <c r="Q253" s="1320">
        <f t="shared" si="69"/>
        <v>5383416.8125205645</v>
      </c>
      <c r="R253" s="1320">
        <f t="shared" si="69"/>
        <v>0</v>
      </c>
      <c r="S253" s="1320">
        <f t="shared" si="69"/>
        <v>0</v>
      </c>
      <c r="T253" s="1320">
        <f t="shared" si="69"/>
        <v>0</v>
      </c>
      <c r="U253" s="1320">
        <f t="shared" si="69"/>
        <v>0</v>
      </c>
      <c r="V253" s="1320">
        <f t="shared" si="69"/>
        <v>0</v>
      </c>
      <c r="W253" s="1320">
        <f t="shared" si="69"/>
        <v>0</v>
      </c>
      <c r="X253" s="1320">
        <f t="shared" si="69"/>
        <v>0</v>
      </c>
      <c r="Y253" s="1320">
        <f t="shared" si="69"/>
        <v>0</v>
      </c>
      <c r="Z253" s="1320">
        <f t="shared" si="69"/>
        <v>0</v>
      </c>
      <c r="AA253" s="1323">
        <f t="shared" si="69"/>
        <v>0</v>
      </c>
    </row>
    <row r="254" spans="2:27" x14ac:dyDescent="0.25">
      <c r="B254" s="541"/>
      <c r="C254" s="542" t="s">
        <v>76</v>
      </c>
      <c r="D254" s="542"/>
      <c r="E254" s="542"/>
      <c r="F254" s="542"/>
      <c r="G254" s="1320">
        <f>G243</f>
        <v>41215999.999999993</v>
      </c>
      <c r="H254" s="1320">
        <v>0</v>
      </c>
      <c r="I254" s="1320">
        <v>0</v>
      </c>
      <c r="J254" s="1320">
        <v>0</v>
      </c>
      <c r="K254" s="1320">
        <v>0</v>
      </c>
      <c r="L254" s="1320">
        <v>0</v>
      </c>
      <c r="M254" s="1320">
        <v>0</v>
      </c>
      <c r="N254" s="1320">
        <v>0</v>
      </c>
      <c r="O254" s="1320">
        <v>0</v>
      </c>
      <c r="P254" s="1320">
        <v>0</v>
      </c>
      <c r="Q254" s="1320">
        <v>0</v>
      </c>
      <c r="R254" s="1320">
        <v>0</v>
      </c>
      <c r="S254" s="1320">
        <v>0</v>
      </c>
      <c r="T254" s="1320">
        <v>0</v>
      </c>
      <c r="U254" s="1320">
        <v>0</v>
      </c>
      <c r="V254" s="1320">
        <v>0</v>
      </c>
      <c r="W254" s="1320">
        <v>0</v>
      </c>
      <c r="X254" s="1320">
        <v>0</v>
      </c>
      <c r="Y254" s="1320">
        <v>0</v>
      </c>
      <c r="Z254" s="1320">
        <v>0</v>
      </c>
      <c r="AA254" s="1323">
        <v>0</v>
      </c>
    </row>
    <row r="255" spans="2:27" x14ac:dyDescent="0.25">
      <c r="B255" s="541"/>
      <c r="C255" s="552" t="s">
        <v>77</v>
      </c>
      <c r="D255" s="552"/>
      <c r="E255" s="552"/>
      <c r="F255" s="552"/>
      <c r="G255" s="1324">
        <v>0</v>
      </c>
      <c r="H255" s="1324">
        <f>-H249</f>
        <v>-3054298.9053344023</v>
      </c>
      <c r="I255" s="1324">
        <f t="shared" ref="I255:AA255" si="70">-I249</f>
        <v>-3252828.3341811388</v>
      </c>
      <c r="J255" s="1324">
        <f t="shared" si="70"/>
        <v>-3464262.1759029129</v>
      </c>
      <c r="K255" s="1324">
        <f t="shared" si="70"/>
        <v>-3689439.2173366025</v>
      </c>
      <c r="L255" s="1324">
        <f t="shared" si="70"/>
        <v>-3929252.7664634814</v>
      </c>
      <c r="M255" s="1324">
        <f t="shared" si="70"/>
        <v>-4184654.1962836073</v>
      </c>
      <c r="N255" s="1324">
        <f t="shared" si="70"/>
        <v>-4456656.7190420423</v>
      </c>
      <c r="O255" s="1324">
        <f t="shared" si="70"/>
        <v>-4746339.4057797752</v>
      </c>
      <c r="P255" s="1324">
        <f t="shared" si="70"/>
        <v>-5054851.4671554612</v>
      </c>
      <c r="Q255" s="1324">
        <f t="shared" si="70"/>
        <v>-5383416.8125205655</v>
      </c>
      <c r="R255" s="1324">
        <f t="shared" si="70"/>
        <v>0</v>
      </c>
      <c r="S255" s="1324">
        <f t="shared" si="70"/>
        <v>0</v>
      </c>
      <c r="T255" s="1324">
        <f t="shared" si="70"/>
        <v>0</v>
      </c>
      <c r="U255" s="1324">
        <f t="shared" si="70"/>
        <v>0</v>
      </c>
      <c r="V255" s="1324">
        <f t="shared" si="70"/>
        <v>0</v>
      </c>
      <c r="W255" s="1324">
        <f t="shared" si="70"/>
        <v>0</v>
      </c>
      <c r="X255" s="1324">
        <f t="shared" si="70"/>
        <v>0</v>
      </c>
      <c r="Y255" s="1324">
        <f t="shared" si="70"/>
        <v>0</v>
      </c>
      <c r="Z255" s="1324">
        <f t="shared" si="70"/>
        <v>0</v>
      </c>
      <c r="AA255" s="1325">
        <f t="shared" si="70"/>
        <v>0</v>
      </c>
    </row>
    <row r="256" spans="2:27" x14ac:dyDescent="0.25">
      <c r="B256" s="541"/>
      <c r="C256" s="542" t="s">
        <v>66</v>
      </c>
      <c r="D256" s="542"/>
      <c r="E256" s="542"/>
      <c r="F256" s="542"/>
      <c r="G256" s="1320">
        <f>SUM(G253:G255)</f>
        <v>41215999.999999993</v>
      </c>
      <c r="H256" s="1320">
        <f>SUM(H253:H255)</f>
        <v>38161701.094665587</v>
      </c>
      <c r="I256" s="1320">
        <f t="shared" ref="I256:AA256" si="71">SUM(I253:I255)</f>
        <v>34908872.76048445</v>
      </c>
      <c r="J256" s="1320">
        <f t="shared" si="71"/>
        <v>31444610.584581535</v>
      </c>
      <c r="K256" s="1320">
        <f t="shared" si="71"/>
        <v>27755171.367244933</v>
      </c>
      <c r="L256" s="1320">
        <f t="shared" si="71"/>
        <v>23825918.600781452</v>
      </c>
      <c r="M256" s="1320">
        <f t="shared" si="71"/>
        <v>19641264.404497843</v>
      </c>
      <c r="N256" s="1320">
        <f t="shared" si="71"/>
        <v>15184607.685455801</v>
      </c>
      <c r="O256" s="1320">
        <f t="shared" si="71"/>
        <v>10438268.279676026</v>
      </c>
      <c r="P256" s="1320">
        <f t="shared" si="71"/>
        <v>5383416.8125205645</v>
      </c>
      <c r="Q256" s="1320">
        <f t="shared" si="71"/>
        <v>0</v>
      </c>
      <c r="R256" s="1320">
        <f t="shared" si="71"/>
        <v>0</v>
      </c>
      <c r="S256" s="1320">
        <f t="shared" si="71"/>
        <v>0</v>
      </c>
      <c r="T256" s="1320">
        <f t="shared" si="71"/>
        <v>0</v>
      </c>
      <c r="U256" s="1320">
        <f t="shared" si="71"/>
        <v>0</v>
      </c>
      <c r="V256" s="1320">
        <f t="shared" si="71"/>
        <v>0</v>
      </c>
      <c r="W256" s="1320">
        <f t="shared" si="71"/>
        <v>0</v>
      </c>
      <c r="X256" s="1320">
        <f t="shared" si="71"/>
        <v>0</v>
      </c>
      <c r="Y256" s="1320">
        <f t="shared" si="71"/>
        <v>0</v>
      </c>
      <c r="Z256" s="1320">
        <f t="shared" si="71"/>
        <v>0</v>
      </c>
      <c r="AA256" s="1323">
        <f t="shared" si="71"/>
        <v>0</v>
      </c>
    </row>
    <row r="257" spans="2:27" x14ac:dyDescent="0.25">
      <c r="B257" s="541"/>
      <c r="C257" s="542"/>
      <c r="D257" s="542"/>
      <c r="E257" s="542"/>
      <c r="F257" s="542"/>
      <c r="G257" s="1320"/>
      <c r="H257" s="1320"/>
      <c r="I257" s="1320"/>
      <c r="J257" s="1320"/>
      <c r="K257" s="1320"/>
      <c r="L257" s="1320"/>
      <c r="M257" s="1320"/>
      <c r="N257" s="1320"/>
      <c r="O257" s="1320"/>
      <c r="P257" s="1320"/>
      <c r="Q257" s="1320"/>
      <c r="R257" s="1320"/>
      <c r="S257" s="1320"/>
      <c r="T257" s="1320"/>
      <c r="U257" s="1320"/>
      <c r="V257" s="1320"/>
      <c r="W257" s="1320"/>
      <c r="X257" s="1320"/>
      <c r="Y257" s="1320"/>
      <c r="Z257" s="1320"/>
      <c r="AA257" s="1323"/>
    </row>
    <row r="258" spans="2:27" x14ac:dyDescent="0.25">
      <c r="B258" s="541"/>
      <c r="C258" s="604" t="s">
        <v>71</v>
      </c>
      <c r="D258" s="542"/>
      <c r="E258" s="542"/>
      <c r="F258" s="542"/>
      <c r="G258" s="1320"/>
      <c r="H258" s="1320"/>
      <c r="I258" s="1320"/>
      <c r="J258" s="1320"/>
      <c r="K258" s="1320"/>
      <c r="L258" s="1320"/>
      <c r="M258" s="1320"/>
      <c r="N258" s="1320"/>
      <c r="O258" s="1320"/>
      <c r="P258" s="1320"/>
      <c r="Q258" s="1320"/>
      <c r="R258" s="1320"/>
      <c r="S258" s="1320"/>
      <c r="T258" s="1320"/>
      <c r="U258" s="1320"/>
      <c r="V258" s="1320"/>
      <c r="W258" s="1320"/>
      <c r="X258" s="1320"/>
      <c r="Y258" s="1320"/>
      <c r="Z258" s="1320"/>
      <c r="AA258" s="1323"/>
    </row>
    <row r="259" spans="2:27" x14ac:dyDescent="0.25">
      <c r="B259" s="541"/>
      <c r="C259" s="542" t="s">
        <v>233</v>
      </c>
      <c r="D259" s="542"/>
      <c r="E259" s="542"/>
      <c r="F259" s="542"/>
      <c r="G259" s="1320"/>
      <c r="H259" s="1320">
        <f>IF($G$243&gt;0, $G$243*'III. Inputs, Renewable Energy'!$S$49/10000,0)</f>
        <v>0</v>
      </c>
      <c r="I259" s="1320">
        <v>0</v>
      </c>
      <c r="J259" s="1320">
        <v>0</v>
      </c>
      <c r="K259" s="1320">
        <v>0</v>
      </c>
      <c r="L259" s="1320">
        <v>0</v>
      </c>
      <c r="M259" s="1320">
        <v>0</v>
      </c>
      <c r="N259" s="1320">
        <v>0</v>
      </c>
      <c r="O259" s="1320">
        <v>0</v>
      </c>
      <c r="P259" s="1320">
        <v>0</v>
      </c>
      <c r="Q259" s="1320">
        <v>0</v>
      </c>
      <c r="R259" s="1320">
        <v>0</v>
      </c>
      <c r="S259" s="1320">
        <v>0</v>
      </c>
      <c r="T259" s="1320">
        <v>0</v>
      </c>
      <c r="U259" s="1320">
        <v>0</v>
      </c>
      <c r="V259" s="1320">
        <v>0</v>
      </c>
      <c r="W259" s="1320">
        <v>0</v>
      </c>
      <c r="X259" s="1320">
        <v>0</v>
      </c>
      <c r="Y259" s="1320">
        <v>0</v>
      </c>
      <c r="Z259" s="1320">
        <v>0</v>
      </c>
      <c r="AA259" s="1323">
        <v>0</v>
      </c>
    </row>
    <row r="260" spans="2:27" x14ac:dyDescent="0.25">
      <c r="B260" s="541"/>
      <c r="C260" s="542"/>
      <c r="D260" s="542"/>
      <c r="E260" s="542"/>
      <c r="F260" s="542"/>
      <c r="G260" s="542"/>
      <c r="H260" s="542"/>
      <c r="I260" s="542"/>
      <c r="J260" s="542"/>
      <c r="K260" s="542"/>
      <c r="L260" s="542"/>
      <c r="M260" s="542"/>
      <c r="N260" s="542"/>
      <c r="O260" s="542"/>
      <c r="P260" s="542"/>
      <c r="Q260" s="542"/>
      <c r="R260" s="542"/>
      <c r="S260" s="542"/>
      <c r="T260" s="542"/>
      <c r="U260" s="542"/>
      <c r="V260" s="542"/>
      <c r="W260" s="542"/>
      <c r="X260" s="542"/>
      <c r="Y260" s="542"/>
      <c r="Z260" s="542"/>
      <c r="AA260" s="543"/>
    </row>
    <row r="261" spans="2:27" x14ac:dyDescent="0.25">
      <c r="B261" s="541"/>
      <c r="C261" s="542"/>
      <c r="D261" s="542"/>
      <c r="E261" s="542"/>
      <c r="F261" s="542"/>
      <c r="G261" s="542"/>
      <c r="H261" s="542"/>
      <c r="I261" s="542"/>
      <c r="J261" s="542"/>
      <c r="K261" s="542"/>
      <c r="L261" s="542"/>
      <c r="M261" s="542"/>
      <c r="N261" s="542"/>
      <c r="O261" s="542"/>
      <c r="P261" s="542"/>
      <c r="Q261" s="542"/>
      <c r="R261" s="542"/>
      <c r="S261" s="542"/>
      <c r="T261" s="542"/>
      <c r="U261" s="542"/>
      <c r="V261" s="542"/>
      <c r="W261" s="542"/>
      <c r="X261" s="542"/>
      <c r="Y261" s="542"/>
      <c r="Z261" s="542"/>
      <c r="AA261" s="543"/>
    </row>
    <row r="262" spans="2:27" x14ac:dyDescent="0.25">
      <c r="B262" s="554" t="s">
        <v>86</v>
      </c>
      <c r="C262" s="542"/>
      <c r="D262" s="542"/>
      <c r="E262" s="542"/>
      <c r="F262" s="542"/>
      <c r="G262" s="542"/>
      <c r="H262" s="542"/>
      <c r="I262" s="542"/>
      <c r="J262" s="542"/>
      <c r="K262" s="542"/>
      <c r="L262" s="542"/>
      <c r="M262" s="542"/>
      <c r="N262" s="542"/>
      <c r="O262" s="542"/>
      <c r="P262" s="542"/>
      <c r="Q262" s="542"/>
      <c r="R262" s="542"/>
      <c r="S262" s="542"/>
      <c r="T262" s="542"/>
      <c r="U262" s="542"/>
      <c r="V262" s="542"/>
      <c r="W262" s="542"/>
      <c r="X262" s="542"/>
      <c r="Y262" s="542"/>
      <c r="Z262" s="542"/>
      <c r="AA262" s="543"/>
    </row>
    <row r="263" spans="2:27" x14ac:dyDescent="0.25">
      <c r="B263" s="541"/>
      <c r="C263" s="600" t="s">
        <v>84</v>
      </c>
      <c r="D263" s="542"/>
      <c r="E263" s="542"/>
      <c r="F263" s="1320">
        <f>IF('III. Inputs, Renewable Energy'!$S$188&gt;0, 'III. Inputs, Renewable Energy'!$U$15*'III. Inputs, Renewable Energy'!$U$14*'III. Inputs, Renewable Energy'!$S$27*'III. Inputs, Renewable Energy'!$S$188,0)</f>
        <v>0</v>
      </c>
      <c r="G263" s="542"/>
      <c r="H263" s="542"/>
      <c r="I263" s="542"/>
      <c r="J263" s="542"/>
      <c r="K263" s="542"/>
      <c r="L263" s="542"/>
      <c r="M263" s="542"/>
      <c r="N263" s="542"/>
      <c r="O263" s="542"/>
      <c r="P263" s="542"/>
      <c r="Q263" s="542"/>
      <c r="R263" s="542"/>
      <c r="S263" s="542"/>
      <c r="T263" s="542"/>
      <c r="U263" s="542"/>
      <c r="V263" s="542"/>
      <c r="W263" s="542"/>
      <c r="X263" s="542"/>
      <c r="Y263" s="542"/>
      <c r="Z263" s="542"/>
      <c r="AA263" s="543"/>
    </row>
    <row r="264" spans="2:27" x14ac:dyDescent="0.25">
      <c r="B264" s="541"/>
      <c r="C264" s="600" t="str">
        <f>'III. Inputs, Renewable Energy'!N189</f>
        <v xml:space="preserve">Term of Political Risk Insurance </v>
      </c>
      <c r="D264" s="542"/>
      <c r="E264" s="542"/>
      <c r="F264" s="556">
        <f>'III. Inputs, Renewable Energy'!S189</f>
        <v>0</v>
      </c>
      <c r="G264" s="542"/>
      <c r="H264" s="542"/>
      <c r="I264" s="542"/>
      <c r="J264" s="542"/>
      <c r="K264" s="542"/>
      <c r="L264" s="542"/>
      <c r="M264" s="542"/>
      <c r="N264" s="542"/>
      <c r="O264" s="542"/>
      <c r="P264" s="542"/>
      <c r="Q264" s="542"/>
      <c r="R264" s="542"/>
      <c r="S264" s="542"/>
      <c r="T264" s="542"/>
      <c r="U264" s="542"/>
      <c r="V264" s="542"/>
      <c r="W264" s="542"/>
      <c r="X264" s="542"/>
      <c r="Y264" s="542"/>
      <c r="Z264" s="542"/>
      <c r="AA264" s="543"/>
    </row>
    <row r="265" spans="2:27" x14ac:dyDescent="0.25">
      <c r="B265" s="541"/>
      <c r="C265" s="600" t="str">
        <f>'III. Inputs, Renewable Energy'!N190</f>
        <v xml:space="preserve">Front-end Fee </v>
      </c>
      <c r="D265" s="542"/>
      <c r="E265" s="542"/>
      <c r="F265" s="556">
        <f>'III. Inputs, Renewable Energy'!S190</f>
        <v>0</v>
      </c>
      <c r="G265" s="542"/>
      <c r="H265" s="542"/>
      <c r="I265" s="542"/>
      <c r="J265" s="542"/>
      <c r="K265" s="542"/>
      <c r="L265" s="542"/>
      <c r="M265" s="542"/>
      <c r="N265" s="542"/>
      <c r="O265" s="542"/>
      <c r="P265" s="542"/>
      <c r="Q265" s="542"/>
      <c r="R265" s="542"/>
      <c r="S265" s="542"/>
      <c r="T265" s="542"/>
      <c r="U265" s="542"/>
      <c r="V265" s="542"/>
      <c r="W265" s="542"/>
      <c r="X265" s="542"/>
      <c r="Y265" s="542"/>
      <c r="Z265" s="542"/>
      <c r="AA265" s="543"/>
    </row>
    <row r="266" spans="2:27" x14ac:dyDescent="0.25">
      <c r="B266" s="541"/>
      <c r="C266" s="600" t="str">
        <f>'III. Inputs, Renewable Energy'!N191</f>
        <v xml:space="preserve">Annual Political Risk Insurance Premium </v>
      </c>
      <c r="D266" s="542"/>
      <c r="E266" s="542"/>
      <c r="F266" s="556">
        <f>'III. Inputs, Renewable Energy'!S191</f>
        <v>0</v>
      </c>
      <c r="G266" s="542"/>
      <c r="H266" s="542"/>
      <c r="I266" s="542"/>
      <c r="J266" s="542"/>
      <c r="K266" s="542"/>
      <c r="L266" s="542"/>
      <c r="M266" s="542"/>
      <c r="N266" s="542"/>
      <c r="O266" s="542"/>
      <c r="P266" s="542"/>
      <c r="Q266" s="542"/>
      <c r="R266" s="542"/>
      <c r="S266" s="542"/>
      <c r="T266" s="542"/>
      <c r="U266" s="542"/>
      <c r="V266" s="542"/>
      <c r="W266" s="542"/>
      <c r="X266" s="542"/>
      <c r="Y266" s="542"/>
      <c r="Z266" s="542"/>
      <c r="AA266" s="543"/>
    </row>
    <row r="267" spans="2:27" x14ac:dyDescent="0.25">
      <c r="B267" s="541"/>
      <c r="C267" s="542"/>
      <c r="D267" s="542"/>
      <c r="E267" s="542"/>
      <c r="F267" s="542"/>
      <c r="G267" s="542"/>
      <c r="H267" s="542"/>
      <c r="I267" s="542"/>
      <c r="J267" s="542"/>
      <c r="K267" s="542"/>
      <c r="L267" s="542"/>
      <c r="M267" s="542"/>
      <c r="N267" s="542"/>
      <c r="O267" s="542"/>
      <c r="P267" s="542"/>
      <c r="Q267" s="542"/>
      <c r="R267" s="542"/>
      <c r="S267" s="542"/>
      <c r="T267" s="542"/>
      <c r="U267" s="542"/>
      <c r="V267" s="542"/>
      <c r="W267" s="542"/>
      <c r="X267" s="542"/>
      <c r="Y267" s="542"/>
      <c r="Z267" s="542"/>
      <c r="AA267" s="543"/>
    </row>
    <row r="268" spans="2:27" x14ac:dyDescent="0.25">
      <c r="B268" s="541"/>
      <c r="C268" s="604" t="s">
        <v>71</v>
      </c>
      <c r="D268" s="542"/>
      <c r="E268" s="542"/>
      <c r="F268" s="542"/>
      <c r="G268" s="542"/>
      <c r="H268" s="542"/>
      <c r="I268" s="542"/>
      <c r="J268" s="542"/>
      <c r="K268" s="542"/>
      <c r="L268" s="542"/>
      <c r="M268" s="542"/>
      <c r="N268" s="542"/>
      <c r="O268" s="542"/>
      <c r="P268" s="542"/>
      <c r="Q268" s="542"/>
      <c r="R268" s="542"/>
      <c r="S268" s="542"/>
      <c r="T268" s="542"/>
      <c r="U268" s="542"/>
      <c r="V268" s="542"/>
      <c r="W268" s="542"/>
      <c r="X268" s="542"/>
      <c r="Y268" s="542"/>
      <c r="Z268" s="542"/>
      <c r="AA268" s="543"/>
    </row>
    <row r="269" spans="2:27" x14ac:dyDescent="0.25">
      <c r="B269" s="541"/>
      <c r="C269" s="542" t="str">
        <f>'III. Inputs, Renewable Energy'!N190</f>
        <v xml:space="preserve">Front-end Fee </v>
      </c>
      <c r="D269" s="542"/>
      <c r="E269" s="542"/>
      <c r="F269" s="542"/>
      <c r="G269" s="542"/>
      <c r="H269" s="1320">
        <f>IF(F263&gt;0, F263*F265/10000, 0)</f>
        <v>0</v>
      </c>
      <c r="I269" s="1336">
        <v>0</v>
      </c>
      <c r="J269" s="1336">
        <v>0</v>
      </c>
      <c r="K269" s="1336">
        <v>0</v>
      </c>
      <c r="L269" s="1336">
        <v>0</v>
      </c>
      <c r="M269" s="1336">
        <v>0</v>
      </c>
      <c r="N269" s="1336">
        <v>0</v>
      </c>
      <c r="O269" s="1336">
        <v>0</v>
      </c>
      <c r="P269" s="1336">
        <v>0</v>
      </c>
      <c r="Q269" s="1336">
        <v>0</v>
      </c>
      <c r="R269" s="1336">
        <v>0</v>
      </c>
      <c r="S269" s="1336">
        <v>0</v>
      </c>
      <c r="T269" s="1336">
        <v>0</v>
      </c>
      <c r="U269" s="1336">
        <v>0</v>
      </c>
      <c r="V269" s="1336">
        <v>0</v>
      </c>
      <c r="W269" s="1336">
        <v>0</v>
      </c>
      <c r="X269" s="1336">
        <v>0</v>
      </c>
      <c r="Y269" s="1336">
        <v>0</v>
      </c>
      <c r="Z269" s="1336">
        <v>0</v>
      </c>
      <c r="AA269" s="1337">
        <v>0</v>
      </c>
    </row>
    <row r="270" spans="2:27" x14ac:dyDescent="0.25">
      <c r="B270" s="541"/>
      <c r="C270" s="552" t="str">
        <f>'III. Inputs, Renewable Energy'!N191</f>
        <v xml:space="preserve">Annual Political Risk Insurance Premium </v>
      </c>
      <c r="D270" s="552"/>
      <c r="E270" s="552"/>
      <c r="F270" s="552"/>
      <c r="G270" s="552"/>
      <c r="H270" s="1324">
        <f>IF(H196&gt;$F$264,0,($F$263*$F$266/10000))</f>
        <v>0</v>
      </c>
      <c r="I270" s="1324">
        <f t="shared" ref="I270:AA270" si="72">IF(I196&gt;$F$264,0,($F$263*$F$266/10000))</f>
        <v>0</v>
      </c>
      <c r="J270" s="1324">
        <f t="shared" si="72"/>
        <v>0</v>
      </c>
      <c r="K270" s="1324">
        <f t="shared" si="72"/>
        <v>0</v>
      </c>
      <c r="L270" s="1324">
        <f t="shared" si="72"/>
        <v>0</v>
      </c>
      <c r="M270" s="1324">
        <f t="shared" si="72"/>
        <v>0</v>
      </c>
      <c r="N270" s="1324">
        <f t="shared" si="72"/>
        <v>0</v>
      </c>
      <c r="O270" s="1324">
        <f t="shared" si="72"/>
        <v>0</v>
      </c>
      <c r="P270" s="1324">
        <f t="shared" si="72"/>
        <v>0</v>
      </c>
      <c r="Q270" s="1324">
        <f t="shared" si="72"/>
        <v>0</v>
      </c>
      <c r="R270" s="1324">
        <f t="shared" si="72"/>
        <v>0</v>
      </c>
      <c r="S270" s="1324">
        <f t="shared" si="72"/>
        <v>0</v>
      </c>
      <c r="T270" s="1324">
        <f t="shared" si="72"/>
        <v>0</v>
      </c>
      <c r="U270" s="1324">
        <f t="shared" si="72"/>
        <v>0</v>
      </c>
      <c r="V270" s="1324">
        <f t="shared" si="72"/>
        <v>0</v>
      </c>
      <c r="W270" s="1324">
        <f t="shared" si="72"/>
        <v>0</v>
      </c>
      <c r="X270" s="1324">
        <f t="shared" si="72"/>
        <v>0</v>
      </c>
      <c r="Y270" s="1324">
        <f t="shared" si="72"/>
        <v>0</v>
      </c>
      <c r="Z270" s="1324">
        <f t="shared" si="72"/>
        <v>0</v>
      </c>
      <c r="AA270" s="1325">
        <f t="shared" si="72"/>
        <v>0</v>
      </c>
    </row>
    <row r="271" spans="2:27" x14ac:dyDescent="0.25">
      <c r="B271" s="541"/>
      <c r="C271" s="542" t="s">
        <v>85</v>
      </c>
      <c r="D271" s="542"/>
      <c r="E271" s="542"/>
      <c r="F271" s="542"/>
      <c r="G271" s="542"/>
      <c r="H271" s="1320">
        <f>H269+H270</f>
        <v>0</v>
      </c>
      <c r="I271" s="1320">
        <f t="shared" ref="I271:AA271" si="73">I269+I270</f>
        <v>0</v>
      </c>
      <c r="J271" s="1320">
        <f t="shared" si="73"/>
        <v>0</v>
      </c>
      <c r="K271" s="1320">
        <f t="shared" si="73"/>
        <v>0</v>
      </c>
      <c r="L271" s="1320">
        <f t="shared" si="73"/>
        <v>0</v>
      </c>
      <c r="M271" s="1320">
        <f t="shared" si="73"/>
        <v>0</v>
      </c>
      <c r="N271" s="1320">
        <f t="shared" si="73"/>
        <v>0</v>
      </c>
      <c r="O271" s="1320">
        <f t="shared" si="73"/>
        <v>0</v>
      </c>
      <c r="P271" s="1320">
        <f t="shared" si="73"/>
        <v>0</v>
      </c>
      <c r="Q271" s="1320">
        <f t="shared" si="73"/>
        <v>0</v>
      </c>
      <c r="R271" s="1320">
        <f t="shared" si="73"/>
        <v>0</v>
      </c>
      <c r="S271" s="1320">
        <f t="shared" si="73"/>
        <v>0</v>
      </c>
      <c r="T271" s="1320">
        <f t="shared" si="73"/>
        <v>0</v>
      </c>
      <c r="U271" s="1320">
        <f t="shared" si="73"/>
        <v>0</v>
      </c>
      <c r="V271" s="1320">
        <f t="shared" si="73"/>
        <v>0</v>
      </c>
      <c r="W271" s="1320">
        <f t="shared" si="73"/>
        <v>0</v>
      </c>
      <c r="X271" s="1320">
        <f t="shared" si="73"/>
        <v>0</v>
      </c>
      <c r="Y271" s="1320">
        <f t="shared" si="73"/>
        <v>0</v>
      </c>
      <c r="Z271" s="1320">
        <f t="shared" si="73"/>
        <v>0</v>
      </c>
      <c r="AA271" s="1323">
        <f t="shared" si="73"/>
        <v>0</v>
      </c>
    </row>
    <row r="272" spans="2:27" ht="13.8" thickBot="1" x14ac:dyDescent="0.3">
      <c r="B272" s="572"/>
      <c r="C272" s="564"/>
      <c r="D272" s="564"/>
      <c r="E272" s="564"/>
      <c r="F272" s="564"/>
      <c r="G272" s="564"/>
      <c r="H272" s="564"/>
      <c r="I272" s="564"/>
      <c r="J272" s="564"/>
      <c r="K272" s="564"/>
      <c r="L272" s="564"/>
      <c r="M272" s="564"/>
      <c r="N272" s="564"/>
      <c r="O272" s="564"/>
      <c r="P272" s="564"/>
      <c r="Q272" s="564"/>
      <c r="R272" s="564"/>
      <c r="S272" s="564"/>
      <c r="T272" s="564"/>
      <c r="U272" s="564"/>
      <c r="V272" s="564"/>
      <c r="W272" s="564"/>
      <c r="X272" s="564"/>
      <c r="Y272" s="564"/>
      <c r="Z272" s="564"/>
      <c r="AA272" s="565"/>
    </row>
    <row r="273" spans="2:28" s="36" customFormat="1" ht="13.8" thickBot="1" x14ac:dyDescent="0.3"/>
    <row r="274" spans="2:28" x14ac:dyDescent="0.25">
      <c r="B274" s="606" t="s">
        <v>509</v>
      </c>
      <c r="C274" s="607"/>
      <c r="D274" s="607"/>
      <c r="E274" s="607"/>
      <c r="F274" s="607"/>
      <c r="G274" s="607"/>
      <c r="H274" s="607"/>
      <c r="I274" s="607"/>
      <c r="J274" s="607"/>
      <c r="K274" s="607"/>
      <c r="L274" s="607"/>
      <c r="M274" s="607"/>
      <c r="N274" s="607"/>
      <c r="O274" s="607"/>
      <c r="P274" s="607"/>
      <c r="Q274" s="607"/>
      <c r="R274" s="607"/>
      <c r="S274" s="607"/>
      <c r="T274" s="607"/>
      <c r="U274" s="607"/>
      <c r="V274" s="607"/>
      <c r="W274" s="607"/>
      <c r="X274" s="607"/>
      <c r="Y274" s="607"/>
      <c r="Z274" s="607"/>
      <c r="AA274" s="608"/>
    </row>
    <row r="275" spans="2:28" x14ac:dyDescent="0.25">
      <c r="B275" s="609"/>
      <c r="C275" s="610"/>
      <c r="D275" s="610"/>
      <c r="E275" s="610"/>
      <c r="F275" s="610"/>
      <c r="G275" s="610"/>
      <c r="H275" s="610"/>
      <c r="I275" s="610"/>
      <c r="J275" s="610"/>
      <c r="K275" s="610"/>
      <c r="L275" s="610"/>
      <c r="M275" s="610"/>
      <c r="N275" s="610"/>
      <c r="O275" s="610"/>
      <c r="P275" s="610"/>
      <c r="Q275" s="610"/>
      <c r="R275" s="610"/>
      <c r="S275" s="610"/>
      <c r="T275" s="610"/>
      <c r="U275" s="610"/>
      <c r="V275" s="610"/>
      <c r="W275" s="610"/>
      <c r="X275" s="610"/>
      <c r="Y275" s="610"/>
      <c r="Z275" s="610"/>
      <c r="AA275" s="611"/>
    </row>
    <row r="276" spans="2:28" x14ac:dyDescent="0.25">
      <c r="B276" s="609" t="s">
        <v>258</v>
      </c>
      <c r="C276" s="610"/>
      <c r="D276" s="610"/>
      <c r="E276" s="610"/>
      <c r="F276" s="610"/>
      <c r="G276" s="610"/>
      <c r="H276" s="610"/>
      <c r="I276" s="610"/>
      <c r="J276" s="610"/>
      <c r="K276" s="610"/>
      <c r="L276" s="610"/>
      <c r="M276" s="610"/>
      <c r="N276" s="610"/>
      <c r="O276" s="610"/>
      <c r="P276" s="610"/>
      <c r="Q276" s="610"/>
      <c r="R276" s="610"/>
      <c r="S276" s="610"/>
      <c r="T276" s="610"/>
      <c r="U276" s="610"/>
      <c r="V276" s="610"/>
      <c r="W276" s="610"/>
      <c r="X276" s="610"/>
      <c r="Y276" s="610"/>
      <c r="Z276" s="610"/>
      <c r="AA276" s="611"/>
    </row>
    <row r="277" spans="2:28" x14ac:dyDescent="0.25">
      <c r="B277" s="612"/>
      <c r="C277" s="613" t="s">
        <v>68</v>
      </c>
      <c r="D277" s="614" t="s">
        <v>631</v>
      </c>
      <c r="E277" s="610"/>
      <c r="F277" s="610"/>
      <c r="G277" s="1338">
        <f>IF('III. Inputs, Renewable Energy'!$V$30&gt;0,((('III. Inputs, Renewable Energy'!U254+('III. Inputs, Renewable Energy'!U250*'III. Inputs, Renewable Energy'!U252*'III. Inputs, Renewable Energy'!U253))*('III. Inputs, Renewable Energy'!U14/'III. Inputs, Renewable Energy'!U255))*'III. Inputs, Renewable Energy'!V28*SUM('III. Inputs, Renewable Energy'!$V$30)),0)</f>
        <v>21343999.999999996</v>
      </c>
      <c r="H277" s="610"/>
      <c r="I277" s="610"/>
      <c r="J277" s="610"/>
      <c r="K277" s="610"/>
      <c r="L277" s="610"/>
      <c r="M277" s="610"/>
      <c r="N277" s="610"/>
      <c r="O277" s="610"/>
      <c r="P277" s="610"/>
      <c r="Q277" s="610"/>
      <c r="R277" s="610"/>
      <c r="S277" s="610"/>
      <c r="T277" s="610"/>
      <c r="U277" s="610"/>
      <c r="V277" s="610"/>
      <c r="W277" s="610"/>
      <c r="X277" s="610"/>
      <c r="Y277" s="610"/>
      <c r="Z277" s="610"/>
      <c r="AA277" s="611"/>
    </row>
    <row r="278" spans="2:28" x14ac:dyDescent="0.25">
      <c r="B278" s="612"/>
      <c r="C278" s="613" t="s">
        <v>69</v>
      </c>
      <c r="D278" s="614" t="s">
        <v>20</v>
      </c>
      <c r="E278" s="610"/>
      <c r="F278" s="610"/>
      <c r="G278" s="615">
        <f>SUM('III. Inputs, Renewable Energy'!$V$42)</f>
        <v>20</v>
      </c>
      <c r="H278" s="610"/>
      <c r="I278" s="610"/>
      <c r="J278" s="610"/>
      <c r="K278" s="610"/>
      <c r="L278" s="610"/>
      <c r="M278" s="610"/>
      <c r="N278" s="610"/>
      <c r="O278" s="610"/>
      <c r="P278" s="610"/>
      <c r="Q278" s="610"/>
      <c r="R278" s="610"/>
      <c r="S278" s="610"/>
      <c r="T278" s="610"/>
      <c r="U278" s="610"/>
      <c r="V278" s="610"/>
      <c r="W278" s="610"/>
      <c r="X278" s="610"/>
      <c r="Y278" s="610"/>
      <c r="Z278" s="610"/>
      <c r="AA278" s="611"/>
    </row>
    <row r="279" spans="2:28" x14ac:dyDescent="0.25">
      <c r="B279" s="612"/>
      <c r="C279" s="613" t="s">
        <v>70</v>
      </c>
      <c r="D279" s="614" t="s">
        <v>16</v>
      </c>
      <c r="E279" s="610"/>
      <c r="F279" s="610"/>
      <c r="G279" s="616">
        <f>SUM('III. Inputs, Renewable Energy'!$V$37)</f>
        <v>0.04</v>
      </c>
      <c r="H279" s="610"/>
      <c r="I279" s="610"/>
      <c r="J279" s="610"/>
      <c r="K279" s="610"/>
      <c r="L279" s="610"/>
      <c r="M279" s="610"/>
      <c r="N279" s="610"/>
      <c r="O279" s="610"/>
      <c r="P279" s="610"/>
      <c r="Q279" s="610"/>
      <c r="R279" s="610"/>
      <c r="S279" s="610"/>
      <c r="T279" s="610"/>
      <c r="U279" s="610"/>
      <c r="V279" s="610"/>
      <c r="W279" s="610"/>
      <c r="X279" s="610"/>
      <c r="Y279" s="610"/>
      <c r="Z279" s="610"/>
      <c r="AA279" s="611"/>
    </row>
    <row r="280" spans="2:28" x14ac:dyDescent="0.25">
      <c r="B280" s="612"/>
      <c r="C280" s="610"/>
      <c r="D280" s="610"/>
      <c r="E280" s="610"/>
      <c r="F280" s="610"/>
      <c r="G280" s="610"/>
      <c r="H280" s="610"/>
      <c r="I280" s="610"/>
      <c r="J280" s="610"/>
      <c r="K280" s="610"/>
      <c r="L280" s="610"/>
      <c r="M280" s="610"/>
      <c r="N280" s="610"/>
      <c r="O280" s="610"/>
      <c r="P280" s="610"/>
      <c r="Q280" s="610"/>
      <c r="R280" s="610"/>
      <c r="S280" s="610"/>
      <c r="T280" s="610"/>
      <c r="U280" s="610"/>
      <c r="V280" s="610"/>
      <c r="W280" s="610"/>
      <c r="X280" s="610"/>
      <c r="Y280" s="610"/>
      <c r="Z280" s="610"/>
      <c r="AA280" s="611"/>
    </row>
    <row r="281" spans="2:28" x14ac:dyDescent="0.25">
      <c r="B281" s="612"/>
      <c r="C281" s="617" t="s">
        <v>67</v>
      </c>
      <c r="D281" s="610"/>
      <c r="E281" s="610"/>
      <c r="F281" s="610"/>
      <c r="G281" s="1338"/>
      <c r="H281" s="1338"/>
      <c r="I281" s="1338"/>
      <c r="J281" s="1338"/>
      <c r="K281" s="1338"/>
      <c r="L281" s="1338"/>
      <c r="M281" s="1338"/>
      <c r="N281" s="1338"/>
      <c r="O281" s="1338"/>
      <c r="P281" s="1338"/>
      <c r="Q281" s="1338"/>
      <c r="R281" s="1338"/>
      <c r="S281" s="1338"/>
      <c r="T281" s="1338"/>
      <c r="U281" s="1338"/>
      <c r="V281" s="1338"/>
      <c r="W281" s="1338"/>
      <c r="X281" s="1338"/>
      <c r="Y281" s="1338"/>
      <c r="Z281" s="1338"/>
      <c r="AA281" s="1339"/>
      <c r="AB281" s="1299"/>
    </row>
    <row r="282" spans="2:28" x14ac:dyDescent="0.25">
      <c r="B282" s="612"/>
      <c r="C282" s="610" t="s">
        <v>73</v>
      </c>
      <c r="D282" s="610"/>
      <c r="E282" s="610"/>
      <c r="F282" s="610"/>
      <c r="G282" s="1338"/>
      <c r="H282" s="1338">
        <f>IF($G$277=0,0,IF(H$196&gt;$G$278,0,IPMT($G$279,H$196,$G$278,-$G$277)))</f>
        <v>853759.99999999988</v>
      </c>
      <c r="I282" s="1338">
        <f t="shared" ref="I282:AA282" si="74">IF($G$277=0,0,IF(I$196&gt;$G$278,0,IPMT($G$279,I$196,$G$278,-$G$277)))</f>
        <v>825089.24483942974</v>
      </c>
      <c r="J282" s="1338">
        <f t="shared" si="74"/>
        <v>795271.65947243676</v>
      </c>
      <c r="K282" s="1338">
        <f t="shared" si="74"/>
        <v>764261.37069076393</v>
      </c>
      <c r="L282" s="1338">
        <f t="shared" si="74"/>
        <v>732010.67035782442</v>
      </c>
      <c r="M282" s="1338">
        <f t="shared" si="74"/>
        <v>698469.94201156718</v>
      </c>
      <c r="N282" s="1338">
        <f t="shared" si="74"/>
        <v>663587.58453145972</v>
      </c>
      <c r="O282" s="1338">
        <f t="shared" si="74"/>
        <v>627309.9327521479</v>
      </c>
      <c r="P282" s="1338">
        <f t="shared" si="74"/>
        <v>589581.17490166356</v>
      </c>
      <c r="Q282" s="1338">
        <f t="shared" si="74"/>
        <v>550343.26673715992</v>
      </c>
      <c r="R282" s="1338">
        <f t="shared" si="74"/>
        <v>509535.84224607609</v>
      </c>
      <c r="S282" s="1338">
        <f t="shared" si="74"/>
        <v>467096.12077534897</v>
      </c>
      <c r="T282" s="1338">
        <f t="shared" si="74"/>
        <v>422958.81044579274</v>
      </c>
      <c r="U282" s="1338">
        <f t="shared" si="74"/>
        <v>377056.00770305423</v>
      </c>
      <c r="V282" s="1338">
        <f t="shared" si="74"/>
        <v>329317.09285060625</v>
      </c>
      <c r="W282" s="1338">
        <f t="shared" si="74"/>
        <v>279668.62140406034</v>
      </c>
      <c r="X282" s="1338">
        <f t="shared" si="74"/>
        <v>228034.21109965254</v>
      </c>
      <c r="Y282" s="1338">
        <f t="shared" si="74"/>
        <v>174334.42438306846</v>
      </c>
      <c r="Z282" s="1338">
        <f t="shared" si="74"/>
        <v>118486.646197821</v>
      </c>
      <c r="AA282" s="1339">
        <f t="shared" si="74"/>
        <v>60404.956885163658</v>
      </c>
      <c r="AB282" s="1299"/>
    </row>
    <row r="283" spans="2:28" x14ac:dyDescent="0.25">
      <c r="B283" s="612"/>
      <c r="C283" s="618" t="s">
        <v>72</v>
      </c>
      <c r="D283" s="618"/>
      <c r="E283" s="618"/>
      <c r="F283" s="618"/>
      <c r="G283" s="1340"/>
      <c r="H283" s="1340">
        <f>IF($G$277=0,0,IF(H$196&gt;$G$278,0,PPMT($G$279,H$196,$G$278,-$G$277)))</f>
        <v>716768.87901425501</v>
      </c>
      <c r="I283" s="1340">
        <f t="shared" ref="I283:AA283" si="75">IF($G$277=0,0,IF(I$196&gt;$G$278,0,PPMT($G$279,I$196,$G$278,-$G$277)))</f>
        <v>745439.63417482516</v>
      </c>
      <c r="J283" s="1340">
        <f t="shared" si="75"/>
        <v>775257.21954181802</v>
      </c>
      <c r="K283" s="1340">
        <f t="shared" si="75"/>
        <v>806267.50832349062</v>
      </c>
      <c r="L283" s="1340">
        <f t="shared" si="75"/>
        <v>838518.20865643036</v>
      </c>
      <c r="M283" s="1340">
        <f t="shared" si="75"/>
        <v>872058.93700268771</v>
      </c>
      <c r="N283" s="1340">
        <f t="shared" si="75"/>
        <v>906941.29448279517</v>
      </c>
      <c r="O283" s="1340">
        <f t="shared" si="75"/>
        <v>943218.94626210688</v>
      </c>
      <c r="P283" s="1340">
        <f t="shared" si="75"/>
        <v>980947.70411259134</v>
      </c>
      <c r="Q283" s="1340">
        <f t="shared" si="75"/>
        <v>1020185.6122770949</v>
      </c>
      <c r="R283" s="1340">
        <f t="shared" si="75"/>
        <v>1060993.0367681787</v>
      </c>
      <c r="S283" s="1340">
        <f t="shared" si="75"/>
        <v>1103432.7582389058</v>
      </c>
      <c r="T283" s="1340">
        <f t="shared" si="75"/>
        <v>1147570.068568462</v>
      </c>
      <c r="U283" s="1340">
        <f t="shared" si="75"/>
        <v>1193472.8713112005</v>
      </c>
      <c r="V283" s="1340">
        <f t="shared" si="75"/>
        <v>1241211.7861636486</v>
      </c>
      <c r="W283" s="1340">
        <f t="shared" si="75"/>
        <v>1290860.2576101946</v>
      </c>
      <c r="X283" s="1340">
        <f t="shared" si="75"/>
        <v>1342494.6679146022</v>
      </c>
      <c r="Y283" s="1340">
        <f t="shared" si="75"/>
        <v>1396194.4546311866</v>
      </c>
      <c r="Z283" s="1340">
        <f t="shared" si="75"/>
        <v>1452042.232816434</v>
      </c>
      <c r="AA283" s="1341">
        <f t="shared" si="75"/>
        <v>1510123.9221290913</v>
      </c>
      <c r="AB283" s="1299"/>
    </row>
    <row r="284" spans="2:28" x14ac:dyDescent="0.25">
      <c r="B284" s="612"/>
      <c r="C284" s="610" t="s">
        <v>74</v>
      </c>
      <c r="D284" s="610"/>
      <c r="E284" s="610"/>
      <c r="F284" s="610"/>
      <c r="G284" s="1338"/>
      <c r="H284" s="1338">
        <f>SUM(H282:H283)</f>
        <v>1570528.879014255</v>
      </c>
      <c r="I284" s="1338">
        <f t="shared" ref="I284:AA284" si="76">SUM(I282:I283)</f>
        <v>1570528.879014255</v>
      </c>
      <c r="J284" s="1338">
        <f t="shared" si="76"/>
        <v>1570528.8790142548</v>
      </c>
      <c r="K284" s="1338">
        <f t="shared" si="76"/>
        <v>1570528.8790142545</v>
      </c>
      <c r="L284" s="1338">
        <f t="shared" si="76"/>
        <v>1570528.8790142548</v>
      </c>
      <c r="M284" s="1338">
        <f t="shared" si="76"/>
        <v>1570528.879014255</v>
      </c>
      <c r="N284" s="1338">
        <f t="shared" si="76"/>
        <v>1570528.879014255</v>
      </c>
      <c r="O284" s="1338">
        <f t="shared" si="76"/>
        <v>1570528.8790142548</v>
      </c>
      <c r="P284" s="1338">
        <f t="shared" si="76"/>
        <v>1570528.879014255</v>
      </c>
      <c r="Q284" s="1338">
        <f t="shared" si="76"/>
        <v>1570528.8790142548</v>
      </c>
      <c r="R284" s="1338">
        <f t="shared" si="76"/>
        <v>1570528.8790142548</v>
      </c>
      <c r="S284" s="1338">
        <f t="shared" si="76"/>
        <v>1570528.8790142548</v>
      </c>
      <c r="T284" s="1338">
        <f t="shared" si="76"/>
        <v>1570528.8790142548</v>
      </c>
      <c r="U284" s="1338">
        <f t="shared" si="76"/>
        <v>1570528.8790142548</v>
      </c>
      <c r="V284" s="1338">
        <f t="shared" si="76"/>
        <v>1570528.8790142548</v>
      </c>
      <c r="W284" s="1338">
        <f t="shared" si="76"/>
        <v>1570528.879014255</v>
      </c>
      <c r="X284" s="1338">
        <f t="shared" si="76"/>
        <v>1570528.8790142548</v>
      </c>
      <c r="Y284" s="1338">
        <f t="shared" si="76"/>
        <v>1570528.879014255</v>
      </c>
      <c r="Z284" s="1338">
        <f t="shared" si="76"/>
        <v>1570528.879014255</v>
      </c>
      <c r="AA284" s="1339">
        <f t="shared" si="76"/>
        <v>1570528.879014255</v>
      </c>
      <c r="AB284" s="1299"/>
    </row>
    <row r="285" spans="2:28" x14ac:dyDescent="0.25">
      <c r="B285" s="612"/>
      <c r="C285" s="610"/>
      <c r="D285" s="610"/>
      <c r="E285" s="610"/>
      <c r="F285" s="610"/>
      <c r="G285" s="1338"/>
      <c r="H285" s="1338"/>
      <c r="I285" s="1338"/>
      <c r="J285" s="1338"/>
      <c r="K285" s="1338"/>
      <c r="L285" s="1338"/>
      <c r="M285" s="1338"/>
      <c r="N285" s="1338"/>
      <c r="O285" s="1338"/>
      <c r="P285" s="1338"/>
      <c r="Q285" s="1338"/>
      <c r="R285" s="1338"/>
      <c r="S285" s="1338"/>
      <c r="T285" s="1338"/>
      <c r="U285" s="1338"/>
      <c r="V285" s="1338"/>
      <c r="W285" s="1338"/>
      <c r="X285" s="1338"/>
      <c r="Y285" s="1338"/>
      <c r="Z285" s="1338"/>
      <c r="AA285" s="1339"/>
      <c r="AB285" s="1299"/>
    </row>
    <row r="286" spans="2:28" x14ac:dyDescent="0.25">
      <c r="B286" s="612"/>
      <c r="C286" s="619" t="s">
        <v>65</v>
      </c>
      <c r="D286" s="610"/>
      <c r="E286" s="610"/>
      <c r="F286" s="610"/>
      <c r="G286" s="1338"/>
      <c r="H286" s="1338"/>
      <c r="I286" s="1338"/>
      <c r="J286" s="1338"/>
      <c r="K286" s="1338"/>
      <c r="L286" s="1338"/>
      <c r="M286" s="1338"/>
      <c r="N286" s="1338"/>
      <c r="O286" s="1338"/>
      <c r="P286" s="1338"/>
      <c r="Q286" s="1338"/>
      <c r="R286" s="1338"/>
      <c r="S286" s="1338"/>
      <c r="T286" s="1338"/>
      <c r="U286" s="1338"/>
      <c r="V286" s="1338"/>
      <c r="W286" s="1338"/>
      <c r="X286" s="1338"/>
      <c r="Y286" s="1338"/>
      <c r="Z286" s="1338"/>
      <c r="AA286" s="1339"/>
      <c r="AB286" s="1299"/>
    </row>
    <row r="287" spans="2:28" x14ac:dyDescent="0.25">
      <c r="B287" s="612"/>
      <c r="C287" s="610" t="s">
        <v>75</v>
      </c>
      <c r="D287" s="610"/>
      <c r="E287" s="610"/>
      <c r="F287" s="610"/>
      <c r="G287" s="1338">
        <v>0</v>
      </c>
      <c r="H287" s="1338">
        <f t="shared" ref="H287:AA287" si="77">G290</f>
        <v>21343999.999999996</v>
      </c>
      <c r="I287" s="1338">
        <f t="shared" si="77"/>
        <v>20627231.120985743</v>
      </c>
      <c r="J287" s="1338">
        <f t="shared" si="77"/>
        <v>19881791.486810919</v>
      </c>
      <c r="K287" s="1338">
        <f t="shared" si="77"/>
        <v>19106534.267269101</v>
      </c>
      <c r="L287" s="1338">
        <f t="shared" si="77"/>
        <v>18300266.75894561</v>
      </c>
      <c r="M287" s="1338">
        <f t="shared" si="77"/>
        <v>17461748.55028918</v>
      </c>
      <c r="N287" s="1338">
        <f t="shared" si="77"/>
        <v>16589689.613286491</v>
      </c>
      <c r="O287" s="1338">
        <f t="shared" si="77"/>
        <v>15682748.318803696</v>
      </c>
      <c r="P287" s="1338">
        <f t="shared" si="77"/>
        <v>14739529.37254159</v>
      </c>
      <c r="Q287" s="1338">
        <f t="shared" si="77"/>
        <v>13758581.668428998</v>
      </c>
      <c r="R287" s="1338">
        <f t="shared" si="77"/>
        <v>12738396.056151904</v>
      </c>
      <c r="S287" s="1338">
        <f t="shared" si="77"/>
        <v>11677403.019383725</v>
      </c>
      <c r="T287" s="1338">
        <f t="shared" si="77"/>
        <v>10573970.261144819</v>
      </c>
      <c r="U287" s="1338">
        <f t="shared" si="77"/>
        <v>9426400.1925763562</v>
      </c>
      <c r="V287" s="1338">
        <f t="shared" si="77"/>
        <v>8232927.3212651554</v>
      </c>
      <c r="W287" s="1338">
        <f t="shared" si="77"/>
        <v>6991715.5351015069</v>
      </c>
      <c r="X287" s="1338">
        <f t="shared" si="77"/>
        <v>5700855.2774913125</v>
      </c>
      <c r="Y287" s="1338">
        <f t="shared" si="77"/>
        <v>4358360.6095767105</v>
      </c>
      <c r="Z287" s="1338">
        <f t="shared" si="77"/>
        <v>2962166.1549455239</v>
      </c>
      <c r="AA287" s="1339">
        <f t="shared" si="77"/>
        <v>1510123.9221290899</v>
      </c>
      <c r="AB287" s="1299"/>
    </row>
    <row r="288" spans="2:28" x14ac:dyDescent="0.25">
      <c r="B288" s="612"/>
      <c r="C288" s="610" t="s">
        <v>76</v>
      </c>
      <c r="D288" s="610"/>
      <c r="E288" s="610"/>
      <c r="F288" s="610"/>
      <c r="G288" s="1338">
        <f>G277</f>
        <v>21343999.999999996</v>
      </c>
      <c r="H288" s="1338">
        <v>0</v>
      </c>
      <c r="I288" s="1338">
        <v>0</v>
      </c>
      <c r="J288" s="1338">
        <v>0</v>
      </c>
      <c r="K288" s="1338">
        <v>0</v>
      </c>
      <c r="L288" s="1338">
        <v>0</v>
      </c>
      <c r="M288" s="1338">
        <v>0</v>
      </c>
      <c r="N288" s="1338">
        <v>0</v>
      </c>
      <c r="O288" s="1338">
        <v>0</v>
      </c>
      <c r="P288" s="1338">
        <v>0</v>
      </c>
      <c r="Q288" s="1338">
        <v>0</v>
      </c>
      <c r="R288" s="1338">
        <v>0</v>
      </c>
      <c r="S288" s="1338">
        <v>0</v>
      </c>
      <c r="T288" s="1338">
        <v>0</v>
      </c>
      <c r="U288" s="1338">
        <v>0</v>
      </c>
      <c r="V288" s="1338">
        <v>0</v>
      </c>
      <c r="W288" s="1338">
        <v>0</v>
      </c>
      <c r="X288" s="1338">
        <v>0</v>
      </c>
      <c r="Y288" s="1338">
        <v>0</v>
      </c>
      <c r="Z288" s="1338">
        <v>0</v>
      </c>
      <c r="AA288" s="1339">
        <v>0</v>
      </c>
      <c r="AB288" s="1299"/>
    </row>
    <row r="289" spans="2:28" x14ac:dyDescent="0.25">
      <c r="B289" s="612"/>
      <c r="C289" s="618" t="s">
        <v>77</v>
      </c>
      <c r="D289" s="618"/>
      <c r="E289" s="618"/>
      <c r="F289" s="618"/>
      <c r="G289" s="1340">
        <v>0</v>
      </c>
      <c r="H289" s="1340">
        <f t="shared" ref="H289:AA289" si="78">-H283</f>
        <v>-716768.87901425501</v>
      </c>
      <c r="I289" s="1340">
        <f t="shared" si="78"/>
        <v>-745439.63417482516</v>
      </c>
      <c r="J289" s="1340">
        <f t="shared" si="78"/>
        <v>-775257.21954181802</v>
      </c>
      <c r="K289" s="1340">
        <f t="shared" si="78"/>
        <v>-806267.50832349062</v>
      </c>
      <c r="L289" s="1340">
        <f t="shared" si="78"/>
        <v>-838518.20865643036</v>
      </c>
      <c r="M289" s="1340">
        <f t="shared" si="78"/>
        <v>-872058.93700268771</v>
      </c>
      <c r="N289" s="1340">
        <f t="shared" si="78"/>
        <v>-906941.29448279517</v>
      </c>
      <c r="O289" s="1340">
        <f t="shared" si="78"/>
        <v>-943218.94626210688</v>
      </c>
      <c r="P289" s="1340">
        <f t="shared" si="78"/>
        <v>-980947.70411259134</v>
      </c>
      <c r="Q289" s="1340">
        <f t="shared" si="78"/>
        <v>-1020185.6122770949</v>
      </c>
      <c r="R289" s="1340">
        <f t="shared" si="78"/>
        <v>-1060993.0367681787</v>
      </c>
      <c r="S289" s="1340">
        <f t="shared" si="78"/>
        <v>-1103432.7582389058</v>
      </c>
      <c r="T289" s="1340">
        <f t="shared" si="78"/>
        <v>-1147570.068568462</v>
      </c>
      <c r="U289" s="1340">
        <f t="shared" si="78"/>
        <v>-1193472.8713112005</v>
      </c>
      <c r="V289" s="1340">
        <f t="shared" si="78"/>
        <v>-1241211.7861636486</v>
      </c>
      <c r="W289" s="1340">
        <f t="shared" si="78"/>
        <v>-1290860.2576101946</v>
      </c>
      <c r="X289" s="1340">
        <f t="shared" si="78"/>
        <v>-1342494.6679146022</v>
      </c>
      <c r="Y289" s="1340">
        <f t="shared" si="78"/>
        <v>-1396194.4546311866</v>
      </c>
      <c r="Z289" s="1340">
        <f t="shared" si="78"/>
        <v>-1452042.232816434</v>
      </c>
      <c r="AA289" s="1341">
        <f t="shared" si="78"/>
        <v>-1510123.9221290913</v>
      </c>
      <c r="AB289" s="1299"/>
    </row>
    <row r="290" spans="2:28" x14ac:dyDescent="0.25">
      <c r="B290" s="612"/>
      <c r="C290" s="610" t="s">
        <v>66</v>
      </c>
      <c r="D290" s="610"/>
      <c r="E290" s="610"/>
      <c r="F290" s="610"/>
      <c r="G290" s="1338">
        <f t="shared" ref="G290:AA290" si="79">SUM(G287:G289)</f>
        <v>21343999.999999996</v>
      </c>
      <c r="H290" s="1338">
        <f t="shared" si="79"/>
        <v>20627231.120985743</v>
      </c>
      <c r="I290" s="1338">
        <f t="shared" si="79"/>
        <v>19881791.486810919</v>
      </c>
      <c r="J290" s="1338">
        <f t="shared" si="79"/>
        <v>19106534.267269101</v>
      </c>
      <c r="K290" s="1338">
        <f t="shared" si="79"/>
        <v>18300266.75894561</v>
      </c>
      <c r="L290" s="1338">
        <f t="shared" si="79"/>
        <v>17461748.55028918</v>
      </c>
      <c r="M290" s="1338">
        <f t="shared" si="79"/>
        <v>16589689.613286491</v>
      </c>
      <c r="N290" s="1338">
        <f t="shared" si="79"/>
        <v>15682748.318803696</v>
      </c>
      <c r="O290" s="1338">
        <f t="shared" si="79"/>
        <v>14739529.37254159</v>
      </c>
      <c r="P290" s="1338">
        <f t="shared" si="79"/>
        <v>13758581.668428998</v>
      </c>
      <c r="Q290" s="1338">
        <f t="shared" si="79"/>
        <v>12738396.056151904</v>
      </c>
      <c r="R290" s="1338">
        <f t="shared" si="79"/>
        <v>11677403.019383725</v>
      </c>
      <c r="S290" s="1338">
        <f t="shared" si="79"/>
        <v>10573970.261144819</v>
      </c>
      <c r="T290" s="1338">
        <f t="shared" si="79"/>
        <v>9426400.1925763562</v>
      </c>
      <c r="U290" s="1338">
        <f t="shared" si="79"/>
        <v>8232927.3212651554</v>
      </c>
      <c r="V290" s="1338">
        <f t="shared" si="79"/>
        <v>6991715.5351015069</v>
      </c>
      <c r="W290" s="1338">
        <f t="shared" si="79"/>
        <v>5700855.2774913125</v>
      </c>
      <c r="X290" s="1338">
        <f t="shared" si="79"/>
        <v>4358360.6095767105</v>
      </c>
      <c r="Y290" s="1338">
        <f t="shared" si="79"/>
        <v>2962166.1549455239</v>
      </c>
      <c r="Z290" s="1338">
        <f t="shared" si="79"/>
        <v>1510123.9221290899</v>
      </c>
      <c r="AA290" s="1339">
        <f t="shared" si="79"/>
        <v>0</v>
      </c>
      <c r="AB290" s="1299"/>
    </row>
    <row r="291" spans="2:28" x14ac:dyDescent="0.25">
      <c r="B291" s="612"/>
      <c r="C291" s="610"/>
      <c r="D291" s="610"/>
      <c r="E291" s="610"/>
      <c r="F291" s="610"/>
      <c r="G291" s="1338"/>
      <c r="H291" s="1338"/>
      <c r="I291" s="1338"/>
      <c r="J291" s="1338"/>
      <c r="K291" s="1338"/>
      <c r="L291" s="1338"/>
      <c r="M291" s="1338"/>
      <c r="N291" s="1338"/>
      <c r="O291" s="1338"/>
      <c r="P291" s="1338"/>
      <c r="Q291" s="1338"/>
      <c r="R291" s="1338"/>
      <c r="S291" s="1338"/>
      <c r="T291" s="1338"/>
      <c r="U291" s="1338"/>
      <c r="V291" s="1338"/>
      <c r="W291" s="1338"/>
      <c r="X291" s="1338"/>
      <c r="Y291" s="1338"/>
      <c r="Z291" s="1338"/>
      <c r="AA291" s="1339"/>
      <c r="AB291" s="1299"/>
    </row>
    <row r="292" spans="2:28" x14ac:dyDescent="0.25">
      <c r="B292" s="612"/>
      <c r="C292" s="619" t="s">
        <v>71</v>
      </c>
      <c r="D292" s="610"/>
      <c r="E292" s="610"/>
      <c r="F292" s="610"/>
      <c r="G292" s="1338"/>
      <c r="H292" s="1338"/>
      <c r="I292" s="1338"/>
      <c r="J292" s="1338"/>
      <c r="K292" s="1338"/>
      <c r="L292" s="1338"/>
      <c r="M292" s="1338"/>
      <c r="N292" s="1338"/>
      <c r="O292" s="1338"/>
      <c r="P292" s="1338"/>
      <c r="Q292" s="1338"/>
      <c r="R292" s="1338"/>
      <c r="S292" s="1338"/>
      <c r="T292" s="1338"/>
      <c r="U292" s="1338"/>
      <c r="V292" s="1338"/>
      <c r="W292" s="1338"/>
      <c r="X292" s="1338"/>
      <c r="Y292" s="1338"/>
      <c r="Z292" s="1338"/>
      <c r="AA292" s="1339"/>
      <c r="AB292" s="1299"/>
    </row>
    <row r="293" spans="2:28" x14ac:dyDescent="0.25">
      <c r="B293" s="612"/>
      <c r="C293" s="610" t="s">
        <v>235</v>
      </c>
      <c r="D293" s="610"/>
      <c r="E293" s="610"/>
      <c r="F293" s="610"/>
      <c r="G293" s="1338"/>
      <c r="H293" s="1338">
        <f>IF($G$277&gt;0, $G$277*'III. Inputs, Renewable Energy'!$V$47/10000,0)</f>
        <v>0</v>
      </c>
      <c r="I293" s="1342">
        <v>0</v>
      </c>
      <c r="J293" s="1342">
        <v>0</v>
      </c>
      <c r="K293" s="1342">
        <v>0</v>
      </c>
      <c r="L293" s="1342">
        <v>0</v>
      </c>
      <c r="M293" s="1342">
        <v>0</v>
      </c>
      <c r="N293" s="1342">
        <v>0</v>
      </c>
      <c r="O293" s="1342">
        <v>0</v>
      </c>
      <c r="P293" s="1342">
        <v>0</v>
      </c>
      <c r="Q293" s="1342">
        <v>0</v>
      </c>
      <c r="R293" s="1342">
        <v>0</v>
      </c>
      <c r="S293" s="1342">
        <v>0</v>
      </c>
      <c r="T293" s="1342">
        <v>0</v>
      </c>
      <c r="U293" s="1342">
        <v>0</v>
      </c>
      <c r="V293" s="1342">
        <v>0</v>
      </c>
      <c r="W293" s="1342">
        <v>0</v>
      </c>
      <c r="X293" s="1342">
        <v>0</v>
      </c>
      <c r="Y293" s="1342">
        <v>0</v>
      </c>
      <c r="Z293" s="1342">
        <v>0</v>
      </c>
      <c r="AA293" s="1343">
        <v>0</v>
      </c>
      <c r="AB293" s="1299"/>
    </row>
    <row r="294" spans="2:28" x14ac:dyDescent="0.25">
      <c r="B294" s="612"/>
      <c r="C294" s="610"/>
      <c r="D294" s="610"/>
      <c r="E294" s="610"/>
      <c r="F294" s="610"/>
      <c r="G294" s="610"/>
      <c r="H294" s="610"/>
      <c r="I294" s="610"/>
      <c r="J294" s="610"/>
      <c r="K294" s="610"/>
      <c r="L294" s="610"/>
      <c r="M294" s="610"/>
      <c r="N294" s="610"/>
      <c r="O294" s="610"/>
      <c r="P294" s="610"/>
      <c r="Q294" s="610"/>
      <c r="R294" s="610"/>
      <c r="S294" s="610"/>
      <c r="T294" s="610"/>
      <c r="U294" s="610"/>
      <c r="V294" s="610"/>
      <c r="W294" s="610"/>
      <c r="X294" s="610"/>
      <c r="Y294" s="610"/>
      <c r="Z294" s="610"/>
      <c r="AA294" s="611"/>
    </row>
    <row r="295" spans="2:28" x14ac:dyDescent="0.25">
      <c r="B295" s="609" t="s">
        <v>180</v>
      </c>
      <c r="C295" s="610"/>
      <c r="D295" s="610"/>
      <c r="E295" s="610"/>
      <c r="F295" s="610"/>
      <c r="G295" s="610"/>
      <c r="H295" s="610"/>
      <c r="I295" s="610"/>
      <c r="J295" s="610"/>
      <c r="K295" s="610"/>
      <c r="L295" s="610"/>
      <c r="M295" s="610"/>
      <c r="N295" s="610"/>
      <c r="O295" s="610"/>
      <c r="P295" s="610"/>
      <c r="Q295" s="610"/>
      <c r="R295" s="610"/>
      <c r="S295" s="610"/>
      <c r="T295" s="610"/>
      <c r="U295" s="610"/>
      <c r="V295" s="610"/>
      <c r="W295" s="610"/>
      <c r="X295" s="610"/>
      <c r="Y295" s="610"/>
      <c r="Z295" s="610"/>
      <c r="AA295" s="611"/>
    </row>
    <row r="296" spans="2:28" x14ac:dyDescent="0.25">
      <c r="B296" s="612"/>
      <c r="C296" s="613" t="s">
        <v>68</v>
      </c>
      <c r="D296" s="614" t="s">
        <v>631</v>
      </c>
      <c r="E296" s="610"/>
      <c r="F296" s="610"/>
      <c r="G296" s="1338">
        <f>IF('III. Inputs, Renewable Energy'!$V$31&gt;0,((('III. Inputs, Renewable Energy'!U254+('III. Inputs, Renewable Energy'!U250*'III. Inputs, Renewable Energy'!U252*'III. Inputs, Renewable Energy'!U253))*('III. Inputs, Renewable Energy'!U14/'III. Inputs, Renewable Energy'!U255))*'III. Inputs, Renewable Energy'!V28*SUM('III. Inputs, Renewable Energy'!$V$31)),0)</f>
        <v>0</v>
      </c>
      <c r="H296" s="610"/>
      <c r="I296" s="610"/>
      <c r="J296" s="610"/>
      <c r="K296" s="610"/>
      <c r="L296" s="610"/>
      <c r="M296" s="610"/>
      <c r="N296" s="610"/>
      <c r="O296" s="610"/>
      <c r="P296" s="610"/>
      <c r="Q296" s="610"/>
      <c r="R296" s="610"/>
      <c r="S296" s="610"/>
      <c r="T296" s="610"/>
      <c r="U296" s="610"/>
      <c r="V296" s="610"/>
      <c r="W296" s="610"/>
      <c r="X296" s="610"/>
      <c r="Y296" s="610"/>
      <c r="Z296" s="610"/>
      <c r="AA296" s="611"/>
    </row>
    <row r="297" spans="2:28" x14ac:dyDescent="0.25">
      <c r="B297" s="612"/>
      <c r="C297" s="613" t="s">
        <v>69</v>
      </c>
      <c r="D297" s="614" t="s">
        <v>20</v>
      </c>
      <c r="E297" s="610"/>
      <c r="F297" s="610"/>
      <c r="G297" s="615">
        <f>SUM('III. Inputs, Renewable Energy'!$V$43)</f>
        <v>0</v>
      </c>
      <c r="H297" s="610"/>
      <c r="I297" s="610"/>
      <c r="J297" s="610"/>
      <c r="K297" s="610"/>
      <c r="L297" s="610"/>
      <c r="M297" s="610"/>
      <c r="N297" s="610"/>
      <c r="O297" s="610"/>
      <c r="P297" s="610"/>
      <c r="Q297" s="610"/>
      <c r="R297" s="610"/>
      <c r="S297" s="610"/>
      <c r="T297" s="610"/>
      <c r="U297" s="610"/>
      <c r="V297" s="610"/>
      <c r="W297" s="610"/>
      <c r="X297" s="610"/>
      <c r="Y297" s="610"/>
      <c r="Z297" s="610"/>
      <c r="AA297" s="611"/>
    </row>
    <row r="298" spans="2:28" x14ac:dyDescent="0.25">
      <c r="B298" s="612"/>
      <c r="C298" s="613" t="s">
        <v>70</v>
      </c>
      <c r="D298" s="614" t="s">
        <v>16</v>
      </c>
      <c r="E298" s="610"/>
      <c r="F298" s="610"/>
      <c r="G298" s="616">
        <f>SUM('III. Inputs, Renewable Energy'!$V$38)</f>
        <v>0</v>
      </c>
      <c r="H298" s="610"/>
      <c r="I298" s="610"/>
      <c r="J298" s="610"/>
      <c r="K298" s="610"/>
      <c r="L298" s="610"/>
      <c r="M298" s="610"/>
      <c r="N298" s="610"/>
      <c r="O298" s="610"/>
      <c r="P298" s="610"/>
      <c r="Q298" s="610"/>
      <c r="R298" s="610"/>
      <c r="S298" s="610"/>
      <c r="T298" s="610"/>
      <c r="U298" s="610"/>
      <c r="V298" s="610"/>
      <c r="W298" s="610"/>
      <c r="X298" s="610"/>
      <c r="Y298" s="610"/>
      <c r="Z298" s="610"/>
      <c r="AA298" s="611"/>
    </row>
    <row r="299" spans="2:28" x14ac:dyDescent="0.25">
      <c r="B299" s="612"/>
      <c r="C299" s="610" t="s">
        <v>236</v>
      </c>
      <c r="D299" s="614" t="s">
        <v>16</v>
      </c>
      <c r="E299" s="610"/>
      <c r="F299" s="610"/>
      <c r="G299" s="620">
        <f>IF('III. Inputs, Renewable Energy'!$V$117="N", 0, 'III. Inputs, Renewable Energy'!$V$183)</f>
        <v>0</v>
      </c>
      <c r="H299" s="610"/>
      <c r="I299" s="610"/>
      <c r="J299" s="610"/>
      <c r="K299" s="610"/>
      <c r="L299" s="610"/>
      <c r="M299" s="610"/>
      <c r="N299" s="610"/>
      <c r="O299" s="610"/>
      <c r="P299" s="610"/>
      <c r="Q299" s="610"/>
      <c r="R299" s="610"/>
      <c r="S299" s="610"/>
      <c r="T299" s="610"/>
      <c r="U299" s="610"/>
      <c r="V299" s="610"/>
      <c r="W299" s="610"/>
      <c r="X299" s="610"/>
      <c r="Y299" s="610"/>
      <c r="Z299" s="610"/>
      <c r="AA299" s="611"/>
    </row>
    <row r="300" spans="2:28" x14ac:dyDescent="0.25">
      <c r="B300" s="612"/>
      <c r="C300" s="610" t="s">
        <v>209</v>
      </c>
      <c r="D300" s="614" t="s">
        <v>20</v>
      </c>
      <c r="E300" s="610"/>
      <c r="F300" s="610"/>
      <c r="G300" s="621">
        <f>IF('III. Inputs, Renewable Energy'!$V$117="N", 0, 'III. Inputs, Renewable Energy'!$V$184)</f>
        <v>0</v>
      </c>
      <c r="H300" s="610"/>
      <c r="I300" s="610"/>
      <c r="J300" s="610"/>
      <c r="K300" s="610"/>
      <c r="L300" s="610"/>
      <c r="M300" s="610"/>
      <c r="N300" s="610"/>
      <c r="O300" s="610"/>
      <c r="P300" s="610"/>
      <c r="Q300" s="610"/>
      <c r="R300" s="610"/>
      <c r="S300" s="610"/>
      <c r="T300" s="610"/>
      <c r="U300" s="610"/>
      <c r="V300" s="610"/>
      <c r="W300" s="610"/>
      <c r="X300" s="610"/>
      <c r="Y300" s="610"/>
      <c r="Z300" s="610"/>
      <c r="AA300" s="611"/>
    </row>
    <row r="301" spans="2:28" x14ac:dyDescent="0.25">
      <c r="B301" s="612"/>
      <c r="C301" s="610"/>
      <c r="D301" s="610"/>
      <c r="E301" s="610"/>
      <c r="F301" s="610"/>
      <c r="G301" s="610"/>
      <c r="H301" s="610"/>
      <c r="I301" s="610"/>
      <c r="J301" s="610"/>
      <c r="K301" s="610"/>
      <c r="L301" s="610"/>
      <c r="M301" s="610"/>
      <c r="N301" s="610"/>
      <c r="O301" s="610"/>
      <c r="P301" s="610"/>
      <c r="Q301" s="610"/>
      <c r="R301" s="610"/>
      <c r="S301" s="610"/>
      <c r="T301" s="610"/>
      <c r="U301" s="610"/>
      <c r="V301" s="610"/>
      <c r="W301" s="610"/>
      <c r="X301" s="610"/>
      <c r="Y301" s="610"/>
      <c r="Z301" s="610"/>
      <c r="AA301" s="611"/>
    </row>
    <row r="302" spans="2:28" x14ac:dyDescent="0.25">
      <c r="B302" s="612"/>
      <c r="C302" s="617" t="s">
        <v>67</v>
      </c>
      <c r="D302" s="610"/>
      <c r="E302" s="610"/>
      <c r="F302" s="610"/>
      <c r="G302" s="1338"/>
      <c r="H302" s="1338"/>
      <c r="I302" s="1338"/>
      <c r="J302" s="1338"/>
      <c r="K302" s="1338"/>
      <c r="L302" s="1338"/>
      <c r="M302" s="1338"/>
      <c r="N302" s="1338"/>
      <c r="O302" s="1338"/>
      <c r="P302" s="1338"/>
      <c r="Q302" s="1338"/>
      <c r="R302" s="1338"/>
      <c r="S302" s="1338"/>
      <c r="T302" s="1338"/>
      <c r="U302" s="1338"/>
      <c r="V302" s="1338"/>
      <c r="W302" s="1338"/>
      <c r="X302" s="1338"/>
      <c r="Y302" s="1338"/>
      <c r="Z302" s="1338"/>
      <c r="AA302" s="1339"/>
      <c r="AB302" s="1299"/>
    </row>
    <row r="303" spans="2:28" x14ac:dyDescent="0.25">
      <c r="B303" s="612"/>
      <c r="C303" s="610" t="s">
        <v>73</v>
      </c>
      <c r="D303" s="610"/>
      <c r="E303" s="610"/>
      <c r="F303" s="610"/>
      <c r="G303" s="1338"/>
      <c r="H303" s="1338">
        <f>IF($G$296=0,0,IF(H$196&gt;$G$297,0,IPMT($G$298,H$196,$G$297,-$G$296)))</f>
        <v>0</v>
      </c>
      <c r="I303" s="1338">
        <f t="shared" ref="I303:AA303" si="80">IF($G$296=0,0,IF(I$196&gt;$G$297,0,IPMT($G$298,I$196,$G$297,-$G$296)))</f>
        <v>0</v>
      </c>
      <c r="J303" s="1338">
        <f t="shared" si="80"/>
        <v>0</v>
      </c>
      <c r="K303" s="1338">
        <f t="shared" si="80"/>
        <v>0</v>
      </c>
      <c r="L303" s="1338">
        <f t="shared" si="80"/>
        <v>0</v>
      </c>
      <c r="M303" s="1338">
        <f t="shared" si="80"/>
        <v>0</v>
      </c>
      <c r="N303" s="1338">
        <f t="shared" si="80"/>
        <v>0</v>
      </c>
      <c r="O303" s="1338">
        <f t="shared" si="80"/>
        <v>0</v>
      </c>
      <c r="P303" s="1338">
        <f t="shared" si="80"/>
        <v>0</v>
      </c>
      <c r="Q303" s="1338">
        <f t="shared" si="80"/>
        <v>0</v>
      </c>
      <c r="R303" s="1338">
        <f t="shared" si="80"/>
        <v>0</v>
      </c>
      <c r="S303" s="1338">
        <f t="shared" si="80"/>
        <v>0</v>
      </c>
      <c r="T303" s="1338">
        <f t="shared" si="80"/>
        <v>0</v>
      </c>
      <c r="U303" s="1338">
        <f t="shared" si="80"/>
        <v>0</v>
      </c>
      <c r="V303" s="1338">
        <f t="shared" si="80"/>
        <v>0</v>
      </c>
      <c r="W303" s="1338">
        <f t="shared" si="80"/>
        <v>0</v>
      </c>
      <c r="X303" s="1338">
        <f t="shared" si="80"/>
        <v>0</v>
      </c>
      <c r="Y303" s="1338">
        <f t="shared" si="80"/>
        <v>0</v>
      </c>
      <c r="Z303" s="1338">
        <f t="shared" si="80"/>
        <v>0</v>
      </c>
      <c r="AA303" s="1339">
        <f t="shared" si="80"/>
        <v>0</v>
      </c>
      <c r="AB303" s="1299"/>
    </row>
    <row r="304" spans="2:28" x14ac:dyDescent="0.25">
      <c r="B304" s="612"/>
      <c r="C304" s="618" t="s">
        <v>72</v>
      </c>
      <c r="D304" s="618"/>
      <c r="E304" s="618"/>
      <c r="F304" s="618"/>
      <c r="G304" s="1340"/>
      <c r="H304" s="1340">
        <f>IF($G$296=0,0,IF(H$196&gt;$G$297,0,PPMT($G$298,H$196,$G$297,-$G$296)))</f>
        <v>0</v>
      </c>
      <c r="I304" s="1340">
        <f t="shared" ref="I304:AA304" si="81">IF($G$296=0,0,IF(I$196&gt;$G$297,0,PPMT($G$298,I$196,$G$297,-$G$296)))</f>
        <v>0</v>
      </c>
      <c r="J304" s="1340">
        <f t="shared" si="81"/>
        <v>0</v>
      </c>
      <c r="K304" s="1340">
        <f t="shared" si="81"/>
        <v>0</v>
      </c>
      <c r="L304" s="1340">
        <f t="shared" si="81"/>
        <v>0</v>
      </c>
      <c r="M304" s="1340">
        <f t="shared" si="81"/>
        <v>0</v>
      </c>
      <c r="N304" s="1340">
        <f t="shared" si="81"/>
        <v>0</v>
      </c>
      <c r="O304" s="1340">
        <f t="shared" si="81"/>
        <v>0</v>
      </c>
      <c r="P304" s="1340">
        <f t="shared" si="81"/>
        <v>0</v>
      </c>
      <c r="Q304" s="1340">
        <f t="shared" si="81"/>
        <v>0</v>
      </c>
      <c r="R304" s="1340">
        <f t="shared" si="81"/>
        <v>0</v>
      </c>
      <c r="S304" s="1340">
        <f t="shared" si="81"/>
        <v>0</v>
      </c>
      <c r="T304" s="1340">
        <f t="shared" si="81"/>
        <v>0</v>
      </c>
      <c r="U304" s="1340">
        <f t="shared" si="81"/>
        <v>0</v>
      </c>
      <c r="V304" s="1340">
        <f t="shared" si="81"/>
        <v>0</v>
      </c>
      <c r="W304" s="1340">
        <f t="shared" si="81"/>
        <v>0</v>
      </c>
      <c r="X304" s="1340">
        <f t="shared" si="81"/>
        <v>0</v>
      </c>
      <c r="Y304" s="1340">
        <f t="shared" si="81"/>
        <v>0</v>
      </c>
      <c r="Z304" s="1340">
        <f t="shared" si="81"/>
        <v>0</v>
      </c>
      <c r="AA304" s="1341">
        <f t="shared" si="81"/>
        <v>0</v>
      </c>
      <c r="AB304" s="1299"/>
    </row>
    <row r="305" spans="2:28" x14ac:dyDescent="0.25">
      <c r="B305" s="612"/>
      <c r="C305" s="610" t="s">
        <v>74</v>
      </c>
      <c r="D305" s="610"/>
      <c r="E305" s="610"/>
      <c r="F305" s="610"/>
      <c r="G305" s="1338"/>
      <c r="H305" s="1338">
        <f>SUM(H303:H304)</f>
        <v>0</v>
      </c>
      <c r="I305" s="1338">
        <f t="shared" ref="I305:AA305" si="82">SUM(I303:I304)</f>
        <v>0</v>
      </c>
      <c r="J305" s="1338">
        <f t="shared" si="82"/>
        <v>0</v>
      </c>
      <c r="K305" s="1338">
        <f t="shared" si="82"/>
        <v>0</v>
      </c>
      <c r="L305" s="1338">
        <f t="shared" si="82"/>
        <v>0</v>
      </c>
      <c r="M305" s="1338">
        <f t="shared" si="82"/>
        <v>0</v>
      </c>
      <c r="N305" s="1338">
        <f t="shared" si="82"/>
        <v>0</v>
      </c>
      <c r="O305" s="1338">
        <f t="shared" si="82"/>
        <v>0</v>
      </c>
      <c r="P305" s="1338">
        <f t="shared" si="82"/>
        <v>0</v>
      </c>
      <c r="Q305" s="1338">
        <f t="shared" si="82"/>
        <v>0</v>
      </c>
      <c r="R305" s="1338">
        <f t="shared" si="82"/>
        <v>0</v>
      </c>
      <c r="S305" s="1338">
        <f t="shared" si="82"/>
        <v>0</v>
      </c>
      <c r="T305" s="1338">
        <f t="shared" si="82"/>
        <v>0</v>
      </c>
      <c r="U305" s="1338">
        <f t="shared" si="82"/>
        <v>0</v>
      </c>
      <c r="V305" s="1338">
        <f t="shared" si="82"/>
        <v>0</v>
      </c>
      <c r="W305" s="1338">
        <f t="shared" si="82"/>
        <v>0</v>
      </c>
      <c r="X305" s="1338">
        <f t="shared" si="82"/>
        <v>0</v>
      </c>
      <c r="Y305" s="1338">
        <f t="shared" si="82"/>
        <v>0</v>
      </c>
      <c r="Z305" s="1338">
        <f t="shared" si="82"/>
        <v>0</v>
      </c>
      <c r="AA305" s="1339">
        <f t="shared" si="82"/>
        <v>0</v>
      </c>
      <c r="AB305" s="1299"/>
    </row>
    <row r="306" spans="2:28" x14ac:dyDescent="0.25">
      <c r="B306" s="612"/>
      <c r="C306" s="610"/>
      <c r="D306" s="610"/>
      <c r="E306" s="610"/>
      <c r="F306" s="610"/>
      <c r="G306" s="1338"/>
      <c r="H306" s="1338"/>
      <c r="I306" s="1338"/>
      <c r="J306" s="1338"/>
      <c r="K306" s="1338"/>
      <c r="L306" s="1338"/>
      <c r="M306" s="1338"/>
      <c r="N306" s="1338"/>
      <c r="O306" s="1338"/>
      <c r="P306" s="1338"/>
      <c r="Q306" s="1338"/>
      <c r="R306" s="1338"/>
      <c r="S306" s="1338"/>
      <c r="T306" s="1338"/>
      <c r="U306" s="1338"/>
      <c r="V306" s="1338"/>
      <c r="W306" s="1338"/>
      <c r="X306" s="1338"/>
      <c r="Y306" s="1338"/>
      <c r="Z306" s="1338"/>
      <c r="AA306" s="1339"/>
      <c r="AB306" s="1299"/>
    </row>
    <row r="307" spans="2:28" x14ac:dyDescent="0.25">
      <c r="B307" s="612"/>
      <c r="C307" s="619" t="s">
        <v>65</v>
      </c>
      <c r="D307" s="610"/>
      <c r="E307" s="610"/>
      <c r="F307" s="610"/>
      <c r="G307" s="1338"/>
      <c r="H307" s="1338"/>
      <c r="I307" s="1338"/>
      <c r="J307" s="1338"/>
      <c r="K307" s="1338"/>
      <c r="L307" s="1338"/>
      <c r="M307" s="1338"/>
      <c r="N307" s="1338"/>
      <c r="O307" s="1338"/>
      <c r="P307" s="1338"/>
      <c r="Q307" s="1338"/>
      <c r="R307" s="1338"/>
      <c r="S307" s="1338"/>
      <c r="T307" s="1338"/>
      <c r="U307" s="1338"/>
      <c r="V307" s="1338"/>
      <c r="W307" s="1338"/>
      <c r="X307" s="1338"/>
      <c r="Y307" s="1338"/>
      <c r="Z307" s="1338"/>
      <c r="AA307" s="1339"/>
      <c r="AB307" s="1299"/>
    </row>
    <row r="308" spans="2:28" x14ac:dyDescent="0.25">
      <c r="B308" s="612"/>
      <c r="C308" s="610" t="s">
        <v>75</v>
      </c>
      <c r="D308" s="610"/>
      <c r="E308" s="610"/>
      <c r="F308" s="610"/>
      <c r="G308" s="1338">
        <v>0</v>
      </c>
      <c r="H308" s="1338">
        <f>G311</f>
        <v>0</v>
      </c>
      <c r="I308" s="1338">
        <f t="shared" ref="I308:AA308" si="83">H311</f>
        <v>0</v>
      </c>
      <c r="J308" s="1338">
        <f t="shared" si="83"/>
        <v>0</v>
      </c>
      <c r="K308" s="1338">
        <f t="shared" si="83"/>
        <v>0</v>
      </c>
      <c r="L308" s="1338">
        <f t="shared" si="83"/>
        <v>0</v>
      </c>
      <c r="M308" s="1338">
        <f t="shared" si="83"/>
        <v>0</v>
      </c>
      <c r="N308" s="1338">
        <f t="shared" si="83"/>
        <v>0</v>
      </c>
      <c r="O308" s="1338">
        <f t="shared" si="83"/>
        <v>0</v>
      </c>
      <c r="P308" s="1338">
        <f t="shared" si="83"/>
        <v>0</v>
      </c>
      <c r="Q308" s="1338">
        <f t="shared" si="83"/>
        <v>0</v>
      </c>
      <c r="R308" s="1338">
        <f t="shared" si="83"/>
        <v>0</v>
      </c>
      <c r="S308" s="1338">
        <f t="shared" si="83"/>
        <v>0</v>
      </c>
      <c r="T308" s="1338">
        <f t="shared" si="83"/>
        <v>0</v>
      </c>
      <c r="U308" s="1338">
        <f t="shared" si="83"/>
        <v>0</v>
      </c>
      <c r="V308" s="1338">
        <f t="shared" si="83"/>
        <v>0</v>
      </c>
      <c r="W308" s="1338">
        <f t="shared" si="83"/>
        <v>0</v>
      </c>
      <c r="X308" s="1338">
        <f t="shared" si="83"/>
        <v>0</v>
      </c>
      <c r="Y308" s="1338">
        <f t="shared" si="83"/>
        <v>0</v>
      </c>
      <c r="Z308" s="1338">
        <f t="shared" si="83"/>
        <v>0</v>
      </c>
      <c r="AA308" s="1339">
        <f t="shared" si="83"/>
        <v>0</v>
      </c>
      <c r="AB308" s="1299"/>
    </row>
    <row r="309" spans="2:28" x14ac:dyDescent="0.25">
      <c r="B309" s="612"/>
      <c r="C309" s="610" t="s">
        <v>76</v>
      </c>
      <c r="D309" s="610"/>
      <c r="E309" s="610"/>
      <c r="F309" s="610"/>
      <c r="G309" s="1338">
        <f>G296</f>
        <v>0</v>
      </c>
      <c r="H309" s="1338">
        <v>0</v>
      </c>
      <c r="I309" s="1338">
        <v>0</v>
      </c>
      <c r="J309" s="1338">
        <v>0</v>
      </c>
      <c r="K309" s="1338">
        <v>0</v>
      </c>
      <c r="L309" s="1338">
        <v>0</v>
      </c>
      <c r="M309" s="1338">
        <v>0</v>
      </c>
      <c r="N309" s="1338">
        <v>0</v>
      </c>
      <c r="O309" s="1338">
        <v>0</v>
      </c>
      <c r="P309" s="1338">
        <v>0</v>
      </c>
      <c r="Q309" s="1338">
        <v>0</v>
      </c>
      <c r="R309" s="1338">
        <v>0</v>
      </c>
      <c r="S309" s="1338">
        <v>0</v>
      </c>
      <c r="T309" s="1338">
        <v>0</v>
      </c>
      <c r="U309" s="1338">
        <v>0</v>
      </c>
      <c r="V309" s="1338">
        <v>0</v>
      </c>
      <c r="W309" s="1338">
        <v>0</v>
      </c>
      <c r="X309" s="1338">
        <v>0</v>
      </c>
      <c r="Y309" s="1338">
        <v>0</v>
      </c>
      <c r="Z309" s="1338">
        <v>0</v>
      </c>
      <c r="AA309" s="1339">
        <v>0</v>
      </c>
      <c r="AB309" s="1299"/>
    </row>
    <row r="310" spans="2:28" x14ac:dyDescent="0.25">
      <c r="B310" s="612"/>
      <c r="C310" s="618" t="s">
        <v>77</v>
      </c>
      <c r="D310" s="618"/>
      <c r="E310" s="618"/>
      <c r="F310" s="618"/>
      <c r="G310" s="1340">
        <v>0</v>
      </c>
      <c r="H310" s="1340">
        <f>-H304</f>
        <v>0</v>
      </c>
      <c r="I310" s="1340">
        <f t="shared" ref="I310:AA310" si="84">-I304</f>
        <v>0</v>
      </c>
      <c r="J310" s="1340">
        <f t="shared" si="84"/>
        <v>0</v>
      </c>
      <c r="K310" s="1340">
        <f t="shared" si="84"/>
        <v>0</v>
      </c>
      <c r="L310" s="1340">
        <f t="shared" si="84"/>
        <v>0</v>
      </c>
      <c r="M310" s="1340">
        <f t="shared" si="84"/>
        <v>0</v>
      </c>
      <c r="N310" s="1340">
        <f t="shared" si="84"/>
        <v>0</v>
      </c>
      <c r="O310" s="1340">
        <f t="shared" si="84"/>
        <v>0</v>
      </c>
      <c r="P310" s="1340">
        <f t="shared" si="84"/>
        <v>0</v>
      </c>
      <c r="Q310" s="1340">
        <f t="shared" si="84"/>
        <v>0</v>
      </c>
      <c r="R310" s="1340">
        <f t="shared" si="84"/>
        <v>0</v>
      </c>
      <c r="S310" s="1340">
        <f t="shared" si="84"/>
        <v>0</v>
      </c>
      <c r="T310" s="1340">
        <f t="shared" si="84"/>
        <v>0</v>
      </c>
      <c r="U310" s="1340">
        <f t="shared" si="84"/>
        <v>0</v>
      </c>
      <c r="V310" s="1340">
        <f t="shared" si="84"/>
        <v>0</v>
      </c>
      <c r="W310" s="1340">
        <f t="shared" si="84"/>
        <v>0</v>
      </c>
      <c r="X310" s="1340">
        <f t="shared" si="84"/>
        <v>0</v>
      </c>
      <c r="Y310" s="1340">
        <f t="shared" si="84"/>
        <v>0</v>
      </c>
      <c r="Z310" s="1340">
        <f t="shared" si="84"/>
        <v>0</v>
      </c>
      <c r="AA310" s="1341">
        <f t="shared" si="84"/>
        <v>0</v>
      </c>
      <c r="AB310" s="1299"/>
    </row>
    <row r="311" spans="2:28" x14ac:dyDescent="0.25">
      <c r="B311" s="612"/>
      <c r="C311" s="610" t="s">
        <v>66</v>
      </c>
      <c r="D311" s="610"/>
      <c r="E311" s="610"/>
      <c r="F311" s="610"/>
      <c r="G311" s="1338">
        <f>SUM(G308:G310)</f>
        <v>0</v>
      </c>
      <c r="H311" s="1338">
        <f>SUM(H308:H310)</f>
        <v>0</v>
      </c>
      <c r="I311" s="1338">
        <f t="shared" ref="I311:AA311" si="85">SUM(I308:I310)</f>
        <v>0</v>
      </c>
      <c r="J311" s="1338">
        <f t="shared" si="85"/>
        <v>0</v>
      </c>
      <c r="K311" s="1338">
        <f t="shared" si="85"/>
        <v>0</v>
      </c>
      <c r="L311" s="1338">
        <f t="shared" si="85"/>
        <v>0</v>
      </c>
      <c r="M311" s="1338">
        <f t="shared" si="85"/>
        <v>0</v>
      </c>
      <c r="N311" s="1338">
        <f t="shared" si="85"/>
        <v>0</v>
      </c>
      <c r="O311" s="1338">
        <f t="shared" si="85"/>
        <v>0</v>
      </c>
      <c r="P311" s="1338">
        <f t="shared" si="85"/>
        <v>0</v>
      </c>
      <c r="Q311" s="1338">
        <f t="shared" si="85"/>
        <v>0</v>
      </c>
      <c r="R311" s="1338">
        <f t="shared" si="85"/>
        <v>0</v>
      </c>
      <c r="S311" s="1338">
        <f t="shared" si="85"/>
        <v>0</v>
      </c>
      <c r="T311" s="1338">
        <f t="shared" si="85"/>
        <v>0</v>
      </c>
      <c r="U311" s="1338">
        <f t="shared" si="85"/>
        <v>0</v>
      </c>
      <c r="V311" s="1338">
        <f t="shared" si="85"/>
        <v>0</v>
      </c>
      <c r="W311" s="1338">
        <f t="shared" si="85"/>
        <v>0</v>
      </c>
      <c r="X311" s="1338">
        <f t="shared" si="85"/>
        <v>0</v>
      </c>
      <c r="Y311" s="1338">
        <f t="shared" si="85"/>
        <v>0</v>
      </c>
      <c r="Z311" s="1338">
        <f t="shared" si="85"/>
        <v>0</v>
      </c>
      <c r="AA311" s="1339">
        <f t="shared" si="85"/>
        <v>0</v>
      </c>
      <c r="AB311" s="1299"/>
    </row>
    <row r="312" spans="2:28" x14ac:dyDescent="0.25">
      <c r="B312" s="612"/>
      <c r="C312" s="610"/>
      <c r="D312" s="610"/>
      <c r="E312" s="610"/>
      <c r="F312" s="610"/>
      <c r="G312" s="1338"/>
      <c r="H312" s="1338"/>
      <c r="I312" s="1338"/>
      <c r="J312" s="1338"/>
      <c r="K312" s="1338"/>
      <c r="L312" s="1338"/>
      <c r="M312" s="1338"/>
      <c r="N312" s="1338"/>
      <c r="O312" s="1338"/>
      <c r="P312" s="1338"/>
      <c r="Q312" s="1338"/>
      <c r="R312" s="1338"/>
      <c r="S312" s="1338"/>
      <c r="T312" s="1338"/>
      <c r="U312" s="1338"/>
      <c r="V312" s="1338"/>
      <c r="W312" s="1338"/>
      <c r="X312" s="1338"/>
      <c r="Y312" s="1338"/>
      <c r="Z312" s="1338"/>
      <c r="AA312" s="1339"/>
      <c r="AB312" s="1299"/>
    </row>
    <row r="313" spans="2:28" x14ac:dyDescent="0.25">
      <c r="B313" s="612"/>
      <c r="C313" s="619" t="s">
        <v>71</v>
      </c>
      <c r="D313" s="610"/>
      <c r="E313" s="610"/>
      <c r="F313" s="610"/>
      <c r="G313" s="1338"/>
      <c r="H313" s="1338"/>
      <c r="I313" s="1338"/>
      <c r="J313" s="1338"/>
      <c r="K313" s="1338"/>
      <c r="L313" s="1338"/>
      <c r="M313" s="1338"/>
      <c r="N313" s="1338"/>
      <c r="O313" s="1338"/>
      <c r="P313" s="1338"/>
      <c r="Q313" s="1338"/>
      <c r="R313" s="1338"/>
      <c r="S313" s="1338"/>
      <c r="T313" s="1338"/>
      <c r="U313" s="1338"/>
      <c r="V313" s="1338"/>
      <c r="W313" s="1338"/>
      <c r="X313" s="1338"/>
      <c r="Y313" s="1338"/>
      <c r="Z313" s="1338"/>
      <c r="AA313" s="1339"/>
      <c r="AB313" s="1299"/>
    </row>
    <row r="314" spans="2:28" x14ac:dyDescent="0.25">
      <c r="B314" s="612"/>
      <c r="C314" s="610" t="str">
        <f>'III. Inputs, Renewable Energy'!$N$182</f>
        <v xml:space="preserve">Front-end Fee, Commercial Loans </v>
      </c>
      <c r="D314" s="610"/>
      <c r="E314" s="610"/>
      <c r="F314" s="610"/>
      <c r="G314" s="1338"/>
      <c r="H314" s="1338">
        <f>IF($G$296&gt;0, $G$296*'III. Inputs, Renewable Energy'!$V$182/10000,0)</f>
        <v>0</v>
      </c>
      <c r="I314" s="1342">
        <v>0</v>
      </c>
      <c r="J314" s="1342">
        <v>0</v>
      </c>
      <c r="K314" s="1342">
        <v>0</v>
      </c>
      <c r="L314" s="1342">
        <v>0</v>
      </c>
      <c r="M314" s="1342">
        <v>0</v>
      </c>
      <c r="N314" s="1342">
        <v>0</v>
      </c>
      <c r="O314" s="1342">
        <v>0</v>
      </c>
      <c r="P314" s="1342">
        <v>0</v>
      </c>
      <c r="Q314" s="1342">
        <v>0</v>
      </c>
      <c r="R314" s="1342">
        <v>0</v>
      </c>
      <c r="S314" s="1342">
        <v>0</v>
      </c>
      <c r="T314" s="1342">
        <v>0</v>
      </c>
      <c r="U314" s="1342">
        <v>0</v>
      </c>
      <c r="V314" s="1342">
        <v>0</v>
      </c>
      <c r="W314" s="1342">
        <v>0</v>
      </c>
      <c r="X314" s="1342">
        <v>0</v>
      </c>
      <c r="Y314" s="1342">
        <v>0</v>
      </c>
      <c r="Z314" s="1342">
        <v>0</v>
      </c>
      <c r="AA314" s="1343">
        <v>0</v>
      </c>
      <c r="AB314" s="1299"/>
    </row>
    <row r="315" spans="2:28" x14ac:dyDescent="0.25">
      <c r="B315" s="612"/>
      <c r="C315" s="610" t="str">
        <f>'III. Inputs, Renewable Energy'!$O$185</f>
        <v>Front-end Fee, Public Guarantee</v>
      </c>
      <c r="D315" s="610"/>
      <c r="E315" s="610"/>
      <c r="F315" s="610"/>
      <c r="G315" s="1338"/>
      <c r="H315" s="1338">
        <f>IF($G$296&gt;0, $G$296*$G$299*'III. Inputs, Renewable Energy'!$V$185/10000,0)</f>
        <v>0</v>
      </c>
      <c r="I315" s="1342">
        <v>0</v>
      </c>
      <c r="J315" s="1342">
        <v>0</v>
      </c>
      <c r="K315" s="1342">
        <v>0</v>
      </c>
      <c r="L315" s="1342">
        <v>0</v>
      </c>
      <c r="M315" s="1342">
        <v>0</v>
      </c>
      <c r="N315" s="1342">
        <v>0</v>
      </c>
      <c r="O315" s="1342">
        <v>0</v>
      </c>
      <c r="P315" s="1342">
        <v>0</v>
      </c>
      <c r="Q315" s="1342">
        <v>0</v>
      </c>
      <c r="R315" s="1342">
        <v>0</v>
      </c>
      <c r="S315" s="1342">
        <v>0</v>
      </c>
      <c r="T315" s="1342">
        <v>0</v>
      </c>
      <c r="U315" s="1342">
        <v>0</v>
      </c>
      <c r="V315" s="1342">
        <v>0</v>
      </c>
      <c r="W315" s="1342">
        <v>0</v>
      </c>
      <c r="X315" s="1342">
        <v>0</v>
      </c>
      <c r="Y315" s="1342">
        <v>0</v>
      </c>
      <c r="Z315" s="1342">
        <v>0</v>
      </c>
      <c r="AA315" s="1343">
        <v>0</v>
      </c>
      <c r="AB315" s="1299"/>
    </row>
    <row r="316" spans="2:28" x14ac:dyDescent="0.25">
      <c r="B316" s="612"/>
      <c r="C316" s="610" t="str">
        <f>'III. Inputs, Renewable Energy'!$O$186</f>
        <v>Annual Guarantee Fee</v>
      </c>
      <c r="D316" s="610"/>
      <c r="E316" s="610"/>
      <c r="F316" s="610"/>
      <c r="G316" s="1338"/>
      <c r="H316" s="1338">
        <f>IF(H$196&gt;$G$300,0,((H308+H311)/2)*$G$299*'III. Inputs, Renewable Energy'!$V$186/10000)</f>
        <v>0</v>
      </c>
      <c r="I316" s="1338">
        <f>IF(I$196&gt;$G$300,0,((I308+I311)/2)*$G$299*'III. Inputs, Renewable Energy'!$V$186/10000)</f>
        <v>0</v>
      </c>
      <c r="J316" s="1338">
        <f>IF(J$196&gt;$G$300,0,((J308+J311)/2)*$G$299*'III. Inputs, Renewable Energy'!$V$186/10000)</f>
        <v>0</v>
      </c>
      <c r="K316" s="1338">
        <f>IF(K$196&gt;$G$300,0,((K308+K311)/2)*$G$299*'III. Inputs, Renewable Energy'!$V$186/10000)</f>
        <v>0</v>
      </c>
      <c r="L316" s="1338">
        <f>IF(L$196&gt;$G$300,0,((L308+L311)/2)*$G$299*'III. Inputs, Renewable Energy'!$V$186/10000)</f>
        <v>0</v>
      </c>
      <c r="M316" s="1338">
        <f>IF(M$196&gt;$G$300,0,((M308+M311)/2)*$G$299*'III. Inputs, Renewable Energy'!$V$186/10000)</f>
        <v>0</v>
      </c>
      <c r="N316" s="1338">
        <f>IF(N$196&gt;$G$300,0,((N308+N311)/2)*$G$299*'III. Inputs, Renewable Energy'!$V$186/10000)</f>
        <v>0</v>
      </c>
      <c r="O316" s="1338">
        <f>IF(O$196&gt;$G$300,0,((O308+O311)/2)*$G$299*'III. Inputs, Renewable Energy'!$V$186/10000)</f>
        <v>0</v>
      </c>
      <c r="P316" s="1338">
        <f>IF(P$196&gt;$G$300,0,((P308+P311)/2)*$G$299*'III. Inputs, Renewable Energy'!$V$186/10000)</f>
        <v>0</v>
      </c>
      <c r="Q316" s="1338">
        <f>IF(Q$196&gt;$G$300,0,((Q308+Q311)/2)*$G$299*'III. Inputs, Renewable Energy'!$V$186/10000)</f>
        <v>0</v>
      </c>
      <c r="R316" s="1338">
        <f>IF(R$196&gt;$G$300,0,((R308+R311)/2)*$G$299*'III. Inputs, Renewable Energy'!$V$186/10000)</f>
        <v>0</v>
      </c>
      <c r="S316" s="1338">
        <f>IF(S$196&gt;$G$300,0,((S308+S311)/2)*$G$299*'III. Inputs, Renewable Energy'!$V$186/10000)</f>
        <v>0</v>
      </c>
      <c r="T316" s="1338">
        <f>IF(T$196&gt;$G$300,0,((T308+T311)/2)*$G$299*'III. Inputs, Renewable Energy'!$V$186/10000)</f>
        <v>0</v>
      </c>
      <c r="U316" s="1338">
        <f>IF(U$196&gt;$G$300,0,((U308+U311)/2)*$G$299*'III. Inputs, Renewable Energy'!$V$186/10000)</f>
        <v>0</v>
      </c>
      <c r="V316" s="1338">
        <f>IF(V$196&gt;$G$300,0,((V308+V311)/2)*$G$299*'III. Inputs, Renewable Energy'!$V$186/10000)</f>
        <v>0</v>
      </c>
      <c r="W316" s="1338">
        <f>IF(W$196&gt;$G$300,0,((W308+W311)/2)*$G$299*'III. Inputs, Renewable Energy'!$V$186/10000)</f>
        <v>0</v>
      </c>
      <c r="X316" s="1338">
        <f>IF(X$196&gt;$G$300,0,((X308+X311)/2)*$G$299*'III. Inputs, Renewable Energy'!$V$186/10000)</f>
        <v>0</v>
      </c>
      <c r="Y316" s="1338">
        <f>IF(Y$196&gt;$G$300,0,((Y308+Y311)/2)*$G$299*'III. Inputs, Renewable Energy'!$V$186/10000)</f>
        <v>0</v>
      </c>
      <c r="Z316" s="1338">
        <f>IF(Z$196&gt;$G$300,0,((Z308+Z311)/2)*$G$299*'III. Inputs, Renewable Energy'!$V$186/10000)</f>
        <v>0</v>
      </c>
      <c r="AA316" s="1339">
        <f>IF(AA$196&gt;$G$300,0,((AA308+AA311)/2)*$G$299*'III. Inputs, Renewable Energy'!$V$186/10000)</f>
        <v>0</v>
      </c>
      <c r="AB316" s="1299"/>
    </row>
    <row r="317" spans="2:28" x14ac:dyDescent="0.25">
      <c r="B317" s="612"/>
      <c r="C317" s="610"/>
      <c r="D317" s="610"/>
      <c r="E317" s="610"/>
      <c r="F317" s="610"/>
      <c r="G317" s="610"/>
      <c r="H317" s="610"/>
      <c r="I317" s="610"/>
      <c r="J317" s="610"/>
      <c r="K317" s="610"/>
      <c r="L317" s="610"/>
      <c r="M317" s="610"/>
      <c r="N317" s="610"/>
      <c r="O317" s="610"/>
      <c r="P317" s="610"/>
      <c r="Q317" s="610"/>
      <c r="R317" s="610"/>
      <c r="S317" s="610"/>
      <c r="T317" s="610"/>
      <c r="U317" s="610"/>
      <c r="V317" s="610"/>
      <c r="W317" s="610"/>
      <c r="X317" s="610"/>
      <c r="Y317" s="610"/>
      <c r="Z317" s="610"/>
      <c r="AA317" s="611"/>
    </row>
    <row r="318" spans="2:28" x14ac:dyDescent="0.25">
      <c r="B318" s="609" t="s">
        <v>181</v>
      </c>
      <c r="C318" s="610"/>
      <c r="D318" s="610"/>
      <c r="E318" s="610"/>
      <c r="F318" s="610"/>
      <c r="G318" s="610"/>
      <c r="H318" s="610"/>
      <c r="I318" s="610"/>
      <c r="J318" s="610"/>
      <c r="K318" s="610"/>
      <c r="L318" s="610"/>
      <c r="M318" s="610"/>
      <c r="N318" s="610"/>
      <c r="O318" s="610"/>
      <c r="P318" s="610"/>
      <c r="Q318" s="610"/>
      <c r="R318" s="610"/>
      <c r="S318" s="610"/>
      <c r="T318" s="610"/>
      <c r="U318" s="610"/>
      <c r="V318" s="610"/>
      <c r="W318" s="610"/>
      <c r="X318" s="610"/>
      <c r="Y318" s="610"/>
      <c r="Z318" s="610"/>
      <c r="AA318" s="611"/>
    </row>
    <row r="319" spans="2:28" x14ac:dyDescent="0.25">
      <c r="B319" s="612"/>
      <c r="C319" s="613" t="s">
        <v>68</v>
      </c>
      <c r="D319" s="610"/>
      <c r="E319" s="610"/>
      <c r="F319" s="610"/>
      <c r="G319" s="1338">
        <f>IF('III. Inputs, Renewable Energy'!$V$32&gt;0,((('III. Inputs, Renewable Energy'!U254+('III. Inputs, Renewable Energy'!U250*'III. Inputs, Renewable Energy'!U252*'III. Inputs, Renewable Energy'!U253))*('III. Inputs, Renewable Energy'!U14/'III. Inputs, Renewable Energy'!U255))*'III. Inputs, Renewable Energy'!V28*SUM('III. Inputs, Renewable Energy'!$V$32)),0)</f>
        <v>21343999.999999996</v>
      </c>
      <c r="H319" s="610"/>
      <c r="I319" s="610"/>
      <c r="J319" s="610"/>
      <c r="K319" s="610"/>
      <c r="L319" s="610"/>
      <c r="M319" s="610"/>
      <c r="N319" s="610"/>
      <c r="O319" s="610"/>
      <c r="P319" s="610"/>
      <c r="Q319" s="610"/>
      <c r="R319" s="610"/>
      <c r="S319" s="610"/>
      <c r="T319" s="610"/>
      <c r="U319" s="610"/>
      <c r="V319" s="610"/>
      <c r="W319" s="610"/>
      <c r="X319" s="610"/>
      <c r="Y319" s="610"/>
      <c r="Z319" s="610"/>
      <c r="AA319" s="611"/>
    </row>
    <row r="320" spans="2:28" x14ac:dyDescent="0.25">
      <c r="B320" s="612"/>
      <c r="C320" s="613" t="s">
        <v>69</v>
      </c>
      <c r="D320" s="610"/>
      <c r="E320" s="610"/>
      <c r="F320" s="610"/>
      <c r="G320" s="621">
        <f>IF('III. Inputs, Renewable Energy'!$V$32&gt;0, 'III. Inputs, Renewable Energy'!$V$44,0)</f>
        <v>11</v>
      </c>
      <c r="H320" s="610"/>
      <c r="I320" s="610"/>
      <c r="J320" s="610"/>
      <c r="K320" s="610"/>
      <c r="L320" s="610"/>
      <c r="M320" s="610"/>
      <c r="N320" s="610"/>
      <c r="O320" s="610"/>
      <c r="P320" s="610"/>
      <c r="Q320" s="610"/>
      <c r="R320" s="610"/>
      <c r="S320" s="610"/>
      <c r="T320" s="610"/>
      <c r="U320" s="610"/>
      <c r="V320" s="610"/>
      <c r="W320" s="610"/>
      <c r="X320" s="610"/>
      <c r="Y320" s="610"/>
      <c r="Z320" s="610"/>
      <c r="AA320" s="611"/>
    </row>
    <row r="321" spans="2:27" x14ac:dyDescent="0.25">
      <c r="B321" s="612"/>
      <c r="C321" s="613" t="s">
        <v>70</v>
      </c>
      <c r="D321" s="610"/>
      <c r="E321" s="610"/>
      <c r="F321" s="610"/>
      <c r="G321" s="779">
        <f>SUM('III. Inputs, Renewable Energy'!V39)</f>
        <v>5.6242205302102208E-2</v>
      </c>
      <c r="H321" s="610"/>
      <c r="I321" s="610"/>
      <c r="J321" s="610"/>
      <c r="K321" s="610"/>
      <c r="L321" s="610"/>
      <c r="M321" s="610"/>
      <c r="N321" s="610"/>
      <c r="O321" s="610"/>
      <c r="P321" s="610"/>
      <c r="Q321" s="610"/>
      <c r="R321" s="610"/>
      <c r="S321" s="610"/>
      <c r="T321" s="610"/>
      <c r="U321" s="610"/>
      <c r="V321" s="610"/>
      <c r="W321" s="610"/>
      <c r="X321" s="610"/>
      <c r="Y321" s="610"/>
      <c r="Z321" s="610"/>
      <c r="AA321" s="611"/>
    </row>
    <row r="322" spans="2:27" x14ac:dyDescent="0.25">
      <c r="B322" s="612"/>
      <c r="C322" s="610"/>
      <c r="D322" s="610"/>
      <c r="E322" s="610"/>
      <c r="F322" s="610"/>
      <c r="G322" s="610"/>
      <c r="H322" s="610"/>
      <c r="I322" s="610"/>
      <c r="J322" s="610"/>
      <c r="K322" s="610"/>
      <c r="L322" s="610"/>
      <c r="M322" s="610"/>
      <c r="N322" s="610"/>
      <c r="O322" s="610"/>
      <c r="P322" s="610"/>
      <c r="Q322" s="610"/>
      <c r="R322" s="610"/>
      <c r="S322" s="610"/>
      <c r="T322" s="610"/>
      <c r="U322" s="610"/>
      <c r="V322" s="610"/>
      <c r="W322" s="610"/>
      <c r="X322" s="610"/>
      <c r="Y322" s="610"/>
      <c r="Z322" s="610"/>
      <c r="AA322" s="611"/>
    </row>
    <row r="323" spans="2:27" x14ac:dyDescent="0.25">
      <c r="B323" s="612"/>
      <c r="C323" s="617" t="s">
        <v>67</v>
      </c>
      <c r="D323" s="610"/>
      <c r="E323" s="610"/>
      <c r="F323" s="610"/>
      <c r="G323" s="610"/>
      <c r="H323" s="610"/>
      <c r="I323" s="610"/>
      <c r="J323" s="610"/>
      <c r="K323" s="610"/>
      <c r="L323" s="610"/>
      <c r="M323" s="610"/>
      <c r="N323" s="610"/>
      <c r="O323" s="610"/>
      <c r="P323" s="610"/>
      <c r="Q323" s="610"/>
      <c r="R323" s="610"/>
      <c r="S323" s="610"/>
      <c r="T323" s="610"/>
      <c r="U323" s="610"/>
      <c r="V323" s="610"/>
      <c r="W323" s="610"/>
      <c r="X323" s="610"/>
      <c r="Y323" s="610"/>
      <c r="Z323" s="610"/>
      <c r="AA323" s="611"/>
    </row>
    <row r="324" spans="2:27" x14ac:dyDescent="0.25">
      <c r="B324" s="612"/>
      <c r="C324" s="610" t="s">
        <v>73</v>
      </c>
      <c r="D324" s="610"/>
      <c r="E324" s="610"/>
      <c r="F324" s="610"/>
      <c r="G324" s="1338"/>
      <c r="H324" s="1338">
        <f>IF($G$319=0,0,IF(H$196&gt;$G$320,0,IPMT($G$321,H$196,$G$320,-$G$319)))</f>
        <v>1200433.6299680693</v>
      </c>
      <c r="I324" s="1338">
        <f t="shared" ref="I324:AA324" si="86">IF($G$319=0,0,IF(I$196&gt;$G$320,0,IPMT($G$321,I$196,$G$320,-$G$319)))</f>
        <v>1118653.8088333455</v>
      </c>
      <c r="J324" s="1338">
        <f t="shared" si="86"/>
        <v>1032274.510208793</v>
      </c>
      <c r="K324" s="1338">
        <f t="shared" si="86"/>
        <v>941037.04933714704</v>
      </c>
      <c r="L324" s="1338">
        <f t="shared" si="86"/>
        <v>844668.19245991576</v>
      </c>
      <c r="M324" s="1338">
        <f t="shared" si="86"/>
        <v>742879.33854946599</v>
      </c>
      <c r="N324" s="1338">
        <f t="shared" si="86"/>
        <v>635365.65501991916</v>
      </c>
      <c r="O324" s="1338">
        <f t="shared" si="86"/>
        <v>521805.16482851829</v>
      </c>
      <c r="P324" s="1338">
        <f t="shared" si="86"/>
        <v>401857.78223356523</v>
      </c>
      <c r="Q324" s="1338">
        <f t="shared" si="86"/>
        <v>275164.2943212571</v>
      </c>
      <c r="R324" s="1338">
        <f t="shared" si="86"/>
        <v>141345.28525134546</v>
      </c>
      <c r="S324" s="1338">
        <f t="shared" si="86"/>
        <v>0</v>
      </c>
      <c r="T324" s="1338">
        <f t="shared" si="86"/>
        <v>0</v>
      </c>
      <c r="U324" s="1338">
        <f t="shared" si="86"/>
        <v>0</v>
      </c>
      <c r="V324" s="1338">
        <f t="shared" si="86"/>
        <v>0</v>
      </c>
      <c r="W324" s="1338">
        <f t="shared" si="86"/>
        <v>0</v>
      </c>
      <c r="X324" s="1338">
        <f t="shared" si="86"/>
        <v>0</v>
      </c>
      <c r="Y324" s="1338">
        <f t="shared" si="86"/>
        <v>0</v>
      </c>
      <c r="Z324" s="1338">
        <f t="shared" si="86"/>
        <v>0</v>
      </c>
      <c r="AA324" s="1339">
        <f t="shared" si="86"/>
        <v>0</v>
      </c>
    </row>
    <row r="325" spans="2:27" x14ac:dyDescent="0.25">
      <c r="B325" s="612"/>
      <c r="C325" s="618" t="s">
        <v>72</v>
      </c>
      <c r="D325" s="618"/>
      <c r="E325" s="618"/>
      <c r="F325" s="618"/>
      <c r="G325" s="1340"/>
      <c r="H325" s="1340">
        <f>IF($G$319=0,0,IF(H$196&gt;$G$320,0,PPMT($G$321,H$196,$G$320,-$G$319)))</f>
        <v>1454064.9801238703</v>
      </c>
      <c r="I325" s="1340">
        <f t="shared" ref="I325:AA325" si="87">IF($G$319=0,0,IF(I$196&gt;$G$320,0,PPMT($G$321,I$196,$G$320,-$G$319)))</f>
        <v>1535844.8012585943</v>
      </c>
      <c r="J325" s="1340">
        <f t="shared" si="87"/>
        <v>1622224.0998831466</v>
      </c>
      <c r="K325" s="1340">
        <f t="shared" si="87"/>
        <v>1713461.5607547923</v>
      </c>
      <c r="L325" s="1340">
        <f t="shared" si="87"/>
        <v>1809830.4176320238</v>
      </c>
      <c r="M325" s="1340">
        <f t="shared" si="87"/>
        <v>1911619.2715424735</v>
      </c>
      <c r="N325" s="1340">
        <f t="shared" si="87"/>
        <v>2019132.9550720204</v>
      </c>
      <c r="O325" s="1340">
        <f t="shared" si="87"/>
        <v>2132693.4452634216</v>
      </c>
      <c r="P325" s="1340">
        <f t="shared" si="87"/>
        <v>2252640.8278583745</v>
      </c>
      <c r="Q325" s="1340">
        <f t="shared" si="87"/>
        <v>2379334.3157706829</v>
      </c>
      <c r="R325" s="1340">
        <f t="shared" si="87"/>
        <v>2513153.3248405945</v>
      </c>
      <c r="S325" s="1340">
        <f t="shared" si="87"/>
        <v>0</v>
      </c>
      <c r="T325" s="1340">
        <f t="shared" si="87"/>
        <v>0</v>
      </c>
      <c r="U325" s="1340">
        <f t="shared" si="87"/>
        <v>0</v>
      </c>
      <c r="V325" s="1340">
        <f t="shared" si="87"/>
        <v>0</v>
      </c>
      <c r="W325" s="1340">
        <f t="shared" si="87"/>
        <v>0</v>
      </c>
      <c r="X325" s="1340">
        <f t="shared" si="87"/>
        <v>0</v>
      </c>
      <c r="Y325" s="1340">
        <f t="shared" si="87"/>
        <v>0</v>
      </c>
      <c r="Z325" s="1340">
        <f t="shared" si="87"/>
        <v>0</v>
      </c>
      <c r="AA325" s="1341">
        <f t="shared" si="87"/>
        <v>0</v>
      </c>
    </row>
    <row r="326" spans="2:27" x14ac:dyDescent="0.25">
      <c r="B326" s="612"/>
      <c r="C326" s="610" t="s">
        <v>74</v>
      </c>
      <c r="D326" s="610"/>
      <c r="E326" s="610"/>
      <c r="F326" s="610"/>
      <c r="G326" s="1338"/>
      <c r="H326" s="1338">
        <f>SUM(H324:H325)</f>
        <v>2654498.6100919396</v>
      </c>
      <c r="I326" s="1338">
        <f t="shared" ref="I326:AA326" si="88">SUM(I324:I325)</f>
        <v>2654498.6100919396</v>
      </c>
      <c r="J326" s="1338">
        <f t="shared" si="88"/>
        <v>2654498.6100919396</v>
      </c>
      <c r="K326" s="1338">
        <f t="shared" si="88"/>
        <v>2654498.6100919396</v>
      </c>
      <c r="L326" s="1338">
        <f t="shared" si="88"/>
        <v>2654498.6100919396</v>
      </c>
      <c r="M326" s="1338">
        <f t="shared" si="88"/>
        <v>2654498.6100919396</v>
      </c>
      <c r="N326" s="1338">
        <f t="shared" si="88"/>
        <v>2654498.6100919396</v>
      </c>
      <c r="O326" s="1338">
        <f t="shared" si="88"/>
        <v>2654498.61009194</v>
      </c>
      <c r="P326" s="1338">
        <f t="shared" si="88"/>
        <v>2654498.6100919396</v>
      </c>
      <c r="Q326" s="1338">
        <f t="shared" si="88"/>
        <v>2654498.61009194</v>
      </c>
      <c r="R326" s="1338">
        <f t="shared" si="88"/>
        <v>2654498.61009194</v>
      </c>
      <c r="S326" s="1338">
        <f t="shared" si="88"/>
        <v>0</v>
      </c>
      <c r="T326" s="1338">
        <f t="shared" si="88"/>
        <v>0</v>
      </c>
      <c r="U326" s="1338">
        <f t="shared" si="88"/>
        <v>0</v>
      </c>
      <c r="V326" s="1338">
        <f t="shared" si="88"/>
        <v>0</v>
      </c>
      <c r="W326" s="1338">
        <f t="shared" si="88"/>
        <v>0</v>
      </c>
      <c r="X326" s="1338">
        <f t="shared" si="88"/>
        <v>0</v>
      </c>
      <c r="Y326" s="1338">
        <f t="shared" si="88"/>
        <v>0</v>
      </c>
      <c r="Z326" s="1338">
        <f t="shared" si="88"/>
        <v>0</v>
      </c>
      <c r="AA326" s="1339">
        <f t="shared" si="88"/>
        <v>0</v>
      </c>
    </row>
    <row r="327" spans="2:27" x14ac:dyDescent="0.25">
      <c r="B327" s="612"/>
      <c r="C327" s="610"/>
      <c r="D327" s="610"/>
      <c r="E327" s="610"/>
      <c r="F327" s="610"/>
      <c r="G327" s="1338"/>
      <c r="H327" s="1338"/>
      <c r="I327" s="1338"/>
      <c r="J327" s="1338"/>
      <c r="K327" s="1338"/>
      <c r="L327" s="1338"/>
      <c r="M327" s="1338"/>
      <c r="N327" s="1338"/>
      <c r="O327" s="1338"/>
      <c r="P327" s="1338"/>
      <c r="Q327" s="1338"/>
      <c r="R327" s="1338"/>
      <c r="S327" s="1338"/>
      <c r="T327" s="1338"/>
      <c r="U327" s="1338"/>
      <c r="V327" s="1338"/>
      <c r="W327" s="1338"/>
      <c r="X327" s="1338"/>
      <c r="Y327" s="1338"/>
      <c r="Z327" s="1338"/>
      <c r="AA327" s="1339"/>
    </row>
    <row r="328" spans="2:27" x14ac:dyDescent="0.25">
      <c r="B328" s="612"/>
      <c r="C328" s="619" t="s">
        <v>65</v>
      </c>
      <c r="D328" s="610"/>
      <c r="E328" s="610"/>
      <c r="F328" s="610"/>
      <c r="G328" s="1338"/>
      <c r="H328" s="1338"/>
      <c r="I328" s="1338"/>
      <c r="J328" s="1338"/>
      <c r="K328" s="1338"/>
      <c r="L328" s="1338"/>
      <c r="M328" s="1338"/>
      <c r="N328" s="1338"/>
      <c r="O328" s="1338"/>
      <c r="P328" s="1338"/>
      <c r="Q328" s="1338"/>
      <c r="R328" s="1338"/>
      <c r="S328" s="1338"/>
      <c r="T328" s="1338"/>
      <c r="U328" s="1338"/>
      <c r="V328" s="1338"/>
      <c r="W328" s="1338"/>
      <c r="X328" s="1338"/>
      <c r="Y328" s="1338"/>
      <c r="Z328" s="1338"/>
      <c r="AA328" s="1339"/>
    </row>
    <row r="329" spans="2:27" x14ac:dyDescent="0.25">
      <c r="B329" s="612"/>
      <c r="C329" s="610" t="s">
        <v>75</v>
      </c>
      <c r="D329" s="610"/>
      <c r="E329" s="610"/>
      <c r="F329" s="610"/>
      <c r="G329" s="1338">
        <v>0</v>
      </c>
      <c r="H329" s="1338">
        <f>G332</f>
        <v>21343999.999999996</v>
      </c>
      <c r="I329" s="1338">
        <f t="shared" ref="I329:AA329" si="89">H332</f>
        <v>19889935.019876126</v>
      </c>
      <c r="J329" s="1338">
        <f t="shared" si="89"/>
        <v>18354090.218617532</v>
      </c>
      <c r="K329" s="1338">
        <f t="shared" si="89"/>
        <v>16731866.118734386</v>
      </c>
      <c r="L329" s="1338">
        <f t="shared" si="89"/>
        <v>15018404.557979593</v>
      </c>
      <c r="M329" s="1338">
        <f t="shared" si="89"/>
        <v>13208574.14034757</v>
      </c>
      <c r="N329" s="1338">
        <f t="shared" si="89"/>
        <v>11296954.868805097</v>
      </c>
      <c r="O329" s="1338">
        <f t="shared" si="89"/>
        <v>9277821.9137330763</v>
      </c>
      <c r="P329" s="1338">
        <f t="shared" si="89"/>
        <v>7145128.4684696551</v>
      </c>
      <c r="Q329" s="1338">
        <f t="shared" si="89"/>
        <v>4892487.6406112807</v>
      </c>
      <c r="R329" s="1338">
        <f t="shared" si="89"/>
        <v>2513153.3248405978</v>
      </c>
      <c r="S329" s="1338">
        <f t="shared" si="89"/>
        <v>0</v>
      </c>
      <c r="T329" s="1338">
        <f t="shared" si="89"/>
        <v>0</v>
      </c>
      <c r="U329" s="1338">
        <f t="shared" si="89"/>
        <v>0</v>
      </c>
      <c r="V329" s="1338">
        <f t="shared" si="89"/>
        <v>0</v>
      </c>
      <c r="W329" s="1338">
        <f t="shared" si="89"/>
        <v>0</v>
      </c>
      <c r="X329" s="1338">
        <f t="shared" si="89"/>
        <v>0</v>
      </c>
      <c r="Y329" s="1338">
        <f t="shared" si="89"/>
        <v>0</v>
      </c>
      <c r="Z329" s="1338">
        <f t="shared" si="89"/>
        <v>0</v>
      </c>
      <c r="AA329" s="1339">
        <f t="shared" si="89"/>
        <v>0</v>
      </c>
    </row>
    <row r="330" spans="2:27" x14ac:dyDescent="0.25">
      <c r="B330" s="612"/>
      <c r="C330" s="610" t="s">
        <v>76</v>
      </c>
      <c r="D330" s="610"/>
      <c r="E330" s="610"/>
      <c r="F330" s="610"/>
      <c r="G330" s="1338">
        <f>G319</f>
        <v>21343999.999999996</v>
      </c>
      <c r="H330" s="1338">
        <v>0</v>
      </c>
      <c r="I330" s="1338">
        <v>0</v>
      </c>
      <c r="J330" s="1338">
        <v>0</v>
      </c>
      <c r="K330" s="1338">
        <v>0</v>
      </c>
      <c r="L330" s="1338">
        <v>0</v>
      </c>
      <c r="M330" s="1338">
        <v>0</v>
      </c>
      <c r="N330" s="1338">
        <v>0</v>
      </c>
      <c r="O330" s="1338">
        <v>0</v>
      </c>
      <c r="P330" s="1338">
        <v>0</v>
      </c>
      <c r="Q330" s="1338">
        <v>0</v>
      </c>
      <c r="R330" s="1338">
        <v>0</v>
      </c>
      <c r="S330" s="1338">
        <v>0</v>
      </c>
      <c r="T330" s="1338">
        <v>0</v>
      </c>
      <c r="U330" s="1338">
        <v>0</v>
      </c>
      <c r="V330" s="1338">
        <v>0</v>
      </c>
      <c r="W330" s="1338">
        <v>0</v>
      </c>
      <c r="X330" s="1338">
        <v>0</v>
      </c>
      <c r="Y330" s="1338">
        <v>0</v>
      </c>
      <c r="Z330" s="1338">
        <v>0</v>
      </c>
      <c r="AA330" s="1339">
        <v>0</v>
      </c>
    </row>
    <row r="331" spans="2:27" x14ac:dyDescent="0.25">
      <c r="B331" s="612"/>
      <c r="C331" s="618" t="s">
        <v>77</v>
      </c>
      <c r="D331" s="618"/>
      <c r="E331" s="618"/>
      <c r="F331" s="618"/>
      <c r="G331" s="1340">
        <v>0</v>
      </c>
      <c r="H331" s="1340">
        <f>-H325</f>
        <v>-1454064.9801238703</v>
      </c>
      <c r="I331" s="1340">
        <f t="shared" ref="I331:AA331" si="90">-I325</f>
        <v>-1535844.8012585943</v>
      </c>
      <c r="J331" s="1340">
        <f t="shared" si="90"/>
        <v>-1622224.0998831466</v>
      </c>
      <c r="K331" s="1340">
        <f t="shared" si="90"/>
        <v>-1713461.5607547923</v>
      </c>
      <c r="L331" s="1340">
        <f t="shared" si="90"/>
        <v>-1809830.4176320238</v>
      </c>
      <c r="M331" s="1340">
        <f t="shared" si="90"/>
        <v>-1911619.2715424735</v>
      </c>
      <c r="N331" s="1340">
        <f t="shared" si="90"/>
        <v>-2019132.9550720204</v>
      </c>
      <c r="O331" s="1340">
        <f t="shared" si="90"/>
        <v>-2132693.4452634216</v>
      </c>
      <c r="P331" s="1340">
        <f t="shared" si="90"/>
        <v>-2252640.8278583745</v>
      </c>
      <c r="Q331" s="1340">
        <f t="shared" si="90"/>
        <v>-2379334.3157706829</v>
      </c>
      <c r="R331" s="1340">
        <f t="shared" si="90"/>
        <v>-2513153.3248405945</v>
      </c>
      <c r="S331" s="1340">
        <f t="shared" si="90"/>
        <v>0</v>
      </c>
      <c r="T331" s="1340">
        <f t="shared" si="90"/>
        <v>0</v>
      </c>
      <c r="U331" s="1340">
        <f t="shared" si="90"/>
        <v>0</v>
      </c>
      <c r="V331" s="1340">
        <f t="shared" si="90"/>
        <v>0</v>
      </c>
      <c r="W331" s="1340">
        <f t="shared" si="90"/>
        <v>0</v>
      </c>
      <c r="X331" s="1340">
        <f t="shared" si="90"/>
        <v>0</v>
      </c>
      <c r="Y331" s="1340">
        <f t="shared" si="90"/>
        <v>0</v>
      </c>
      <c r="Z331" s="1340">
        <f t="shared" si="90"/>
        <v>0</v>
      </c>
      <c r="AA331" s="1341">
        <f t="shared" si="90"/>
        <v>0</v>
      </c>
    </row>
    <row r="332" spans="2:27" x14ac:dyDescent="0.25">
      <c r="B332" s="612"/>
      <c r="C332" s="610" t="s">
        <v>66</v>
      </c>
      <c r="D332" s="610"/>
      <c r="E332" s="610"/>
      <c r="F332" s="610"/>
      <c r="G332" s="1338">
        <f>SUM(G329:G331)</f>
        <v>21343999.999999996</v>
      </c>
      <c r="H332" s="1338">
        <f>SUM(H329:H331)</f>
        <v>19889935.019876126</v>
      </c>
      <c r="I332" s="1338">
        <f t="shared" ref="I332:AA332" si="91">SUM(I329:I331)</f>
        <v>18354090.218617532</v>
      </c>
      <c r="J332" s="1338">
        <f t="shared" si="91"/>
        <v>16731866.118734386</v>
      </c>
      <c r="K332" s="1338">
        <f t="shared" si="91"/>
        <v>15018404.557979593</v>
      </c>
      <c r="L332" s="1338">
        <f t="shared" si="91"/>
        <v>13208574.14034757</v>
      </c>
      <c r="M332" s="1338">
        <f t="shared" si="91"/>
        <v>11296954.868805097</v>
      </c>
      <c r="N332" s="1338">
        <f t="shared" si="91"/>
        <v>9277821.9137330763</v>
      </c>
      <c r="O332" s="1338">
        <f t="shared" si="91"/>
        <v>7145128.4684696551</v>
      </c>
      <c r="P332" s="1338">
        <f t="shared" si="91"/>
        <v>4892487.6406112807</v>
      </c>
      <c r="Q332" s="1338">
        <f t="shared" si="91"/>
        <v>2513153.3248405978</v>
      </c>
      <c r="R332" s="1338">
        <f t="shared" si="91"/>
        <v>0</v>
      </c>
      <c r="S332" s="1338">
        <f t="shared" si="91"/>
        <v>0</v>
      </c>
      <c r="T332" s="1338">
        <f t="shared" si="91"/>
        <v>0</v>
      </c>
      <c r="U332" s="1338">
        <f t="shared" si="91"/>
        <v>0</v>
      </c>
      <c r="V332" s="1338">
        <f t="shared" si="91"/>
        <v>0</v>
      </c>
      <c r="W332" s="1338">
        <f t="shared" si="91"/>
        <v>0</v>
      </c>
      <c r="X332" s="1338">
        <f t="shared" si="91"/>
        <v>0</v>
      </c>
      <c r="Y332" s="1338">
        <f t="shared" si="91"/>
        <v>0</v>
      </c>
      <c r="Z332" s="1338">
        <f t="shared" si="91"/>
        <v>0</v>
      </c>
      <c r="AA332" s="1339">
        <f t="shared" si="91"/>
        <v>0</v>
      </c>
    </row>
    <row r="333" spans="2:27" x14ac:dyDescent="0.25">
      <c r="B333" s="612"/>
      <c r="C333" s="610"/>
      <c r="D333" s="610"/>
      <c r="E333" s="610"/>
      <c r="F333" s="610"/>
      <c r="G333" s="1338"/>
      <c r="H333" s="1338"/>
      <c r="I333" s="1338"/>
      <c r="J333" s="1338"/>
      <c r="K333" s="1338"/>
      <c r="L333" s="1338"/>
      <c r="M333" s="1338"/>
      <c r="N333" s="1338"/>
      <c r="O333" s="1338"/>
      <c r="P333" s="1338"/>
      <c r="Q333" s="1338"/>
      <c r="R333" s="1338"/>
      <c r="S333" s="1338"/>
      <c r="T333" s="1338"/>
      <c r="U333" s="1338"/>
      <c r="V333" s="1338"/>
      <c r="W333" s="1338"/>
      <c r="X333" s="1338"/>
      <c r="Y333" s="1338"/>
      <c r="Z333" s="1338"/>
      <c r="AA333" s="1339"/>
    </row>
    <row r="334" spans="2:27" x14ac:dyDescent="0.25">
      <c r="B334" s="612"/>
      <c r="C334" s="619" t="s">
        <v>71</v>
      </c>
      <c r="D334" s="610"/>
      <c r="E334" s="610"/>
      <c r="F334" s="610"/>
      <c r="G334" s="1338"/>
      <c r="H334" s="1338"/>
      <c r="I334" s="1338"/>
      <c r="J334" s="1338"/>
      <c r="K334" s="1338"/>
      <c r="L334" s="1338"/>
      <c r="M334" s="1338"/>
      <c r="N334" s="1338"/>
      <c r="O334" s="1338"/>
      <c r="P334" s="1338"/>
      <c r="Q334" s="1338"/>
      <c r="R334" s="1338"/>
      <c r="S334" s="1338"/>
      <c r="T334" s="1338"/>
      <c r="U334" s="1338"/>
      <c r="V334" s="1338"/>
      <c r="W334" s="1338"/>
      <c r="X334" s="1338"/>
      <c r="Y334" s="1338"/>
      <c r="Z334" s="1338"/>
      <c r="AA334" s="1339"/>
    </row>
    <row r="335" spans="2:27" x14ac:dyDescent="0.25">
      <c r="B335" s="612"/>
      <c r="C335" s="610" t="s">
        <v>233</v>
      </c>
      <c r="D335" s="610"/>
      <c r="E335" s="610"/>
      <c r="F335" s="610"/>
      <c r="G335" s="1338"/>
      <c r="H335" s="1338">
        <f>IF($G$319&gt;0, $G$319*'III. Inputs, Renewable Energy'!$V$49/10000,0)</f>
        <v>0</v>
      </c>
      <c r="I335" s="1342">
        <v>0</v>
      </c>
      <c r="J335" s="1342">
        <v>0</v>
      </c>
      <c r="K335" s="1342">
        <v>0</v>
      </c>
      <c r="L335" s="1342">
        <v>0</v>
      </c>
      <c r="M335" s="1342">
        <v>0</v>
      </c>
      <c r="N335" s="1342">
        <v>0</v>
      </c>
      <c r="O335" s="1342">
        <v>0</v>
      </c>
      <c r="P335" s="1342">
        <v>0</v>
      </c>
      <c r="Q335" s="1342">
        <v>0</v>
      </c>
      <c r="R335" s="1342">
        <v>0</v>
      </c>
      <c r="S335" s="1342">
        <v>0</v>
      </c>
      <c r="T335" s="1342">
        <v>0</v>
      </c>
      <c r="U335" s="1342">
        <v>0</v>
      </c>
      <c r="V335" s="1342">
        <v>0</v>
      </c>
      <c r="W335" s="1342">
        <v>0</v>
      </c>
      <c r="X335" s="1342">
        <v>0</v>
      </c>
      <c r="Y335" s="1342">
        <v>0</v>
      </c>
      <c r="Z335" s="1342">
        <v>0</v>
      </c>
      <c r="AA335" s="1343">
        <v>0</v>
      </c>
    </row>
    <row r="336" spans="2:27" x14ac:dyDescent="0.25">
      <c r="B336" s="612"/>
      <c r="C336" s="610"/>
      <c r="D336" s="610"/>
      <c r="E336" s="610"/>
      <c r="F336" s="610"/>
      <c r="G336" s="610"/>
      <c r="H336" s="610"/>
      <c r="I336" s="610"/>
      <c r="J336" s="610"/>
      <c r="K336" s="610"/>
      <c r="L336" s="610"/>
      <c r="M336" s="610"/>
      <c r="N336" s="610"/>
      <c r="O336" s="610"/>
      <c r="P336" s="610"/>
      <c r="Q336" s="610"/>
      <c r="R336" s="610"/>
      <c r="S336" s="610"/>
      <c r="T336" s="610"/>
      <c r="U336" s="610"/>
      <c r="V336" s="610"/>
      <c r="W336" s="610"/>
      <c r="X336" s="610"/>
      <c r="Y336" s="610"/>
      <c r="Z336" s="610"/>
      <c r="AA336" s="611"/>
    </row>
    <row r="337" spans="1:27" x14ac:dyDescent="0.25">
      <c r="B337" s="612"/>
      <c r="C337" s="610"/>
      <c r="D337" s="610"/>
      <c r="E337" s="610"/>
      <c r="F337" s="610"/>
      <c r="G337" s="610"/>
      <c r="H337" s="610"/>
      <c r="I337" s="610"/>
      <c r="J337" s="610"/>
      <c r="K337" s="610"/>
      <c r="L337" s="610"/>
      <c r="M337" s="610"/>
      <c r="N337" s="610"/>
      <c r="O337" s="610"/>
      <c r="P337" s="610"/>
      <c r="Q337" s="610"/>
      <c r="R337" s="610"/>
      <c r="S337" s="610"/>
      <c r="T337" s="610"/>
      <c r="U337" s="610"/>
      <c r="V337" s="610"/>
      <c r="W337" s="610"/>
      <c r="X337" s="610"/>
      <c r="Y337" s="610"/>
      <c r="Z337" s="610"/>
      <c r="AA337" s="611"/>
    </row>
    <row r="338" spans="1:27" x14ac:dyDescent="0.25">
      <c r="B338" s="609" t="s">
        <v>86</v>
      </c>
      <c r="C338" s="610"/>
      <c r="D338" s="610"/>
      <c r="E338" s="610"/>
      <c r="F338" s="610"/>
      <c r="G338" s="610"/>
      <c r="H338" s="610"/>
      <c r="I338" s="610"/>
      <c r="J338" s="610"/>
      <c r="K338" s="610"/>
      <c r="L338" s="610"/>
      <c r="M338" s="610"/>
      <c r="N338" s="610"/>
      <c r="O338" s="610"/>
      <c r="P338" s="610"/>
      <c r="Q338" s="610"/>
      <c r="R338" s="610"/>
      <c r="S338" s="610"/>
      <c r="T338" s="610"/>
      <c r="U338" s="610"/>
      <c r="V338" s="610"/>
      <c r="W338" s="610"/>
      <c r="X338" s="610"/>
      <c r="Y338" s="610"/>
      <c r="Z338" s="610"/>
      <c r="AA338" s="611"/>
    </row>
    <row r="339" spans="1:27" x14ac:dyDescent="0.25">
      <c r="B339" s="612"/>
      <c r="C339" s="613" t="s">
        <v>84</v>
      </c>
      <c r="D339" s="610"/>
      <c r="E339" s="610"/>
      <c r="F339" s="1338">
        <f>IF('III. Inputs, Renewable Energy'!V188&gt;0, 'III. Inputs, Renewable Energy'!$U$14*'III. Inputs, Renewable Energy'!$U$15*'III. Inputs, Renewable Energy'!$V$27*'III. Inputs, Renewable Energy'!$V$188,0)</f>
        <v>0</v>
      </c>
      <c r="G339" s="610"/>
      <c r="H339" s="610"/>
      <c r="I339" s="610"/>
      <c r="J339" s="610"/>
      <c r="K339" s="610"/>
      <c r="L339" s="610"/>
      <c r="M339" s="610"/>
      <c r="N339" s="610"/>
      <c r="O339" s="610"/>
      <c r="P339" s="610"/>
      <c r="Q339" s="610"/>
      <c r="R339" s="610"/>
      <c r="S339" s="610"/>
      <c r="T339" s="610"/>
      <c r="U339" s="610"/>
      <c r="V339" s="610"/>
      <c r="W339" s="610"/>
      <c r="X339" s="610"/>
      <c r="Y339" s="610"/>
      <c r="Z339" s="610"/>
      <c r="AA339" s="611"/>
    </row>
    <row r="340" spans="1:27" x14ac:dyDescent="0.25">
      <c r="B340" s="612"/>
      <c r="C340" s="613" t="str">
        <f>'III. Inputs, Renewable Energy'!$N$189</f>
        <v xml:space="preserve">Term of Political Risk Insurance </v>
      </c>
      <c r="D340" s="610"/>
      <c r="E340" s="610"/>
      <c r="F340" s="621">
        <f>'III. Inputs, Renewable Energy'!V189</f>
        <v>0</v>
      </c>
      <c r="G340" s="610"/>
      <c r="H340" s="610"/>
      <c r="I340" s="610"/>
      <c r="J340" s="610"/>
      <c r="K340" s="610"/>
      <c r="L340" s="610"/>
      <c r="M340" s="610"/>
      <c r="N340" s="610"/>
      <c r="O340" s="610"/>
      <c r="P340" s="610"/>
      <c r="Q340" s="610"/>
      <c r="R340" s="610"/>
      <c r="S340" s="610"/>
      <c r="T340" s="610"/>
      <c r="U340" s="610"/>
      <c r="V340" s="610"/>
      <c r="W340" s="610"/>
      <c r="X340" s="610"/>
      <c r="Y340" s="610"/>
      <c r="Z340" s="610"/>
      <c r="AA340" s="611"/>
    </row>
    <row r="341" spans="1:27" x14ac:dyDescent="0.25">
      <c r="B341" s="612"/>
      <c r="C341" s="613" t="str">
        <f>'III. Inputs, Renewable Energy'!$N$190</f>
        <v xml:space="preserve">Front-end Fee </v>
      </c>
      <c r="D341" s="610"/>
      <c r="E341" s="610"/>
      <c r="F341" s="621">
        <f>'III. Inputs, Renewable Energy'!V190</f>
        <v>0</v>
      </c>
      <c r="G341" s="610"/>
      <c r="H341" s="610"/>
      <c r="I341" s="610"/>
      <c r="J341" s="610"/>
      <c r="K341" s="610"/>
      <c r="L341" s="610"/>
      <c r="M341" s="610"/>
      <c r="N341" s="610"/>
      <c r="O341" s="610"/>
      <c r="P341" s="610"/>
      <c r="Q341" s="610"/>
      <c r="R341" s="610"/>
      <c r="S341" s="610"/>
      <c r="T341" s="610"/>
      <c r="U341" s="610"/>
      <c r="V341" s="610"/>
      <c r="W341" s="610"/>
      <c r="X341" s="610"/>
      <c r="Y341" s="610"/>
      <c r="Z341" s="610"/>
      <c r="AA341" s="611"/>
    </row>
    <row r="342" spans="1:27" x14ac:dyDescent="0.25">
      <c r="B342" s="612"/>
      <c r="C342" s="613" t="str">
        <f>'III. Inputs, Renewable Energy'!$N$191</f>
        <v xml:space="preserve">Annual Political Risk Insurance Premium </v>
      </c>
      <c r="D342" s="610"/>
      <c r="E342" s="610"/>
      <c r="F342" s="621">
        <f>'III. Inputs, Renewable Energy'!V191</f>
        <v>0</v>
      </c>
      <c r="G342" s="610"/>
      <c r="H342" s="610"/>
      <c r="I342" s="610"/>
      <c r="J342" s="610"/>
      <c r="K342" s="610"/>
      <c r="L342" s="610"/>
      <c r="M342" s="610"/>
      <c r="N342" s="610"/>
      <c r="O342" s="610"/>
      <c r="P342" s="610"/>
      <c r="Q342" s="610"/>
      <c r="R342" s="610"/>
      <c r="S342" s="610"/>
      <c r="T342" s="610"/>
      <c r="U342" s="610"/>
      <c r="V342" s="610"/>
      <c r="W342" s="610"/>
      <c r="X342" s="610"/>
      <c r="Y342" s="610"/>
      <c r="Z342" s="610"/>
      <c r="AA342" s="611"/>
    </row>
    <row r="343" spans="1:27" x14ac:dyDescent="0.25">
      <c r="B343" s="612"/>
      <c r="C343" s="610"/>
      <c r="D343" s="610"/>
      <c r="E343" s="610"/>
      <c r="F343" s="610"/>
      <c r="G343" s="610"/>
      <c r="H343" s="610"/>
      <c r="I343" s="610"/>
      <c r="J343" s="610"/>
      <c r="K343" s="610"/>
      <c r="L343" s="610"/>
      <c r="M343" s="610"/>
      <c r="N343" s="610"/>
      <c r="O343" s="610"/>
      <c r="P343" s="610"/>
      <c r="Q343" s="610"/>
      <c r="R343" s="610"/>
      <c r="S343" s="610"/>
      <c r="T343" s="610"/>
      <c r="U343" s="610"/>
      <c r="V343" s="610"/>
      <c r="W343" s="610"/>
      <c r="X343" s="610"/>
      <c r="Y343" s="610"/>
      <c r="Z343" s="610"/>
      <c r="AA343" s="611"/>
    </row>
    <row r="344" spans="1:27" x14ac:dyDescent="0.25">
      <c r="B344" s="612"/>
      <c r="C344" s="619" t="s">
        <v>71</v>
      </c>
      <c r="D344" s="610"/>
      <c r="E344" s="610"/>
      <c r="F344" s="610"/>
      <c r="G344" s="610"/>
      <c r="H344" s="610"/>
      <c r="I344" s="610"/>
      <c r="J344" s="610"/>
      <c r="K344" s="610"/>
      <c r="L344" s="610"/>
      <c r="M344" s="610"/>
      <c r="N344" s="610"/>
      <c r="O344" s="610"/>
      <c r="P344" s="610"/>
      <c r="Q344" s="610"/>
      <c r="R344" s="610"/>
      <c r="S344" s="610"/>
      <c r="T344" s="610"/>
      <c r="U344" s="610"/>
      <c r="V344" s="610"/>
      <c r="W344" s="610"/>
      <c r="X344" s="610"/>
      <c r="Y344" s="610"/>
      <c r="Z344" s="610"/>
      <c r="AA344" s="611"/>
    </row>
    <row r="345" spans="1:27" x14ac:dyDescent="0.25">
      <c r="B345" s="612"/>
      <c r="C345" s="610" t="str">
        <f>'III. Inputs, Renewable Energy'!$N$190</f>
        <v xml:space="preserve">Front-end Fee </v>
      </c>
      <c r="D345" s="610"/>
      <c r="E345" s="610"/>
      <c r="F345" s="610"/>
      <c r="G345" s="610"/>
      <c r="H345" s="1338">
        <f>IF(F339&gt;0, F339*F341/10000, 0)</f>
        <v>0</v>
      </c>
      <c r="I345" s="1342">
        <v>0</v>
      </c>
      <c r="J345" s="1342">
        <v>0</v>
      </c>
      <c r="K345" s="1342">
        <v>0</v>
      </c>
      <c r="L345" s="1342">
        <v>0</v>
      </c>
      <c r="M345" s="1342">
        <v>0</v>
      </c>
      <c r="N345" s="1342">
        <v>0</v>
      </c>
      <c r="O345" s="1342">
        <v>0</v>
      </c>
      <c r="P345" s="1342">
        <v>0</v>
      </c>
      <c r="Q345" s="1342">
        <v>0</v>
      </c>
      <c r="R345" s="1342">
        <v>0</v>
      </c>
      <c r="S345" s="1342">
        <v>0</v>
      </c>
      <c r="T345" s="1342">
        <v>0</v>
      </c>
      <c r="U345" s="1342">
        <v>0</v>
      </c>
      <c r="V345" s="1342">
        <v>0</v>
      </c>
      <c r="W345" s="1342">
        <v>0</v>
      </c>
      <c r="X345" s="1342">
        <v>0</v>
      </c>
      <c r="Y345" s="1342">
        <v>0</v>
      </c>
      <c r="Z345" s="1342">
        <v>0</v>
      </c>
      <c r="AA345" s="1343">
        <v>0</v>
      </c>
    </row>
    <row r="346" spans="1:27" x14ac:dyDescent="0.25">
      <c r="B346" s="612"/>
      <c r="C346" s="618" t="str">
        <f>'III. Inputs, Renewable Energy'!$N$191</f>
        <v xml:space="preserve">Annual Political Risk Insurance Premium </v>
      </c>
      <c r="D346" s="618"/>
      <c r="E346" s="618"/>
      <c r="F346" s="618"/>
      <c r="G346" s="618"/>
      <c r="H346" s="1340">
        <f>IF(H$196&gt;$F$340,0,($F$339*$F$342/10000))</f>
        <v>0</v>
      </c>
      <c r="I346" s="1340">
        <f t="shared" ref="I346:AA346" si="92">IF(I$196&gt;$F$340,0,($F$339*$F$342/10000))</f>
        <v>0</v>
      </c>
      <c r="J346" s="1340">
        <f t="shared" si="92"/>
        <v>0</v>
      </c>
      <c r="K346" s="1340">
        <f t="shared" si="92"/>
        <v>0</v>
      </c>
      <c r="L346" s="1340">
        <f t="shared" si="92"/>
        <v>0</v>
      </c>
      <c r="M346" s="1340">
        <f t="shared" si="92"/>
        <v>0</v>
      </c>
      <c r="N346" s="1340">
        <f t="shared" si="92"/>
        <v>0</v>
      </c>
      <c r="O346" s="1340">
        <f t="shared" si="92"/>
        <v>0</v>
      </c>
      <c r="P346" s="1340">
        <f t="shared" si="92"/>
        <v>0</v>
      </c>
      <c r="Q346" s="1340">
        <f t="shared" si="92"/>
        <v>0</v>
      </c>
      <c r="R346" s="1340">
        <f t="shared" si="92"/>
        <v>0</v>
      </c>
      <c r="S346" s="1340">
        <f t="shared" si="92"/>
        <v>0</v>
      </c>
      <c r="T346" s="1340">
        <f t="shared" si="92"/>
        <v>0</v>
      </c>
      <c r="U346" s="1340">
        <f t="shared" si="92"/>
        <v>0</v>
      </c>
      <c r="V346" s="1340">
        <f t="shared" si="92"/>
        <v>0</v>
      </c>
      <c r="W346" s="1340">
        <f t="shared" si="92"/>
        <v>0</v>
      </c>
      <c r="X346" s="1340">
        <f t="shared" si="92"/>
        <v>0</v>
      </c>
      <c r="Y346" s="1340">
        <f t="shared" si="92"/>
        <v>0</v>
      </c>
      <c r="Z346" s="1340">
        <f t="shared" si="92"/>
        <v>0</v>
      </c>
      <c r="AA346" s="1341">
        <f t="shared" si="92"/>
        <v>0</v>
      </c>
    </row>
    <row r="347" spans="1:27" x14ac:dyDescent="0.25">
      <c r="B347" s="612"/>
      <c r="C347" s="610" t="s">
        <v>85</v>
      </c>
      <c r="D347" s="610"/>
      <c r="E347" s="610"/>
      <c r="F347" s="610"/>
      <c r="G347" s="610"/>
      <c r="H347" s="1338">
        <f>H345+H346</f>
        <v>0</v>
      </c>
      <c r="I347" s="1338">
        <f t="shared" ref="I347:AA347" si="93">I345+I346</f>
        <v>0</v>
      </c>
      <c r="J347" s="1338">
        <f t="shared" si="93"/>
        <v>0</v>
      </c>
      <c r="K347" s="1338">
        <f t="shared" si="93"/>
        <v>0</v>
      </c>
      <c r="L347" s="1338">
        <f t="shared" si="93"/>
        <v>0</v>
      </c>
      <c r="M347" s="1338">
        <f t="shared" si="93"/>
        <v>0</v>
      </c>
      <c r="N347" s="1338">
        <f t="shared" si="93"/>
        <v>0</v>
      </c>
      <c r="O347" s="1338">
        <f t="shared" si="93"/>
        <v>0</v>
      </c>
      <c r="P347" s="1338">
        <f t="shared" si="93"/>
        <v>0</v>
      </c>
      <c r="Q347" s="1338">
        <f t="shared" si="93"/>
        <v>0</v>
      </c>
      <c r="R347" s="1338">
        <f t="shared" si="93"/>
        <v>0</v>
      </c>
      <c r="S347" s="1338">
        <f t="shared" si="93"/>
        <v>0</v>
      </c>
      <c r="T347" s="1338">
        <f t="shared" si="93"/>
        <v>0</v>
      </c>
      <c r="U347" s="1338">
        <f t="shared" si="93"/>
        <v>0</v>
      </c>
      <c r="V347" s="1338">
        <f t="shared" si="93"/>
        <v>0</v>
      </c>
      <c r="W347" s="1338">
        <f t="shared" si="93"/>
        <v>0</v>
      </c>
      <c r="X347" s="1338">
        <f t="shared" si="93"/>
        <v>0</v>
      </c>
      <c r="Y347" s="1338">
        <f t="shared" si="93"/>
        <v>0</v>
      </c>
      <c r="Z347" s="1338">
        <f t="shared" si="93"/>
        <v>0</v>
      </c>
      <c r="AA347" s="1339">
        <f t="shared" si="93"/>
        <v>0</v>
      </c>
    </row>
    <row r="348" spans="1:27" ht="13.8" thickBot="1" x14ac:dyDescent="0.3">
      <c r="B348" s="622"/>
      <c r="C348" s="623"/>
      <c r="D348" s="623"/>
      <c r="E348" s="623"/>
      <c r="F348" s="623"/>
      <c r="G348" s="623"/>
      <c r="H348" s="623"/>
      <c r="I348" s="623"/>
      <c r="J348" s="623"/>
      <c r="K348" s="623"/>
      <c r="L348" s="623"/>
      <c r="M348" s="623"/>
      <c r="N348" s="623"/>
      <c r="O348" s="623"/>
      <c r="P348" s="623"/>
      <c r="Q348" s="623"/>
      <c r="R348" s="623"/>
      <c r="S348" s="623"/>
      <c r="T348" s="623"/>
      <c r="U348" s="623"/>
      <c r="V348" s="623"/>
      <c r="W348" s="623"/>
      <c r="X348" s="623"/>
      <c r="Y348" s="623"/>
      <c r="Z348" s="623"/>
      <c r="AA348" s="624"/>
    </row>
    <row r="349" spans="1:27" s="19" customFormat="1" x14ac:dyDescent="0.25">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s="19" customFormat="1" x14ac:dyDescent="0.25">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s="8" customFormat="1" ht="12.75" customHeight="1" x14ac:dyDescent="0.25">
      <c r="A351" s="44" t="s">
        <v>264</v>
      </c>
      <c r="B351" s="44"/>
      <c r="C351" s="44"/>
      <c r="D351" s="44"/>
      <c r="E351" s="44"/>
      <c r="F351" s="44"/>
      <c r="G351" s="44"/>
      <c r="H351" s="44"/>
      <c r="I351" s="44"/>
      <c r="J351" s="45"/>
      <c r="K351" s="46"/>
      <c r="L351" s="46"/>
      <c r="M351" s="46"/>
      <c r="N351" s="46"/>
      <c r="O351" s="46"/>
      <c r="P351" s="46"/>
      <c r="Q351" s="46"/>
      <c r="R351" s="46"/>
      <c r="S351" s="46"/>
      <c r="T351" s="46"/>
      <c r="U351" s="46"/>
      <c r="V351" s="46"/>
      <c r="W351" s="46"/>
      <c r="X351" s="46"/>
      <c r="Y351" s="46"/>
      <c r="Z351" s="46"/>
      <c r="AA351" s="46"/>
    </row>
    <row r="352" spans="1:27" x14ac:dyDescent="0.25"/>
    <row r="353" spans="2:27" s="36" customFormat="1" x14ac:dyDescent="0.25">
      <c r="B353" s="214" t="s">
        <v>58</v>
      </c>
      <c r="C353" s="214"/>
      <c r="D353" s="215"/>
      <c r="E353" s="215"/>
      <c r="F353" s="216"/>
      <c r="G353" s="216">
        <v>0</v>
      </c>
      <c r="H353" s="216">
        <v>1</v>
      </c>
      <c r="I353" s="216">
        <v>2</v>
      </c>
      <c r="J353" s="216">
        <v>3</v>
      </c>
      <c r="K353" s="216">
        <v>4</v>
      </c>
      <c r="L353" s="216">
        <v>5</v>
      </c>
      <c r="M353" s="216">
        <v>6</v>
      </c>
      <c r="N353" s="216">
        <v>7</v>
      </c>
      <c r="O353" s="216">
        <v>8</v>
      </c>
      <c r="P353" s="216">
        <v>9</v>
      </c>
      <c r="Q353" s="216">
        <v>10</v>
      </c>
      <c r="R353" s="216">
        <v>11</v>
      </c>
      <c r="S353" s="216">
        <v>12</v>
      </c>
      <c r="T353" s="216">
        <v>13</v>
      </c>
      <c r="U353" s="216">
        <v>14</v>
      </c>
      <c r="V353" s="216">
        <v>15</v>
      </c>
      <c r="W353" s="216">
        <v>16</v>
      </c>
      <c r="X353" s="216">
        <v>17</v>
      </c>
      <c r="Y353" s="216">
        <v>18</v>
      </c>
      <c r="Z353" s="216">
        <v>19</v>
      </c>
      <c r="AA353" s="216">
        <v>20</v>
      </c>
    </row>
    <row r="354" spans="2:27" ht="13.8" thickBot="1" x14ac:dyDescent="0.3">
      <c r="F354" s="207"/>
    </row>
    <row r="355" spans="2:27" x14ac:dyDescent="0.25">
      <c r="B355" s="625" t="s">
        <v>510</v>
      </c>
      <c r="C355" s="626"/>
      <c r="D355" s="626"/>
      <c r="E355" s="626"/>
      <c r="F355" s="626"/>
      <c r="G355" s="626"/>
      <c r="H355" s="626"/>
      <c r="I355" s="626"/>
      <c r="J355" s="626"/>
      <c r="K355" s="626"/>
      <c r="L355" s="626"/>
      <c r="M355" s="626"/>
      <c r="N355" s="626"/>
      <c r="O355" s="626"/>
      <c r="P355" s="626"/>
      <c r="Q355" s="626"/>
      <c r="R355" s="626"/>
      <c r="S355" s="626"/>
      <c r="T355" s="626"/>
      <c r="U355" s="626"/>
      <c r="V355" s="626"/>
      <c r="W355" s="626"/>
      <c r="X355" s="626"/>
      <c r="Y355" s="626"/>
      <c r="Z355" s="626"/>
      <c r="AA355" s="627"/>
    </row>
    <row r="356" spans="2:27" x14ac:dyDescent="0.25">
      <c r="B356" s="628"/>
      <c r="C356" s="629"/>
      <c r="D356" s="629"/>
      <c r="E356" s="629"/>
      <c r="F356" s="629"/>
      <c r="G356" s="629"/>
      <c r="H356" s="629"/>
      <c r="I356" s="629"/>
      <c r="J356" s="629"/>
      <c r="K356" s="629"/>
      <c r="L356" s="629"/>
      <c r="M356" s="629"/>
      <c r="N356" s="629"/>
      <c r="O356" s="629"/>
      <c r="P356" s="629"/>
      <c r="Q356" s="629"/>
      <c r="R356" s="629"/>
      <c r="S356" s="629"/>
      <c r="T356" s="629"/>
      <c r="U356" s="629"/>
      <c r="V356" s="629"/>
      <c r="W356" s="629"/>
      <c r="X356" s="629"/>
      <c r="Y356" s="629"/>
      <c r="Z356" s="629"/>
      <c r="AA356" s="630"/>
    </row>
    <row r="357" spans="2:27" x14ac:dyDescent="0.25">
      <c r="B357" s="628"/>
      <c r="C357" s="631" t="s">
        <v>64</v>
      </c>
      <c r="D357" s="632">
        <f>'III. Inputs, Renewable Energy'!$U$16</f>
        <v>20</v>
      </c>
      <c r="E357" s="633" t="s">
        <v>20</v>
      </c>
      <c r="F357" s="629"/>
      <c r="G357" s="629"/>
      <c r="H357" s="629"/>
      <c r="I357" s="629"/>
      <c r="J357" s="629"/>
      <c r="K357" s="629"/>
      <c r="L357" s="629"/>
      <c r="M357" s="629"/>
      <c r="N357" s="629"/>
      <c r="O357" s="629"/>
      <c r="P357" s="629"/>
      <c r="Q357" s="629"/>
      <c r="R357" s="629"/>
      <c r="S357" s="629"/>
      <c r="T357" s="629"/>
      <c r="U357" s="629"/>
      <c r="V357" s="629"/>
      <c r="W357" s="629"/>
      <c r="X357" s="629"/>
      <c r="Y357" s="629"/>
      <c r="Z357" s="629"/>
      <c r="AA357" s="630"/>
    </row>
    <row r="358" spans="2:27" x14ac:dyDescent="0.25">
      <c r="B358" s="628"/>
      <c r="C358" s="629"/>
      <c r="D358" s="629"/>
      <c r="E358" s="629"/>
      <c r="F358" s="629"/>
      <c r="G358" s="629"/>
      <c r="H358" s="629"/>
      <c r="I358" s="629"/>
      <c r="J358" s="629"/>
      <c r="K358" s="629"/>
      <c r="L358" s="629"/>
      <c r="M358" s="629"/>
      <c r="N358" s="629"/>
      <c r="O358" s="629"/>
      <c r="P358" s="629"/>
      <c r="Q358" s="629"/>
      <c r="R358" s="629"/>
      <c r="S358" s="629"/>
      <c r="T358" s="629"/>
      <c r="U358" s="629"/>
      <c r="V358" s="629"/>
      <c r="W358" s="629"/>
      <c r="X358" s="629"/>
      <c r="Y358" s="629"/>
      <c r="Z358" s="629"/>
      <c r="AA358" s="630"/>
    </row>
    <row r="359" spans="2:27" x14ac:dyDescent="0.25">
      <c r="B359" s="628"/>
      <c r="C359" s="629" t="s">
        <v>59</v>
      </c>
      <c r="D359" s="629"/>
      <c r="E359" s="629"/>
      <c r="F359" s="629"/>
      <c r="G359" s="634"/>
      <c r="H359" s="635">
        <f>IF(H353&gt;$D$357,0,1/$D$357)</f>
        <v>0.05</v>
      </c>
      <c r="I359" s="635">
        <f t="shared" ref="I359:AA359" si="94">IF(I353&gt;$D$357,0,1/$D$357)</f>
        <v>0.05</v>
      </c>
      <c r="J359" s="635">
        <f t="shared" si="94"/>
        <v>0.05</v>
      </c>
      <c r="K359" s="635">
        <f t="shared" si="94"/>
        <v>0.05</v>
      </c>
      <c r="L359" s="635">
        <f t="shared" si="94"/>
        <v>0.05</v>
      </c>
      <c r="M359" s="635">
        <f t="shared" si="94"/>
        <v>0.05</v>
      </c>
      <c r="N359" s="635">
        <f t="shared" si="94"/>
        <v>0.05</v>
      </c>
      <c r="O359" s="635">
        <f t="shared" si="94"/>
        <v>0.05</v>
      </c>
      <c r="P359" s="635">
        <f t="shared" si="94"/>
        <v>0.05</v>
      </c>
      <c r="Q359" s="635">
        <f t="shared" si="94"/>
        <v>0.05</v>
      </c>
      <c r="R359" s="635">
        <f t="shared" si="94"/>
        <v>0.05</v>
      </c>
      <c r="S359" s="635">
        <f t="shared" si="94"/>
        <v>0.05</v>
      </c>
      <c r="T359" s="635">
        <f t="shared" si="94"/>
        <v>0.05</v>
      </c>
      <c r="U359" s="635">
        <f t="shared" si="94"/>
        <v>0.05</v>
      </c>
      <c r="V359" s="635">
        <f t="shared" si="94"/>
        <v>0.05</v>
      </c>
      <c r="W359" s="635">
        <f t="shared" si="94"/>
        <v>0.05</v>
      </c>
      <c r="X359" s="635">
        <f t="shared" si="94"/>
        <v>0.05</v>
      </c>
      <c r="Y359" s="635">
        <f t="shared" si="94"/>
        <v>0.05</v>
      </c>
      <c r="Z359" s="635">
        <f t="shared" si="94"/>
        <v>0.05</v>
      </c>
      <c r="AA359" s="636">
        <f t="shared" si="94"/>
        <v>0.05</v>
      </c>
    </row>
    <row r="360" spans="2:27" x14ac:dyDescent="0.25">
      <c r="B360" s="628"/>
      <c r="C360" s="629" t="s">
        <v>60</v>
      </c>
      <c r="D360" s="629"/>
      <c r="E360" s="629"/>
      <c r="F360" s="629"/>
      <c r="G360" s="637"/>
      <c r="H360" s="635">
        <v>0</v>
      </c>
      <c r="I360" s="635">
        <v>0</v>
      </c>
      <c r="J360" s="635">
        <v>0</v>
      </c>
      <c r="K360" s="635">
        <v>0</v>
      </c>
      <c r="L360" s="635">
        <v>0</v>
      </c>
      <c r="M360" s="635">
        <v>0</v>
      </c>
      <c r="N360" s="635">
        <v>0</v>
      </c>
      <c r="O360" s="635">
        <v>0</v>
      </c>
      <c r="P360" s="635">
        <v>0</v>
      </c>
      <c r="Q360" s="635">
        <v>0</v>
      </c>
      <c r="R360" s="635">
        <v>0</v>
      </c>
      <c r="S360" s="635">
        <v>0</v>
      </c>
      <c r="T360" s="635">
        <v>0</v>
      </c>
      <c r="U360" s="635">
        <v>0</v>
      </c>
      <c r="V360" s="635">
        <v>0</v>
      </c>
      <c r="W360" s="635">
        <v>0</v>
      </c>
      <c r="X360" s="635">
        <v>0</v>
      </c>
      <c r="Y360" s="635">
        <v>0</v>
      </c>
      <c r="Z360" s="635">
        <v>0</v>
      </c>
      <c r="AA360" s="636">
        <v>0</v>
      </c>
    </row>
    <row r="361" spans="2:27" x14ac:dyDescent="0.25">
      <c r="B361" s="628"/>
      <c r="C361" s="629"/>
      <c r="D361" s="629"/>
      <c r="E361" s="629"/>
      <c r="F361" s="629"/>
      <c r="G361" s="629"/>
      <c r="H361" s="629"/>
      <c r="I361" s="629"/>
      <c r="J361" s="629"/>
      <c r="K361" s="629"/>
      <c r="L361" s="629"/>
      <c r="M361" s="629"/>
      <c r="N361" s="629"/>
      <c r="O361" s="629"/>
      <c r="P361" s="629"/>
      <c r="Q361" s="629"/>
      <c r="R361" s="629"/>
      <c r="S361" s="629"/>
      <c r="T361" s="629"/>
      <c r="U361" s="629"/>
      <c r="V361" s="629"/>
      <c r="W361" s="629"/>
      <c r="X361" s="629"/>
      <c r="Y361" s="629"/>
      <c r="Z361" s="629"/>
      <c r="AA361" s="630"/>
    </row>
    <row r="362" spans="2:27" x14ac:dyDescent="0.25">
      <c r="B362" s="628"/>
      <c r="C362" s="629"/>
      <c r="D362" s="629"/>
      <c r="E362" s="629"/>
      <c r="F362" s="638" t="s">
        <v>61</v>
      </c>
      <c r="G362" s="638" t="s">
        <v>62</v>
      </c>
      <c r="H362" s="629"/>
      <c r="I362" s="629"/>
      <c r="J362" s="629"/>
      <c r="K362" s="629"/>
      <c r="L362" s="629"/>
      <c r="M362" s="629"/>
      <c r="N362" s="629"/>
      <c r="O362" s="629"/>
      <c r="P362" s="629"/>
      <c r="Q362" s="629"/>
      <c r="R362" s="629"/>
      <c r="S362" s="629"/>
      <c r="T362" s="629"/>
      <c r="U362" s="629"/>
      <c r="V362" s="629"/>
      <c r="W362" s="629"/>
      <c r="X362" s="629"/>
      <c r="Y362" s="629"/>
      <c r="Z362" s="629"/>
      <c r="AA362" s="630"/>
    </row>
    <row r="363" spans="2:27" x14ac:dyDescent="0.25">
      <c r="B363" s="628"/>
      <c r="C363" s="629" t="s">
        <v>57</v>
      </c>
      <c r="D363" s="629"/>
      <c r="E363" s="629"/>
      <c r="F363" s="635">
        <f>'III. Inputs, Renewable Energy'!S230</f>
        <v>0.95</v>
      </c>
      <c r="G363" s="1344">
        <f>('III. Inputs, Renewable Energy'!U254+('III. Inputs, Renewable Energy'!U250*'III. Inputs, Renewable Energy'!U252*'III. Inputs, Renewable Energy'!U253))*('III. Inputs, Renewable Energy'!U14/'III. Inputs, Renewable Energy'!U255)*F363</f>
        <v>55935999.999999993</v>
      </c>
      <c r="H363" s="1344">
        <f xml:space="preserve"> $G$363*H359</f>
        <v>2796800</v>
      </c>
      <c r="I363" s="1344">
        <f t="shared" ref="I363:AA363" si="95" xml:space="preserve"> $G$363*I359</f>
        <v>2796800</v>
      </c>
      <c r="J363" s="1344">
        <f t="shared" si="95"/>
        <v>2796800</v>
      </c>
      <c r="K363" s="1344">
        <f t="shared" si="95"/>
        <v>2796800</v>
      </c>
      <c r="L363" s="1344">
        <f t="shared" si="95"/>
        <v>2796800</v>
      </c>
      <c r="M363" s="1344">
        <f t="shared" si="95"/>
        <v>2796800</v>
      </c>
      <c r="N363" s="1344">
        <f t="shared" si="95"/>
        <v>2796800</v>
      </c>
      <c r="O363" s="1344">
        <f t="shared" si="95"/>
        <v>2796800</v>
      </c>
      <c r="P363" s="1344">
        <f t="shared" si="95"/>
        <v>2796800</v>
      </c>
      <c r="Q363" s="1344">
        <f t="shared" si="95"/>
        <v>2796800</v>
      </c>
      <c r="R363" s="1344">
        <f t="shared" si="95"/>
        <v>2796800</v>
      </c>
      <c r="S363" s="1344">
        <f t="shared" si="95"/>
        <v>2796800</v>
      </c>
      <c r="T363" s="1344">
        <f t="shared" si="95"/>
        <v>2796800</v>
      </c>
      <c r="U363" s="1344">
        <f t="shared" si="95"/>
        <v>2796800</v>
      </c>
      <c r="V363" s="1344">
        <f t="shared" si="95"/>
        <v>2796800</v>
      </c>
      <c r="W363" s="1344">
        <f t="shared" si="95"/>
        <v>2796800</v>
      </c>
      <c r="X363" s="1344">
        <f t="shared" si="95"/>
        <v>2796800</v>
      </c>
      <c r="Y363" s="1344">
        <f t="shared" si="95"/>
        <v>2796800</v>
      </c>
      <c r="Z363" s="1344">
        <f t="shared" si="95"/>
        <v>2796800</v>
      </c>
      <c r="AA363" s="1345">
        <f t="shared" si="95"/>
        <v>2796800</v>
      </c>
    </row>
    <row r="364" spans="2:27" x14ac:dyDescent="0.25">
      <c r="B364" s="628"/>
      <c r="C364" s="639" t="s">
        <v>18</v>
      </c>
      <c r="D364" s="639"/>
      <c r="E364" s="639"/>
      <c r="F364" s="640">
        <f>'III. Inputs, Renewable Energy'!S231</f>
        <v>0.05</v>
      </c>
      <c r="G364" s="1346">
        <f>('III. Inputs, Renewable Energy'!U254+('III. Inputs, Renewable Energy'!U250*'III. Inputs, Renewable Energy'!U252*'III. Inputs, Renewable Energy'!U253))*('III. Inputs, Renewable Energy'!U14/'III. Inputs, Renewable Energy'!U255)*F364</f>
        <v>2944000</v>
      </c>
      <c r="H364" s="1346">
        <f>$G$364*H360</f>
        <v>0</v>
      </c>
      <c r="I364" s="1346">
        <f t="shared" ref="I364:AA364" si="96">$G$364*I360</f>
        <v>0</v>
      </c>
      <c r="J364" s="1346">
        <f t="shared" si="96"/>
        <v>0</v>
      </c>
      <c r="K364" s="1346">
        <f t="shared" si="96"/>
        <v>0</v>
      </c>
      <c r="L364" s="1346">
        <f t="shared" si="96"/>
        <v>0</v>
      </c>
      <c r="M364" s="1346">
        <f t="shared" si="96"/>
        <v>0</v>
      </c>
      <c r="N364" s="1346">
        <f t="shared" si="96"/>
        <v>0</v>
      </c>
      <c r="O364" s="1346">
        <f t="shared" si="96"/>
        <v>0</v>
      </c>
      <c r="P364" s="1346">
        <f t="shared" si="96"/>
        <v>0</v>
      </c>
      <c r="Q364" s="1346">
        <f t="shared" si="96"/>
        <v>0</v>
      </c>
      <c r="R364" s="1346">
        <f t="shared" si="96"/>
        <v>0</v>
      </c>
      <c r="S364" s="1346">
        <f t="shared" si="96"/>
        <v>0</v>
      </c>
      <c r="T364" s="1346">
        <f t="shared" si="96"/>
        <v>0</v>
      </c>
      <c r="U364" s="1346">
        <f t="shared" si="96"/>
        <v>0</v>
      </c>
      <c r="V364" s="1346">
        <f t="shared" si="96"/>
        <v>0</v>
      </c>
      <c r="W364" s="1346">
        <f t="shared" si="96"/>
        <v>0</v>
      </c>
      <c r="X364" s="1346">
        <f t="shared" si="96"/>
        <v>0</v>
      </c>
      <c r="Y364" s="1346">
        <f t="shared" si="96"/>
        <v>0</v>
      </c>
      <c r="Z364" s="1346">
        <f t="shared" si="96"/>
        <v>0</v>
      </c>
      <c r="AA364" s="1347">
        <f t="shared" si="96"/>
        <v>0</v>
      </c>
    </row>
    <row r="365" spans="2:27" x14ac:dyDescent="0.25">
      <c r="B365" s="628"/>
      <c r="C365" s="629" t="s">
        <v>63</v>
      </c>
      <c r="D365" s="629"/>
      <c r="E365" s="629"/>
      <c r="F365" s="629"/>
      <c r="G365" s="1344">
        <f>G363+G364</f>
        <v>58879999.999999993</v>
      </c>
      <c r="H365" s="1344">
        <f>H363+H364</f>
        <v>2796800</v>
      </c>
      <c r="I365" s="1344">
        <f t="shared" ref="I365:AA365" si="97">I363+I364</f>
        <v>2796800</v>
      </c>
      <c r="J365" s="1344">
        <f t="shared" si="97"/>
        <v>2796800</v>
      </c>
      <c r="K365" s="1344">
        <f t="shared" si="97"/>
        <v>2796800</v>
      </c>
      <c r="L365" s="1344">
        <f t="shared" si="97"/>
        <v>2796800</v>
      </c>
      <c r="M365" s="1344">
        <f t="shared" si="97"/>
        <v>2796800</v>
      </c>
      <c r="N365" s="1344">
        <f t="shared" si="97"/>
        <v>2796800</v>
      </c>
      <c r="O365" s="1344">
        <f t="shared" si="97"/>
        <v>2796800</v>
      </c>
      <c r="P365" s="1344">
        <f t="shared" si="97"/>
        <v>2796800</v>
      </c>
      <c r="Q365" s="1344">
        <f t="shared" si="97"/>
        <v>2796800</v>
      </c>
      <c r="R365" s="1344">
        <f t="shared" si="97"/>
        <v>2796800</v>
      </c>
      <c r="S365" s="1344">
        <f t="shared" si="97"/>
        <v>2796800</v>
      </c>
      <c r="T365" s="1344">
        <f t="shared" si="97"/>
        <v>2796800</v>
      </c>
      <c r="U365" s="1344">
        <f t="shared" si="97"/>
        <v>2796800</v>
      </c>
      <c r="V365" s="1344">
        <f t="shared" si="97"/>
        <v>2796800</v>
      </c>
      <c r="W365" s="1344">
        <f t="shared" si="97"/>
        <v>2796800</v>
      </c>
      <c r="X365" s="1344">
        <f t="shared" si="97"/>
        <v>2796800</v>
      </c>
      <c r="Y365" s="1344">
        <f t="shared" si="97"/>
        <v>2796800</v>
      </c>
      <c r="Z365" s="1344">
        <f t="shared" si="97"/>
        <v>2796800</v>
      </c>
      <c r="AA365" s="1345">
        <f t="shared" si="97"/>
        <v>2796800</v>
      </c>
    </row>
    <row r="366" spans="2:27" x14ac:dyDescent="0.25">
      <c r="B366" s="628"/>
      <c r="C366" s="629"/>
      <c r="D366" s="629"/>
      <c r="E366" s="629"/>
      <c r="F366" s="629"/>
      <c r="G366" s="629"/>
      <c r="H366" s="629"/>
      <c r="I366" s="629"/>
      <c r="J366" s="629"/>
      <c r="K366" s="629"/>
      <c r="L366" s="629"/>
      <c r="M366" s="629"/>
      <c r="N366" s="629"/>
      <c r="O366" s="629"/>
      <c r="P366" s="629"/>
      <c r="Q366" s="629"/>
      <c r="R366" s="629"/>
      <c r="S366" s="629"/>
      <c r="T366" s="629"/>
      <c r="U366" s="629"/>
      <c r="V366" s="629"/>
      <c r="W366" s="629"/>
      <c r="X366" s="629"/>
      <c r="Y366" s="629"/>
      <c r="Z366" s="629"/>
      <c r="AA366" s="630"/>
    </row>
    <row r="367" spans="2:27" ht="13.8" thickBot="1" x14ac:dyDescent="0.3">
      <c r="B367" s="641"/>
      <c r="C367" s="642"/>
      <c r="D367" s="642"/>
      <c r="E367" s="642"/>
      <c r="F367" s="642"/>
      <c r="G367" s="642"/>
      <c r="H367" s="642"/>
      <c r="I367" s="642"/>
      <c r="J367" s="642"/>
      <c r="K367" s="642"/>
      <c r="L367" s="642"/>
      <c r="M367" s="642"/>
      <c r="N367" s="642"/>
      <c r="O367" s="642"/>
      <c r="P367" s="642"/>
      <c r="Q367" s="642"/>
      <c r="R367" s="642"/>
      <c r="S367" s="642"/>
      <c r="T367" s="642"/>
      <c r="U367" s="642"/>
      <c r="V367" s="642"/>
      <c r="W367" s="642"/>
      <c r="X367" s="642"/>
      <c r="Y367" s="642"/>
      <c r="Z367" s="642"/>
      <c r="AA367" s="643"/>
    </row>
    <row r="368" spans="2:27" ht="13.8" thickBot="1" x14ac:dyDescent="0.3"/>
    <row r="369" spans="2:27" x14ac:dyDescent="0.25">
      <c r="B369" s="573" t="s">
        <v>511</v>
      </c>
      <c r="C369" s="64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5"/>
    </row>
    <row r="370" spans="2:27" x14ac:dyDescent="0.25">
      <c r="B370" s="576"/>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577"/>
    </row>
    <row r="371" spans="2:27" x14ac:dyDescent="0.25">
      <c r="B371" s="576"/>
      <c r="C371" s="645" t="s">
        <v>64</v>
      </c>
      <c r="D371" s="646">
        <f>'III. Inputs, Renewable Energy'!$U$16</f>
        <v>20</v>
      </c>
      <c r="E371" s="647" t="s">
        <v>20</v>
      </c>
      <c r="F371" s="38"/>
      <c r="G371" s="38"/>
      <c r="H371" s="38"/>
      <c r="I371" s="38"/>
      <c r="J371" s="38"/>
      <c r="K371" s="38"/>
      <c r="L371" s="38"/>
      <c r="M371" s="38"/>
      <c r="N371" s="38"/>
      <c r="O371" s="38"/>
      <c r="P371" s="38"/>
      <c r="Q371" s="38"/>
      <c r="R371" s="38"/>
      <c r="S371" s="38"/>
      <c r="T371" s="38"/>
      <c r="U371" s="38"/>
      <c r="V371" s="38"/>
      <c r="W371" s="38"/>
      <c r="X371" s="38"/>
      <c r="Y371" s="38"/>
      <c r="Z371" s="38"/>
      <c r="AA371" s="577"/>
    </row>
    <row r="372" spans="2:27" x14ac:dyDescent="0.25">
      <c r="B372" s="576"/>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577"/>
    </row>
    <row r="373" spans="2:27" x14ac:dyDescent="0.25">
      <c r="B373" s="576"/>
      <c r="C373" s="38" t="s">
        <v>59</v>
      </c>
      <c r="D373" s="38"/>
      <c r="E373" s="38"/>
      <c r="F373" s="38"/>
      <c r="G373" s="648"/>
      <c r="H373" s="581">
        <f>IF(H353&gt;$D$371,0,1/$D$371)</f>
        <v>0.05</v>
      </c>
      <c r="I373" s="581">
        <f t="shared" ref="I373:AA373" si="98">IF(I353&gt;$D$371,0,1/$D$371)</f>
        <v>0.05</v>
      </c>
      <c r="J373" s="581">
        <f t="shared" si="98"/>
        <v>0.05</v>
      </c>
      <c r="K373" s="581">
        <f t="shared" si="98"/>
        <v>0.05</v>
      </c>
      <c r="L373" s="581">
        <f t="shared" si="98"/>
        <v>0.05</v>
      </c>
      <c r="M373" s="581">
        <f t="shared" si="98"/>
        <v>0.05</v>
      </c>
      <c r="N373" s="581">
        <f t="shared" si="98"/>
        <v>0.05</v>
      </c>
      <c r="O373" s="581">
        <f t="shared" si="98"/>
        <v>0.05</v>
      </c>
      <c r="P373" s="581">
        <f t="shared" si="98"/>
        <v>0.05</v>
      </c>
      <c r="Q373" s="581">
        <f t="shared" si="98"/>
        <v>0.05</v>
      </c>
      <c r="R373" s="581">
        <f t="shared" si="98"/>
        <v>0.05</v>
      </c>
      <c r="S373" s="581">
        <f t="shared" si="98"/>
        <v>0.05</v>
      </c>
      <c r="T373" s="581">
        <f t="shared" si="98"/>
        <v>0.05</v>
      </c>
      <c r="U373" s="581">
        <f t="shared" si="98"/>
        <v>0.05</v>
      </c>
      <c r="V373" s="581">
        <f t="shared" si="98"/>
        <v>0.05</v>
      </c>
      <c r="W373" s="581">
        <f t="shared" si="98"/>
        <v>0.05</v>
      </c>
      <c r="X373" s="581">
        <f t="shared" si="98"/>
        <v>0.05</v>
      </c>
      <c r="Y373" s="581">
        <f t="shared" si="98"/>
        <v>0.05</v>
      </c>
      <c r="Z373" s="581">
        <f t="shared" si="98"/>
        <v>0.05</v>
      </c>
      <c r="AA373" s="649">
        <f t="shared" si="98"/>
        <v>0.05</v>
      </c>
    </row>
    <row r="374" spans="2:27" x14ac:dyDescent="0.25">
      <c r="B374" s="576"/>
      <c r="C374" s="38" t="s">
        <v>60</v>
      </c>
      <c r="D374" s="38"/>
      <c r="E374" s="38"/>
      <c r="F374" s="38"/>
      <c r="G374" s="650"/>
      <c r="H374" s="581">
        <v>0</v>
      </c>
      <c r="I374" s="581">
        <v>0</v>
      </c>
      <c r="J374" s="581">
        <v>0</v>
      </c>
      <c r="K374" s="581">
        <v>0</v>
      </c>
      <c r="L374" s="581">
        <v>0</v>
      </c>
      <c r="M374" s="581">
        <v>0</v>
      </c>
      <c r="N374" s="581">
        <v>0</v>
      </c>
      <c r="O374" s="581">
        <v>0</v>
      </c>
      <c r="P374" s="581">
        <v>0</v>
      </c>
      <c r="Q374" s="581">
        <v>0</v>
      </c>
      <c r="R374" s="581">
        <v>0</v>
      </c>
      <c r="S374" s="581">
        <v>0</v>
      </c>
      <c r="T374" s="581">
        <v>0</v>
      </c>
      <c r="U374" s="581">
        <v>0</v>
      </c>
      <c r="V374" s="581">
        <v>0</v>
      </c>
      <c r="W374" s="581">
        <v>0</v>
      </c>
      <c r="X374" s="581">
        <v>0</v>
      </c>
      <c r="Y374" s="581">
        <v>0</v>
      </c>
      <c r="Z374" s="581">
        <v>0</v>
      </c>
      <c r="AA374" s="649">
        <v>0</v>
      </c>
    </row>
    <row r="375" spans="2:27" x14ac:dyDescent="0.25">
      <c r="B375" s="576"/>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577"/>
    </row>
    <row r="376" spans="2:27" x14ac:dyDescent="0.25">
      <c r="B376" s="576"/>
      <c r="C376" s="38"/>
      <c r="D376" s="38"/>
      <c r="E376" s="38"/>
      <c r="F376" s="598" t="s">
        <v>61</v>
      </c>
      <c r="G376" s="598" t="s">
        <v>62</v>
      </c>
      <c r="H376" s="38"/>
      <c r="I376" s="38"/>
      <c r="J376" s="38"/>
      <c r="K376" s="38"/>
      <c r="L376" s="38"/>
      <c r="M376" s="38"/>
      <c r="N376" s="38"/>
      <c r="O376" s="38"/>
      <c r="P376" s="38"/>
      <c r="Q376" s="38"/>
      <c r="R376" s="38"/>
      <c r="S376" s="38"/>
      <c r="T376" s="38"/>
      <c r="U376" s="38"/>
      <c r="V376" s="38"/>
      <c r="W376" s="38"/>
      <c r="X376" s="38"/>
      <c r="Y376" s="38"/>
      <c r="Z376" s="38"/>
      <c r="AA376" s="577"/>
    </row>
    <row r="377" spans="2:27" x14ac:dyDescent="0.25">
      <c r="B377" s="576"/>
      <c r="C377" s="38" t="s">
        <v>57</v>
      </c>
      <c r="D377" s="38"/>
      <c r="E377" s="38"/>
      <c r="F377" s="581">
        <f>'III. Inputs, Renewable Energy'!V230</f>
        <v>0.95</v>
      </c>
      <c r="G377" s="1328">
        <f>('III. Inputs, Renewable Energy'!U254+('III. Inputs, Renewable Energy'!U250*'III. Inputs, Renewable Energy'!U252*'III. Inputs, Renewable Energy'!U253))*('III. Inputs, Renewable Energy'!U14/'III. Inputs, Renewable Energy'!U255)*F377</f>
        <v>55935999.999999993</v>
      </c>
      <c r="H377" s="1328">
        <f>$G$377*H373</f>
        <v>2796800</v>
      </c>
      <c r="I377" s="1328">
        <f t="shared" ref="I377:AA377" si="99">$G$377*I373</f>
        <v>2796800</v>
      </c>
      <c r="J377" s="1328">
        <f t="shared" si="99"/>
        <v>2796800</v>
      </c>
      <c r="K377" s="1328">
        <f t="shared" si="99"/>
        <v>2796800</v>
      </c>
      <c r="L377" s="1328">
        <f t="shared" si="99"/>
        <v>2796800</v>
      </c>
      <c r="M377" s="1328">
        <f t="shared" si="99"/>
        <v>2796800</v>
      </c>
      <c r="N377" s="1328">
        <f t="shared" si="99"/>
        <v>2796800</v>
      </c>
      <c r="O377" s="1328">
        <f t="shared" si="99"/>
        <v>2796800</v>
      </c>
      <c r="P377" s="1328">
        <f t="shared" si="99"/>
        <v>2796800</v>
      </c>
      <c r="Q377" s="1328">
        <f t="shared" si="99"/>
        <v>2796800</v>
      </c>
      <c r="R377" s="1328">
        <f t="shared" si="99"/>
        <v>2796800</v>
      </c>
      <c r="S377" s="1328">
        <f t="shared" si="99"/>
        <v>2796800</v>
      </c>
      <c r="T377" s="1328">
        <f t="shared" si="99"/>
        <v>2796800</v>
      </c>
      <c r="U377" s="1328">
        <f t="shared" si="99"/>
        <v>2796800</v>
      </c>
      <c r="V377" s="1328">
        <f t="shared" si="99"/>
        <v>2796800</v>
      </c>
      <c r="W377" s="1328">
        <f t="shared" si="99"/>
        <v>2796800</v>
      </c>
      <c r="X377" s="1328">
        <f t="shared" si="99"/>
        <v>2796800</v>
      </c>
      <c r="Y377" s="1328">
        <f t="shared" si="99"/>
        <v>2796800</v>
      </c>
      <c r="Z377" s="1328">
        <f t="shared" si="99"/>
        <v>2796800</v>
      </c>
      <c r="AA377" s="1331">
        <f t="shared" si="99"/>
        <v>2796800</v>
      </c>
    </row>
    <row r="378" spans="2:27" x14ac:dyDescent="0.25">
      <c r="B378" s="576"/>
      <c r="C378" s="39" t="s">
        <v>18</v>
      </c>
      <c r="D378" s="39"/>
      <c r="E378" s="39"/>
      <c r="F378" s="651">
        <f>'III. Inputs, Renewable Energy'!V231</f>
        <v>0.05</v>
      </c>
      <c r="G378" s="1332">
        <f>('III. Inputs, Renewable Energy'!U254+('III. Inputs, Renewable Energy'!U250*'III. Inputs, Renewable Energy'!U252*'III. Inputs, Renewable Energy'!U253))*('III. Inputs, Renewable Energy'!U14/'III. Inputs, Renewable Energy'!U255)*F378</f>
        <v>2944000</v>
      </c>
      <c r="H378" s="1332">
        <f>$G$378*H374</f>
        <v>0</v>
      </c>
      <c r="I378" s="1332">
        <f t="shared" ref="I378:AA378" si="100">$G$378*I374</f>
        <v>0</v>
      </c>
      <c r="J378" s="1332">
        <f t="shared" si="100"/>
        <v>0</v>
      </c>
      <c r="K378" s="1332">
        <f t="shared" si="100"/>
        <v>0</v>
      </c>
      <c r="L378" s="1332">
        <f t="shared" si="100"/>
        <v>0</v>
      </c>
      <c r="M378" s="1332">
        <f t="shared" si="100"/>
        <v>0</v>
      </c>
      <c r="N378" s="1332">
        <f t="shared" si="100"/>
        <v>0</v>
      </c>
      <c r="O378" s="1332">
        <f t="shared" si="100"/>
        <v>0</v>
      </c>
      <c r="P378" s="1332">
        <f t="shared" si="100"/>
        <v>0</v>
      </c>
      <c r="Q378" s="1332">
        <f t="shared" si="100"/>
        <v>0</v>
      </c>
      <c r="R378" s="1332">
        <f t="shared" si="100"/>
        <v>0</v>
      </c>
      <c r="S378" s="1332">
        <f t="shared" si="100"/>
        <v>0</v>
      </c>
      <c r="T378" s="1332">
        <f t="shared" si="100"/>
        <v>0</v>
      </c>
      <c r="U378" s="1332">
        <f t="shared" si="100"/>
        <v>0</v>
      </c>
      <c r="V378" s="1332">
        <f t="shared" si="100"/>
        <v>0</v>
      </c>
      <c r="W378" s="1332">
        <f t="shared" si="100"/>
        <v>0</v>
      </c>
      <c r="X378" s="1332">
        <f t="shared" si="100"/>
        <v>0</v>
      </c>
      <c r="Y378" s="1332">
        <f t="shared" si="100"/>
        <v>0</v>
      </c>
      <c r="Z378" s="1332">
        <f t="shared" si="100"/>
        <v>0</v>
      </c>
      <c r="AA378" s="1333">
        <f t="shared" si="100"/>
        <v>0</v>
      </c>
    </row>
    <row r="379" spans="2:27" x14ac:dyDescent="0.25">
      <c r="B379" s="576"/>
      <c r="C379" s="38" t="s">
        <v>63</v>
      </c>
      <c r="D379" s="38"/>
      <c r="E379" s="38"/>
      <c r="F379" s="38"/>
      <c r="G379" s="1328">
        <f>G377+G378</f>
        <v>58879999.999999993</v>
      </c>
      <c r="H379" s="1328">
        <f>H377+H378</f>
        <v>2796800</v>
      </c>
      <c r="I379" s="1328">
        <f t="shared" ref="I379:AA379" si="101">I377+I378</f>
        <v>2796800</v>
      </c>
      <c r="J379" s="1328">
        <f t="shared" si="101"/>
        <v>2796800</v>
      </c>
      <c r="K379" s="1328">
        <f t="shared" si="101"/>
        <v>2796800</v>
      </c>
      <c r="L379" s="1328">
        <f t="shared" si="101"/>
        <v>2796800</v>
      </c>
      <c r="M379" s="1328">
        <f t="shared" si="101"/>
        <v>2796800</v>
      </c>
      <c r="N379" s="1328">
        <f t="shared" si="101"/>
        <v>2796800</v>
      </c>
      <c r="O379" s="1328">
        <f t="shared" si="101"/>
        <v>2796800</v>
      </c>
      <c r="P379" s="1328">
        <f t="shared" si="101"/>
        <v>2796800</v>
      </c>
      <c r="Q379" s="1328">
        <f t="shared" si="101"/>
        <v>2796800</v>
      </c>
      <c r="R379" s="1328">
        <f t="shared" si="101"/>
        <v>2796800</v>
      </c>
      <c r="S379" s="1328">
        <f t="shared" si="101"/>
        <v>2796800</v>
      </c>
      <c r="T379" s="1328">
        <f t="shared" si="101"/>
        <v>2796800</v>
      </c>
      <c r="U379" s="1328">
        <f t="shared" si="101"/>
        <v>2796800</v>
      </c>
      <c r="V379" s="1328">
        <f t="shared" si="101"/>
        <v>2796800</v>
      </c>
      <c r="W379" s="1328">
        <f t="shared" si="101"/>
        <v>2796800</v>
      </c>
      <c r="X379" s="1328">
        <f t="shared" si="101"/>
        <v>2796800</v>
      </c>
      <c r="Y379" s="1328">
        <f t="shared" si="101"/>
        <v>2796800</v>
      </c>
      <c r="Z379" s="1328">
        <f t="shared" si="101"/>
        <v>2796800</v>
      </c>
      <c r="AA379" s="1331">
        <f t="shared" si="101"/>
        <v>2796800</v>
      </c>
    </row>
    <row r="380" spans="2:27" x14ac:dyDescent="0.25">
      <c r="B380" s="576"/>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577"/>
    </row>
    <row r="381" spans="2:27" ht="13.8" thickBot="1" x14ac:dyDescent="0.3">
      <c r="B381" s="599"/>
      <c r="C381" s="592"/>
      <c r="D381" s="592"/>
      <c r="E381" s="592"/>
      <c r="F381" s="592"/>
      <c r="G381" s="592"/>
      <c r="H381" s="592"/>
      <c r="I381" s="592"/>
      <c r="J381" s="592"/>
      <c r="K381" s="592"/>
      <c r="L381" s="592"/>
      <c r="M381" s="592"/>
      <c r="N381" s="592"/>
      <c r="O381" s="592"/>
      <c r="P381" s="592"/>
      <c r="Q381" s="592"/>
      <c r="R381" s="592"/>
      <c r="S381" s="592"/>
      <c r="T381" s="592"/>
      <c r="U381" s="592"/>
      <c r="V381" s="592"/>
      <c r="W381" s="592"/>
      <c r="X381" s="592"/>
      <c r="Y381" s="592"/>
      <c r="Z381" s="592"/>
      <c r="AA381" s="593"/>
    </row>
    <row r="382" spans="2:27" x14ac:dyDescent="0.25">
      <c r="F382" s="683"/>
    </row>
    <row r="383" spans="2:27" hidden="1" x14ac:dyDescent="0.25"/>
    <row r="384" spans="2:27" hidden="1" x14ac:dyDescent="0.25"/>
    <row r="385" hidden="1" x14ac:dyDescent="0.25"/>
    <row r="386" hidden="1" x14ac:dyDescent="0.25"/>
    <row r="387" hidden="1" x14ac:dyDescent="0.25"/>
    <row r="388" hidden="1" x14ac:dyDescent="0.25"/>
    <row r="389" hidden="1" x14ac:dyDescent="0.25"/>
    <row r="390" x14ac:dyDescent="0.25"/>
  </sheetData>
  <sheetProtection formatCells="0" formatColumns="0" formatRows="0" insertColumns="0" insertRows="0"/>
  <pageMargins left="0.7" right="0.7" top="0.75" bottom="0.75" header="0.3" footer="0.3"/>
  <pageSetup scale="30" fitToHeight="0" orientation="landscape" horizontalDpi="4294967293"/>
  <headerFooter>
    <oddFooter>&amp;L&amp;A&amp;R&amp;P of &amp;N</oddFooter>
  </headerFooter>
  <rowBreaks count="2" manualBreakCount="2">
    <brk id="192" max="16383" man="1"/>
    <brk id="272" max="16383" man="1"/>
  </rowBreaks>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WWX1014"/>
  <sheetViews>
    <sheetView showGridLines="0" zoomScale="85" zoomScaleNormal="85" zoomScaleSheetLayoutView="85" zoomScalePageLayoutView="85" workbookViewId="0"/>
  </sheetViews>
  <sheetFormatPr defaultColWidth="0" defaultRowHeight="0" customHeight="1" zeroHeight="1" x14ac:dyDescent="0.25"/>
  <cols>
    <col min="1" max="5" width="2.6640625" style="735" customWidth="1"/>
    <col min="6" max="7" width="12.6640625" style="735" customWidth="1"/>
    <col min="8" max="8" width="17.109375" style="735" customWidth="1"/>
    <col min="9" max="9" width="13.6640625" style="735" customWidth="1"/>
    <col min="10" max="41" width="12.6640625" style="735" customWidth="1"/>
    <col min="42" max="42" width="2.44140625" style="735" customWidth="1"/>
    <col min="43" max="283" width="0" style="735" hidden="1"/>
    <col min="284" max="284" width="3.33203125" style="735" hidden="1" customWidth="1"/>
    <col min="285" max="287" width="2.6640625" style="735" hidden="1" customWidth="1"/>
    <col min="288" max="297" width="12.6640625" style="735" hidden="1" customWidth="1"/>
    <col min="298" max="298" width="2.6640625" style="735" hidden="1" customWidth="1"/>
    <col min="299" max="539" width="0" style="735" hidden="1"/>
    <col min="540" max="540" width="3.33203125" style="735" hidden="1" customWidth="1"/>
    <col min="541" max="543" width="2.6640625" style="735" hidden="1" customWidth="1"/>
    <col min="544" max="553" width="12.6640625" style="735" hidden="1" customWidth="1"/>
    <col min="554" max="554" width="2.6640625" style="735" hidden="1" customWidth="1"/>
    <col min="555" max="795" width="0" style="735" hidden="1"/>
    <col min="796" max="796" width="3.33203125" style="735" hidden="1" customWidth="1"/>
    <col min="797" max="799" width="2.6640625" style="735" hidden="1" customWidth="1"/>
    <col min="800" max="809" width="12.6640625" style="735" hidden="1" customWidth="1"/>
    <col min="810" max="810" width="2.6640625" style="735" hidden="1" customWidth="1"/>
    <col min="811" max="1051" width="0" style="735" hidden="1"/>
    <col min="1052" max="1052" width="3.33203125" style="735" hidden="1" customWidth="1"/>
    <col min="1053" max="1055" width="2.6640625" style="735" hidden="1" customWidth="1"/>
    <col min="1056" max="1065" width="12.6640625" style="735" hidden="1" customWidth="1"/>
    <col min="1066" max="1066" width="2.6640625" style="735" hidden="1" customWidth="1"/>
    <col min="1067" max="1307" width="0" style="735" hidden="1"/>
    <col min="1308" max="1308" width="3.33203125" style="735" hidden="1" customWidth="1"/>
    <col min="1309" max="1311" width="2.6640625" style="735" hidden="1" customWidth="1"/>
    <col min="1312" max="1321" width="12.6640625" style="735" hidden="1" customWidth="1"/>
    <col min="1322" max="1322" width="2.6640625" style="735" hidden="1" customWidth="1"/>
    <col min="1323" max="1563" width="0" style="735" hidden="1"/>
    <col min="1564" max="1564" width="3.33203125" style="735" hidden="1" customWidth="1"/>
    <col min="1565" max="1567" width="2.6640625" style="735" hidden="1" customWidth="1"/>
    <col min="1568" max="1577" width="12.6640625" style="735" hidden="1" customWidth="1"/>
    <col min="1578" max="1578" width="2.6640625" style="735" hidden="1" customWidth="1"/>
    <col min="1579" max="1819" width="0" style="735" hidden="1"/>
    <col min="1820" max="1820" width="3.33203125" style="735" hidden="1" customWidth="1"/>
    <col min="1821" max="1823" width="2.6640625" style="735" hidden="1" customWidth="1"/>
    <col min="1824" max="1833" width="12.6640625" style="735" hidden="1" customWidth="1"/>
    <col min="1834" max="1834" width="2.6640625" style="735" hidden="1" customWidth="1"/>
    <col min="1835" max="2075" width="0" style="735" hidden="1"/>
    <col min="2076" max="2076" width="3.33203125" style="735" hidden="1" customWidth="1"/>
    <col min="2077" max="2079" width="2.6640625" style="735" hidden="1" customWidth="1"/>
    <col min="2080" max="2089" width="12.6640625" style="735" hidden="1" customWidth="1"/>
    <col min="2090" max="2090" width="2.6640625" style="735" hidden="1" customWidth="1"/>
    <col min="2091" max="2331" width="0" style="735" hidden="1"/>
    <col min="2332" max="2332" width="3.33203125" style="735" hidden="1" customWidth="1"/>
    <col min="2333" max="2335" width="2.6640625" style="735" hidden="1" customWidth="1"/>
    <col min="2336" max="2345" width="12.6640625" style="735" hidden="1" customWidth="1"/>
    <col min="2346" max="2346" width="2.6640625" style="735" hidden="1" customWidth="1"/>
    <col min="2347" max="2587" width="0" style="735" hidden="1"/>
    <col min="2588" max="2588" width="3.33203125" style="735" hidden="1" customWidth="1"/>
    <col min="2589" max="2591" width="2.6640625" style="735" hidden="1" customWidth="1"/>
    <col min="2592" max="2601" width="12.6640625" style="735" hidden="1" customWidth="1"/>
    <col min="2602" max="2602" width="2.6640625" style="735" hidden="1" customWidth="1"/>
    <col min="2603" max="2843" width="0" style="735" hidden="1"/>
    <col min="2844" max="2844" width="3.33203125" style="735" hidden="1" customWidth="1"/>
    <col min="2845" max="2847" width="2.6640625" style="735" hidden="1" customWidth="1"/>
    <col min="2848" max="2857" width="12.6640625" style="735" hidden="1" customWidth="1"/>
    <col min="2858" max="2858" width="2.6640625" style="735" hidden="1" customWidth="1"/>
    <col min="2859" max="3099" width="0" style="735" hidden="1"/>
    <col min="3100" max="3100" width="3.33203125" style="735" hidden="1" customWidth="1"/>
    <col min="3101" max="3103" width="2.6640625" style="735" hidden="1" customWidth="1"/>
    <col min="3104" max="3113" width="12.6640625" style="735" hidden="1" customWidth="1"/>
    <col min="3114" max="3114" width="2.6640625" style="735" hidden="1" customWidth="1"/>
    <col min="3115" max="3355" width="0" style="735" hidden="1"/>
    <col min="3356" max="3356" width="3.33203125" style="735" hidden="1" customWidth="1"/>
    <col min="3357" max="3359" width="2.6640625" style="735" hidden="1" customWidth="1"/>
    <col min="3360" max="3369" width="12.6640625" style="735" hidden="1" customWidth="1"/>
    <col min="3370" max="3370" width="2.6640625" style="735" hidden="1" customWidth="1"/>
    <col min="3371" max="3611" width="0" style="735" hidden="1"/>
    <col min="3612" max="3612" width="3.33203125" style="735" hidden="1" customWidth="1"/>
    <col min="3613" max="3615" width="2.6640625" style="735" hidden="1" customWidth="1"/>
    <col min="3616" max="3625" width="12.6640625" style="735" hidden="1" customWidth="1"/>
    <col min="3626" max="3626" width="2.6640625" style="735" hidden="1" customWidth="1"/>
    <col min="3627" max="3867" width="0" style="735" hidden="1"/>
    <col min="3868" max="3868" width="3.33203125" style="735" hidden="1" customWidth="1"/>
    <col min="3869" max="3871" width="2.6640625" style="735" hidden="1" customWidth="1"/>
    <col min="3872" max="3881" width="12.6640625" style="735" hidden="1" customWidth="1"/>
    <col min="3882" max="3882" width="2.6640625" style="735" hidden="1" customWidth="1"/>
    <col min="3883" max="4123" width="0" style="735" hidden="1"/>
    <col min="4124" max="4124" width="3.33203125" style="735" hidden="1" customWidth="1"/>
    <col min="4125" max="4127" width="2.6640625" style="735" hidden="1" customWidth="1"/>
    <col min="4128" max="4137" width="12.6640625" style="735" hidden="1" customWidth="1"/>
    <col min="4138" max="4138" width="2.6640625" style="735" hidden="1" customWidth="1"/>
    <col min="4139" max="4379" width="0" style="735" hidden="1"/>
    <col min="4380" max="4380" width="3.33203125" style="735" hidden="1" customWidth="1"/>
    <col min="4381" max="4383" width="2.6640625" style="735" hidden="1" customWidth="1"/>
    <col min="4384" max="4393" width="12.6640625" style="735" hidden="1" customWidth="1"/>
    <col min="4394" max="4394" width="2.6640625" style="735" hidden="1" customWidth="1"/>
    <col min="4395" max="4635" width="0" style="735" hidden="1"/>
    <col min="4636" max="4636" width="3.33203125" style="735" hidden="1" customWidth="1"/>
    <col min="4637" max="4639" width="2.6640625" style="735" hidden="1" customWidth="1"/>
    <col min="4640" max="4649" width="12.6640625" style="735" hidden="1" customWidth="1"/>
    <col min="4650" max="4650" width="2.6640625" style="735" hidden="1" customWidth="1"/>
    <col min="4651" max="4891" width="0" style="735" hidden="1"/>
    <col min="4892" max="4892" width="3.33203125" style="735" hidden="1" customWidth="1"/>
    <col min="4893" max="4895" width="2.6640625" style="735" hidden="1" customWidth="1"/>
    <col min="4896" max="4905" width="12.6640625" style="735" hidden="1" customWidth="1"/>
    <col min="4906" max="4906" width="2.6640625" style="735" hidden="1" customWidth="1"/>
    <col min="4907" max="5147" width="0" style="735" hidden="1"/>
    <col min="5148" max="5148" width="3.33203125" style="735" hidden="1" customWidth="1"/>
    <col min="5149" max="5151" width="2.6640625" style="735" hidden="1" customWidth="1"/>
    <col min="5152" max="5161" width="12.6640625" style="735" hidden="1" customWidth="1"/>
    <col min="5162" max="5162" width="2.6640625" style="735" hidden="1" customWidth="1"/>
    <col min="5163" max="5403" width="0" style="735" hidden="1"/>
    <col min="5404" max="5404" width="3.33203125" style="735" hidden="1" customWidth="1"/>
    <col min="5405" max="5407" width="2.6640625" style="735" hidden="1" customWidth="1"/>
    <col min="5408" max="5417" width="12.6640625" style="735" hidden="1" customWidth="1"/>
    <col min="5418" max="5418" width="2.6640625" style="735" hidden="1" customWidth="1"/>
    <col min="5419" max="5659" width="0" style="735" hidden="1"/>
    <col min="5660" max="5660" width="3.33203125" style="735" hidden="1" customWidth="1"/>
    <col min="5661" max="5663" width="2.6640625" style="735" hidden="1" customWidth="1"/>
    <col min="5664" max="5673" width="12.6640625" style="735" hidden="1" customWidth="1"/>
    <col min="5674" max="5674" width="2.6640625" style="735" hidden="1" customWidth="1"/>
    <col min="5675" max="5915" width="0" style="735" hidden="1"/>
    <col min="5916" max="5916" width="3.33203125" style="735" hidden="1" customWidth="1"/>
    <col min="5917" max="5919" width="2.6640625" style="735" hidden="1" customWidth="1"/>
    <col min="5920" max="5929" width="12.6640625" style="735" hidden="1" customWidth="1"/>
    <col min="5930" max="5930" width="2.6640625" style="735" hidden="1" customWidth="1"/>
    <col min="5931" max="6171" width="0" style="735" hidden="1"/>
    <col min="6172" max="6172" width="3.33203125" style="735" hidden="1" customWidth="1"/>
    <col min="6173" max="6175" width="2.6640625" style="735" hidden="1" customWidth="1"/>
    <col min="6176" max="6185" width="12.6640625" style="735" hidden="1" customWidth="1"/>
    <col min="6186" max="6186" width="2.6640625" style="735" hidden="1" customWidth="1"/>
    <col min="6187" max="6427" width="0" style="735" hidden="1"/>
    <col min="6428" max="6428" width="3.33203125" style="735" hidden="1" customWidth="1"/>
    <col min="6429" max="6431" width="2.6640625" style="735" hidden="1" customWidth="1"/>
    <col min="6432" max="6441" width="12.6640625" style="735" hidden="1" customWidth="1"/>
    <col min="6442" max="6442" width="2.6640625" style="735" hidden="1" customWidth="1"/>
    <col min="6443" max="6683" width="0" style="735" hidden="1"/>
    <col min="6684" max="6684" width="3.33203125" style="735" hidden="1" customWidth="1"/>
    <col min="6685" max="6687" width="2.6640625" style="735" hidden="1" customWidth="1"/>
    <col min="6688" max="6697" width="12.6640625" style="735" hidden="1" customWidth="1"/>
    <col min="6698" max="6698" width="2.6640625" style="735" hidden="1" customWidth="1"/>
    <col min="6699" max="6939" width="0" style="735" hidden="1"/>
    <col min="6940" max="6940" width="3.33203125" style="735" hidden="1" customWidth="1"/>
    <col min="6941" max="6943" width="2.6640625" style="735" hidden="1" customWidth="1"/>
    <col min="6944" max="6953" width="12.6640625" style="735" hidden="1" customWidth="1"/>
    <col min="6954" max="6954" width="2.6640625" style="735" hidden="1" customWidth="1"/>
    <col min="6955" max="7195" width="0" style="735" hidden="1"/>
    <col min="7196" max="7196" width="3.33203125" style="735" hidden="1" customWidth="1"/>
    <col min="7197" max="7199" width="2.6640625" style="735" hidden="1" customWidth="1"/>
    <col min="7200" max="7209" width="12.6640625" style="735" hidden="1" customWidth="1"/>
    <col min="7210" max="7210" width="2.6640625" style="735" hidden="1" customWidth="1"/>
    <col min="7211" max="7451" width="0" style="735" hidden="1"/>
    <col min="7452" max="7452" width="3.33203125" style="735" hidden="1" customWidth="1"/>
    <col min="7453" max="7455" width="2.6640625" style="735" hidden="1" customWidth="1"/>
    <col min="7456" max="7465" width="12.6640625" style="735" hidden="1" customWidth="1"/>
    <col min="7466" max="7466" width="2.6640625" style="735" hidden="1" customWidth="1"/>
    <col min="7467" max="7707" width="0" style="735" hidden="1"/>
    <col min="7708" max="7708" width="3.33203125" style="735" hidden="1" customWidth="1"/>
    <col min="7709" max="7711" width="2.6640625" style="735" hidden="1" customWidth="1"/>
    <col min="7712" max="7721" width="12.6640625" style="735" hidden="1" customWidth="1"/>
    <col min="7722" max="7722" width="2.6640625" style="735" hidden="1" customWidth="1"/>
    <col min="7723" max="7963" width="0" style="735" hidden="1"/>
    <col min="7964" max="7964" width="3.33203125" style="735" hidden="1" customWidth="1"/>
    <col min="7965" max="7967" width="2.6640625" style="735" hidden="1" customWidth="1"/>
    <col min="7968" max="7977" width="12.6640625" style="735" hidden="1" customWidth="1"/>
    <col min="7978" max="7978" width="2.6640625" style="735" hidden="1" customWidth="1"/>
    <col min="7979" max="8219" width="0" style="735" hidden="1"/>
    <col min="8220" max="8220" width="3.33203125" style="735" hidden="1" customWidth="1"/>
    <col min="8221" max="8223" width="2.6640625" style="735" hidden="1" customWidth="1"/>
    <col min="8224" max="8233" width="12.6640625" style="735" hidden="1" customWidth="1"/>
    <col min="8234" max="8234" width="2.6640625" style="735" hidden="1" customWidth="1"/>
    <col min="8235" max="8475" width="0" style="735" hidden="1"/>
    <col min="8476" max="8476" width="3.33203125" style="735" hidden="1" customWidth="1"/>
    <col min="8477" max="8479" width="2.6640625" style="735" hidden="1" customWidth="1"/>
    <col min="8480" max="8489" width="12.6640625" style="735" hidden="1" customWidth="1"/>
    <col min="8490" max="8490" width="2.6640625" style="735" hidden="1" customWidth="1"/>
    <col min="8491" max="8731" width="0" style="735" hidden="1"/>
    <col min="8732" max="8732" width="3.33203125" style="735" hidden="1" customWidth="1"/>
    <col min="8733" max="8735" width="2.6640625" style="735" hidden="1" customWidth="1"/>
    <col min="8736" max="8745" width="12.6640625" style="735" hidden="1" customWidth="1"/>
    <col min="8746" max="8746" width="2.6640625" style="735" hidden="1" customWidth="1"/>
    <col min="8747" max="8987" width="0" style="735" hidden="1"/>
    <col min="8988" max="8988" width="3.33203125" style="735" hidden="1" customWidth="1"/>
    <col min="8989" max="8991" width="2.6640625" style="735" hidden="1" customWidth="1"/>
    <col min="8992" max="9001" width="12.6640625" style="735" hidden="1" customWidth="1"/>
    <col min="9002" max="9002" width="2.6640625" style="735" hidden="1" customWidth="1"/>
    <col min="9003" max="9243" width="0" style="735" hidden="1"/>
    <col min="9244" max="9244" width="3.33203125" style="735" hidden="1" customWidth="1"/>
    <col min="9245" max="9247" width="2.6640625" style="735" hidden="1" customWidth="1"/>
    <col min="9248" max="9257" width="12.6640625" style="735" hidden="1" customWidth="1"/>
    <col min="9258" max="9258" width="2.6640625" style="735" hidden="1" customWidth="1"/>
    <col min="9259" max="9499" width="0" style="735" hidden="1"/>
    <col min="9500" max="9500" width="3.33203125" style="735" hidden="1" customWidth="1"/>
    <col min="9501" max="9503" width="2.6640625" style="735" hidden="1" customWidth="1"/>
    <col min="9504" max="9513" width="12.6640625" style="735" hidden="1" customWidth="1"/>
    <col min="9514" max="9514" width="2.6640625" style="735" hidden="1" customWidth="1"/>
    <col min="9515" max="9755" width="0" style="735" hidden="1"/>
    <col min="9756" max="9756" width="3.33203125" style="735" hidden="1" customWidth="1"/>
    <col min="9757" max="9759" width="2.6640625" style="735" hidden="1" customWidth="1"/>
    <col min="9760" max="9769" width="12.6640625" style="735" hidden="1" customWidth="1"/>
    <col min="9770" max="9770" width="2.6640625" style="735" hidden="1" customWidth="1"/>
    <col min="9771" max="10011" width="0" style="735" hidden="1"/>
    <col min="10012" max="10012" width="3.33203125" style="735" hidden="1" customWidth="1"/>
    <col min="10013" max="10015" width="2.6640625" style="735" hidden="1" customWidth="1"/>
    <col min="10016" max="10025" width="12.6640625" style="735" hidden="1" customWidth="1"/>
    <col min="10026" max="10026" width="2.6640625" style="735" hidden="1" customWidth="1"/>
    <col min="10027" max="10267" width="0" style="735" hidden="1"/>
    <col min="10268" max="10268" width="3.33203125" style="735" hidden="1" customWidth="1"/>
    <col min="10269" max="10271" width="2.6640625" style="735" hidden="1" customWidth="1"/>
    <col min="10272" max="10281" width="12.6640625" style="735" hidden="1" customWidth="1"/>
    <col min="10282" max="10282" width="2.6640625" style="735" hidden="1" customWidth="1"/>
    <col min="10283" max="10523" width="0" style="735" hidden="1"/>
    <col min="10524" max="10524" width="3.33203125" style="735" hidden="1" customWidth="1"/>
    <col min="10525" max="10527" width="2.6640625" style="735" hidden="1" customWidth="1"/>
    <col min="10528" max="10537" width="12.6640625" style="735" hidden="1" customWidth="1"/>
    <col min="10538" max="10538" width="2.6640625" style="735" hidden="1" customWidth="1"/>
    <col min="10539" max="10779" width="0" style="735" hidden="1"/>
    <col min="10780" max="10780" width="3.33203125" style="735" hidden="1" customWidth="1"/>
    <col min="10781" max="10783" width="2.6640625" style="735" hidden="1" customWidth="1"/>
    <col min="10784" max="10793" width="12.6640625" style="735" hidden="1" customWidth="1"/>
    <col min="10794" max="10794" width="2.6640625" style="735" hidden="1" customWidth="1"/>
    <col min="10795" max="11035" width="0" style="735" hidden="1"/>
    <col min="11036" max="11036" width="3.33203125" style="735" hidden="1" customWidth="1"/>
    <col min="11037" max="11039" width="2.6640625" style="735" hidden="1" customWidth="1"/>
    <col min="11040" max="11049" width="12.6640625" style="735" hidden="1" customWidth="1"/>
    <col min="11050" max="11050" width="2.6640625" style="735" hidden="1" customWidth="1"/>
    <col min="11051" max="11291" width="0" style="735" hidden="1"/>
    <col min="11292" max="11292" width="3.33203125" style="735" hidden="1" customWidth="1"/>
    <col min="11293" max="11295" width="2.6640625" style="735" hidden="1" customWidth="1"/>
    <col min="11296" max="11305" width="12.6640625" style="735" hidden="1" customWidth="1"/>
    <col min="11306" max="11306" width="2.6640625" style="735" hidden="1" customWidth="1"/>
    <col min="11307" max="11547" width="0" style="735" hidden="1"/>
    <col min="11548" max="11548" width="3.33203125" style="735" hidden="1" customWidth="1"/>
    <col min="11549" max="11551" width="2.6640625" style="735" hidden="1" customWidth="1"/>
    <col min="11552" max="11561" width="12.6640625" style="735" hidden="1" customWidth="1"/>
    <col min="11562" max="11562" width="2.6640625" style="735" hidden="1" customWidth="1"/>
    <col min="11563" max="11803" width="0" style="735" hidden="1"/>
    <col min="11804" max="11804" width="3.33203125" style="735" hidden="1" customWidth="1"/>
    <col min="11805" max="11807" width="2.6640625" style="735" hidden="1" customWidth="1"/>
    <col min="11808" max="11817" width="12.6640625" style="735" hidden="1" customWidth="1"/>
    <col min="11818" max="11818" width="2.6640625" style="735" hidden="1" customWidth="1"/>
    <col min="11819" max="12059" width="0" style="735" hidden="1"/>
    <col min="12060" max="12060" width="3.33203125" style="735" hidden="1" customWidth="1"/>
    <col min="12061" max="12063" width="2.6640625" style="735" hidden="1" customWidth="1"/>
    <col min="12064" max="12073" width="12.6640625" style="735" hidden="1" customWidth="1"/>
    <col min="12074" max="12074" width="2.6640625" style="735" hidden="1" customWidth="1"/>
    <col min="12075" max="12315" width="0" style="735" hidden="1"/>
    <col min="12316" max="12316" width="3.33203125" style="735" hidden="1" customWidth="1"/>
    <col min="12317" max="12319" width="2.6640625" style="735" hidden="1" customWidth="1"/>
    <col min="12320" max="12329" width="12.6640625" style="735" hidden="1" customWidth="1"/>
    <col min="12330" max="12330" width="2.6640625" style="735" hidden="1" customWidth="1"/>
    <col min="12331" max="12571" width="0" style="735" hidden="1"/>
    <col min="12572" max="12572" width="3.33203125" style="735" hidden="1" customWidth="1"/>
    <col min="12573" max="12575" width="2.6640625" style="735" hidden="1" customWidth="1"/>
    <col min="12576" max="12585" width="12.6640625" style="735" hidden="1" customWidth="1"/>
    <col min="12586" max="12586" width="2.6640625" style="735" hidden="1" customWidth="1"/>
    <col min="12587" max="12827" width="0" style="735" hidden="1"/>
    <col min="12828" max="12828" width="3.33203125" style="735" hidden="1" customWidth="1"/>
    <col min="12829" max="12831" width="2.6640625" style="735" hidden="1" customWidth="1"/>
    <col min="12832" max="12841" width="12.6640625" style="735" hidden="1" customWidth="1"/>
    <col min="12842" max="12842" width="2.6640625" style="735" hidden="1" customWidth="1"/>
    <col min="12843" max="13083" width="0" style="735" hidden="1"/>
    <col min="13084" max="13084" width="3.33203125" style="735" hidden="1" customWidth="1"/>
    <col min="13085" max="13087" width="2.6640625" style="735" hidden="1" customWidth="1"/>
    <col min="13088" max="13097" width="12.6640625" style="735" hidden="1" customWidth="1"/>
    <col min="13098" max="13098" width="2.6640625" style="735" hidden="1" customWidth="1"/>
    <col min="13099" max="13339" width="0" style="735" hidden="1"/>
    <col min="13340" max="13340" width="3.33203125" style="735" hidden="1" customWidth="1"/>
    <col min="13341" max="13343" width="2.6640625" style="735" hidden="1" customWidth="1"/>
    <col min="13344" max="13353" width="12.6640625" style="735" hidden="1" customWidth="1"/>
    <col min="13354" max="13354" width="2.6640625" style="735" hidden="1" customWidth="1"/>
    <col min="13355" max="13595" width="0" style="735" hidden="1"/>
    <col min="13596" max="13596" width="3.33203125" style="735" hidden="1" customWidth="1"/>
    <col min="13597" max="13599" width="2.6640625" style="735" hidden="1" customWidth="1"/>
    <col min="13600" max="13609" width="12.6640625" style="735" hidden="1" customWidth="1"/>
    <col min="13610" max="13610" width="2.6640625" style="735" hidden="1" customWidth="1"/>
    <col min="13611" max="13851" width="0" style="735" hidden="1"/>
    <col min="13852" max="13852" width="3.33203125" style="735" hidden="1" customWidth="1"/>
    <col min="13853" max="13855" width="2.6640625" style="735" hidden="1" customWidth="1"/>
    <col min="13856" max="13865" width="12.6640625" style="735" hidden="1" customWidth="1"/>
    <col min="13866" max="13866" width="2.6640625" style="735" hidden="1" customWidth="1"/>
    <col min="13867" max="14107" width="0" style="735" hidden="1"/>
    <col min="14108" max="14108" width="3.33203125" style="735" hidden="1" customWidth="1"/>
    <col min="14109" max="14111" width="2.6640625" style="735" hidden="1" customWidth="1"/>
    <col min="14112" max="14121" width="12.6640625" style="735" hidden="1" customWidth="1"/>
    <col min="14122" max="14122" width="2.6640625" style="735" hidden="1" customWidth="1"/>
    <col min="14123" max="14363" width="0" style="735" hidden="1"/>
    <col min="14364" max="14364" width="3.33203125" style="735" hidden="1" customWidth="1"/>
    <col min="14365" max="14367" width="2.6640625" style="735" hidden="1" customWidth="1"/>
    <col min="14368" max="14377" width="12.6640625" style="735" hidden="1" customWidth="1"/>
    <col min="14378" max="14378" width="2.6640625" style="735" hidden="1" customWidth="1"/>
    <col min="14379" max="14619" width="0" style="735" hidden="1"/>
    <col min="14620" max="14620" width="3.33203125" style="735" hidden="1" customWidth="1"/>
    <col min="14621" max="14623" width="2.6640625" style="735" hidden="1" customWidth="1"/>
    <col min="14624" max="14633" width="12.6640625" style="735" hidden="1" customWidth="1"/>
    <col min="14634" max="14634" width="2.6640625" style="735" hidden="1" customWidth="1"/>
    <col min="14635" max="14875" width="0" style="735" hidden="1"/>
    <col min="14876" max="14876" width="3.33203125" style="735" hidden="1" customWidth="1"/>
    <col min="14877" max="14879" width="2.6640625" style="735" hidden="1" customWidth="1"/>
    <col min="14880" max="14889" width="12.6640625" style="735" hidden="1" customWidth="1"/>
    <col min="14890" max="14890" width="2.6640625" style="735" hidden="1" customWidth="1"/>
    <col min="14891" max="15131" width="0" style="735" hidden="1"/>
    <col min="15132" max="15132" width="3.33203125" style="735" hidden="1" customWidth="1"/>
    <col min="15133" max="15135" width="2.6640625" style="735" hidden="1" customWidth="1"/>
    <col min="15136" max="15145" width="12.6640625" style="735" hidden="1" customWidth="1"/>
    <col min="15146" max="15146" width="2.6640625" style="735" hidden="1" customWidth="1"/>
    <col min="15147" max="15387" width="0" style="735" hidden="1"/>
    <col min="15388" max="15388" width="3.33203125" style="735" hidden="1" customWidth="1"/>
    <col min="15389" max="15391" width="2.6640625" style="735" hidden="1" customWidth="1"/>
    <col min="15392" max="15401" width="12.6640625" style="735" hidden="1" customWidth="1"/>
    <col min="15402" max="15402" width="2.6640625" style="735" hidden="1" customWidth="1"/>
    <col min="15403" max="15643" width="0" style="735" hidden="1"/>
    <col min="15644" max="15644" width="3.33203125" style="735" hidden="1" customWidth="1"/>
    <col min="15645" max="15647" width="2.6640625" style="735" hidden="1" customWidth="1"/>
    <col min="15648" max="15657" width="12.6640625" style="735" hidden="1" customWidth="1"/>
    <col min="15658" max="15658" width="2.6640625" style="735" hidden="1" customWidth="1"/>
    <col min="15659" max="15899" width="0" style="735" hidden="1"/>
    <col min="15900" max="15900" width="3.33203125" style="735" hidden="1" customWidth="1"/>
    <col min="15901" max="15903" width="2.6640625" style="735" hidden="1" customWidth="1"/>
    <col min="15904" max="15913" width="12.6640625" style="735" hidden="1" customWidth="1"/>
    <col min="15914" max="15914" width="2.6640625" style="735" hidden="1" customWidth="1"/>
    <col min="15915" max="16155" width="0" style="735" hidden="1"/>
    <col min="16156" max="16156" width="3.33203125" style="735" hidden="1" customWidth="1"/>
    <col min="16157" max="16159" width="2.6640625" style="735" hidden="1" customWidth="1"/>
    <col min="16160" max="16169" width="12.6640625" style="735" hidden="1" customWidth="1"/>
    <col min="16170" max="16170" width="2.6640625" style="735" hidden="1" customWidth="1"/>
    <col min="16171" max="16384" width="0" style="735" hidden="1"/>
  </cols>
  <sheetData>
    <row r="1" spans="1:45" s="708" customFormat="1" ht="13.2" x14ac:dyDescent="0.25">
      <c r="A1" s="707" t="s">
        <v>630</v>
      </c>
    </row>
    <row r="2" spans="1:45" s="708" customFormat="1" ht="13.2" x14ac:dyDescent="0.25">
      <c r="A2" s="709"/>
    </row>
    <row r="3" spans="1:45" s="712" customFormat="1" ht="12.75" customHeight="1" x14ac:dyDescent="0.25">
      <c r="A3" s="717" t="s">
        <v>547</v>
      </c>
      <c r="B3" s="718"/>
      <c r="C3" s="718"/>
      <c r="D3" s="719"/>
      <c r="E3" s="719"/>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c r="AL3" s="720"/>
      <c r="AM3" s="720"/>
      <c r="AN3" s="720"/>
      <c r="AO3" s="720"/>
      <c r="AP3" s="715"/>
      <c r="AQ3" s="716"/>
      <c r="AR3" s="708"/>
      <c r="AS3" s="708"/>
    </row>
    <row r="4" spans="1:45" s="712" customFormat="1" ht="12.75" customHeight="1" x14ac:dyDescent="0.25">
      <c r="A4" s="711"/>
      <c r="B4" s="708"/>
      <c r="F4" s="713"/>
      <c r="G4" s="713"/>
      <c r="H4" s="713"/>
      <c r="I4" s="713"/>
      <c r="J4" s="714"/>
      <c r="K4" s="714"/>
      <c r="L4" s="714"/>
      <c r="M4" s="714"/>
      <c r="N4" s="714"/>
      <c r="O4" s="714"/>
      <c r="P4" s="714"/>
      <c r="Q4" s="714"/>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5"/>
      <c r="AQ4" s="716"/>
      <c r="AR4" s="708"/>
      <c r="AS4" s="708"/>
    </row>
    <row r="5" spans="1:45" s="712" customFormat="1" ht="12.75" customHeight="1" x14ac:dyDescent="0.25">
      <c r="A5" s="711"/>
      <c r="B5" s="8" t="s">
        <v>572</v>
      </c>
      <c r="F5" s="713"/>
      <c r="G5" s="713"/>
      <c r="H5" s="713"/>
      <c r="I5" s="713"/>
      <c r="J5" s="714"/>
      <c r="K5" s="714"/>
      <c r="L5" s="714"/>
      <c r="M5" s="714"/>
      <c r="N5" s="714"/>
      <c r="O5" s="714"/>
      <c r="P5" s="714"/>
      <c r="Q5" s="714"/>
      <c r="R5" s="714"/>
      <c r="S5" s="714"/>
      <c r="T5" s="714"/>
      <c r="U5" s="714"/>
      <c r="V5" s="714"/>
      <c r="W5" s="714"/>
      <c r="X5" s="714"/>
      <c r="Y5" s="714"/>
      <c r="Z5" s="714"/>
      <c r="AA5" s="714"/>
      <c r="AB5" s="714"/>
      <c r="AC5" s="714"/>
      <c r="AD5" s="714"/>
      <c r="AE5" s="714"/>
      <c r="AF5" s="714"/>
      <c r="AG5" s="714"/>
      <c r="AH5" s="714"/>
      <c r="AI5" s="714"/>
      <c r="AJ5" s="714"/>
      <c r="AK5" s="714"/>
      <c r="AL5" s="714"/>
      <c r="AM5" s="714"/>
      <c r="AN5" s="714"/>
      <c r="AO5" s="714"/>
      <c r="AP5" s="715"/>
      <c r="AQ5" s="716"/>
      <c r="AR5" s="708"/>
      <c r="AS5" s="708"/>
    </row>
    <row r="6" spans="1:45" s="712" customFormat="1" ht="12.75" customHeight="1" x14ac:dyDescent="0.25">
      <c r="A6" s="711"/>
      <c r="B6" s="8"/>
      <c r="C6" s="708" t="s">
        <v>551</v>
      </c>
      <c r="D6" s="708" t="s">
        <v>561</v>
      </c>
      <c r="F6" s="713"/>
      <c r="G6" s="713"/>
      <c r="H6" s="713"/>
      <c r="I6" s="713"/>
      <c r="J6" s="714"/>
      <c r="K6" s="714"/>
      <c r="L6" s="714"/>
      <c r="M6" s="714"/>
      <c r="N6" s="714"/>
      <c r="O6" s="714"/>
      <c r="P6" s="714"/>
      <c r="Q6" s="714"/>
      <c r="R6" s="714"/>
      <c r="S6" s="714"/>
      <c r="T6" s="714"/>
      <c r="U6" s="714"/>
      <c r="V6" s="714"/>
      <c r="W6" s="714"/>
      <c r="X6" s="714"/>
      <c r="Y6" s="714"/>
      <c r="Z6" s="714"/>
      <c r="AA6" s="714"/>
      <c r="AB6" s="714"/>
      <c r="AC6" s="714"/>
      <c r="AD6" s="714"/>
      <c r="AE6" s="714"/>
      <c r="AF6" s="714"/>
      <c r="AG6" s="714"/>
      <c r="AH6" s="714"/>
      <c r="AI6" s="714"/>
      <c r="AJ6" s="714"/>
      <c r="AK6" s="714"/>
      <c r="AL6" s="714"/>
      <c r="AM6" s="714"/>
      <c r="AN6" s="714"/>
      <c r="AO6" s="714"/>
      <c r="AP6" s="715"/>
      <c r="AQ6" s="716"/>
      <c r="AR6" s="708"/>
      <c r="AS6" s="708"/>
    </row>
    <row r="7" spans="1:45" s="712" customFormat="1" ht="12.75" customHeight="1" x14ac:dyDescent="0.25">
      <c r="A7" s="711"/>
      <c r="B7" s="708"/>
      <c r="C7" s="708" t="s">
        <v>552</v>
      </c>
      <c r="D7" s="708" t="s">
        <v>570</v>
      </c>
      <c r="F7" s="713"/>
      <c r="G7" s="713"/>
      <c r="H7" s="713"/>
      <c r="I7" s="713"/>
      <c r="J7" s="714"/>
      <c r="K7" s="714"/>
      <c r="L7" s="714"/>
      <c r="M7" s="714"/>
      <c r="N7" s="714"/>
      <c r="O7" s="714"/>
      <c r="P7" s="714"/>
      <c r="Q7" s="714"/>
      <c r="R7" s="714"/>
      <c r="S7" s="714"/>
      <c r="T7" s="714"/>
      <c r="U7" s="714"/>
      <c r="V7" s="714"/>
      <c r="W7" s="714"/>
      <c r="X7" s="714"/>
      <c r="Y7" s="714"/>
      <c r="Z7" s="714"/>
      <c r="AA7" s="714"/>
      <c r="AB7" s="714"/>
      <c r="AC7" s="714"/>
      <c r="AD7" s="714"/>
      <c r="AE7" s="714"/>
      <c r="AF7" s="714"/>
      <c r="AG7" s="714"/>
      <c r="AH7" s="714"/>
      <c r="AI7" s="714"/>
      <c r="AJ7" s="714"/>
      <c r="AK7" s="714"/>
      <c r="AL7" s="714"/>
      <c r="AM7" s="714"/>
      <c r="AN7" s="714"/>
      <c r="AO7" s="714"/>
      <c r="AP7" s="715"/>
      <c r="AQ7" s="716"/>
      <c r="AR7" s="708"/>
      <c r="AS7" s="708"/>
    </row>
    <row r="8" spans="1:45" s="712" customFormat="1" ht="12.75" customHeight="1" x14ac:dyDescent="0.25">
      <c r="A8" s="711"/>
      <c r="B8" s="708"/>
      <c r="C8" s="708" t="s">
        <v>553</v>
      </c>
      <c r="D8" s="708" t="s">
        <v>554</v>
      </c>
      <c r="F8" s="713"/>
      <c r="G8" s="713"/>
      <c r="H8" s="713"/>
      <c r="I8" s="713"/>
      <c r="J8" s="714"/>
      <c r="K8" s="714"/>
      <c r="L8" s="714"/>
      <c r="M8" s="714"/>
      <c r="N8" s="714"/>
      <c r="O8" s="714"/>
      <c r="P8" s="714"/>
      <c r="Q8" s="714"/>
      <c r="R8" s="714"/>
      <c r="S8" s="714"/>
      <c r="T8" s="714"/>
      <c r="U8" s="714"/>
      <c r="V8" s="714"/>
      <c r="W8" s="714"/>
      <c r="X8" s="714"/>
      <c r="Y8" s="714"/>
      <c r="Z8" s="714"/>
      <c r="AA8" s="714"/>
      <c r="AB8" s="714"/>
      <c r="AC8" s="714"/>
      <c r="AD8" s="714"/>
      <c r="AE8" s="714"/>
      <c r="AF8" s="714"/>
      <c r="AG8" s="714"/>
      <c r="AH8" s="714"/>
      <c r="AI8" s="714"/>
      <c r="AJ8" s="714"/>
      <c r="AK8" s="714"/>
      <c r="AL8" s="714"/>
      <c r="AM8" s="714"/>
      <c r="AN8" s="714"/>
      <c r="AO8" s="714"/>
      <c r="AP8" s="715"/>
      <c r="AQ8" s="716"/>
      <c r="AR8" s="708"/>
      <c r="AS8" s="708"/>
    </row>
    <row r="9" spans="1:45" s="712" customFormat="1" ht="12.75" customHeight="1" x14ac:dyDescent="0.25">
      <c r="A9" s="711"/>
      <c r="B9" s="708"/>
      <c r="C9" s="708" t="s">
        <v>555</v>
      </c>
      <c r="D9" s="708" t="s">
        <v>556</v>
      </c>
      <c r="F9" s="713"/>
      <c r="G9" s="713"/>
      <c r="H9" s="713"/>
      <c r="I9" s="713"/>
      <c r="J9" s="714"/>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15"/>
      <c r="AQ9" s="716"/>
      <c r="AR9" s="708"/>
      <c r="AS9" s="708"/>
    </row>
    <row r="10" spans="1:45" s="712" customFormat="1" ht="12.75" customHeight="1" x14ac:dyDescent="0.25">
      <c r="A10" s="711"/>
      <c r="B10" s="708"/>
      <c r="C10" s="708" t="s">
        <v>557</v>
      </c>
      <c r="D10" s="708" t="s">
        <v>558</v>
      </c>
      <c r="F10" s="713"/>
      <c r="G10" s="713"/>
      <c r="H10" s="713"/>
      <c r="I10" s="713"/>
      <c r="J10" s="714"/>
      <c r="K10" s="714"/>
      <c r="L10" s="714"/>
      <c r="M10" s="714"/>
      <c r="N10" s="714"/>
      <c r="O10" s="714"/>
      <c r="P10" s="714"/>
      <c r="Q10" s="714"/>
      <c r="R10" s="714"/>
      <c r="S10" s="714"/>
      <c r="T10" s="714"/>
      <c r="U10" s="714"/>
      <c r="V10" s="714"/>
      <c r="W10" s="714"/>
      <c r="X10" s="714"/>
      <c r="Y10" s="714"/>
      <c r="Z10" s="714"/>
      <c r="AA10" s="714"/>
      <c r="AB10" s="714"/>
      <c r="AC10" s="714"/>
      <c r="AD10" s="714"/>
      <c r="AE10" s="714"/>
      <c r="AF10" s="714"/>
      <c r="AG10" s="714"/>
      <c r="AH10" s="714"/>
      <c r="AI10" s="714"/>
      <c r="AJ10" s="714"/>
      <c r="AK10" s="714"/>
      <c r="AL10" s="714"/>
      <c r="AM10" s="714"/>
      <c r="AN10" s="714"/>
      <c r="AO10" s="714"/>
      <c r="AP10" s="715"/>
      <c r="AQ10" s="716"/>
      <c r="AR10" s="708"/>
      <c r="AS10" s="708"/>
    </row>
    <row r="11" spans="1:45" s="712" customFormat="1" ht="12.75" customHeight="1" x14ac:dyDescent="0.25">
      <c r="A11" s="711"/>
      <c r="B11" s="708"/>
      <c r="C11" s="708" t="s">
        <v>559</v>
      </c>
      <c r="D11" s="708" t="s">
        <v>560</v>
      </c>
      <c r="F11" s="713"/>
      <c r="G11" s="713"/>
      <c r="H11" s="713"/>
      <c r="I11" s="713"/>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5"/>
      <c r="AQ11" s="716"/>
      <c r="AR11" s="708"/>
      <c r="AS11" s="708"/>
    </row>
    <row r="12" spans="1:45" s="712" customFormat="1" ht="12.75" customHeight="1" x14ac:dyDescent="0.25">
      <c r="A12" s="711"/>
      <c r="B12" s="708"/>
      <c r="C12" s="708" t="s">
        <v>635</v>
      </c>
      <c r="D12" s="708" t="s">
        <v>571</v>
      </c>
      <c r="F12" s="713"/>
      <c r="G12" s="713"/>
      <c r="H12" s="713"/>
      <c r="I12" s="713"/>
      <c r="J12" s="714"/>
      <c r="K12" s="714"/>
      <c r="L12" s="714"/>
      <c r="M12" s="714"/>
      <c r="N12" s="714"/>
      <c r="O12" s="714"/>
      <c r="P12" s="714"/>
      <c r="Q12" s="714"/>
      <c r="R12" s="714"/>
      <c r="S12" s="714"/>
      <c r="T12" s="714"/>
      <c r="U12" s="714"/>
      <c r="V12" s="714"/>
      <c r="W12" s="714"/>
      <c r="X12" s="714"/>
      <c r="Y12" s="714"/>
      <c r="Z12" s="714"/>
      <c r="AA12" s="714"/>
      <c r="AB12" s="714"/>
      <c r="AC12" s="714"/>
      <c r="AD12" s="714"/>
      <c r="AE12" s="714"/>
      <c r="AF12" s="714"/>
      <c r="AG12" s="714"/>
      <c r="AH12" s="714"/>
      <c r="AI12" s="714"/>
      <c r="AJ12" s="714"/>
      <c r="AK12" s="714"/>
      <c r="AL12" s="714"/>
      <c r="AM12" s="714"/>
      <c r="AN12" s="714"/>
      <c r="AO12" s="714"/>
      <c r="AP12" s="715"/>
      <c r="AQ12" s="716"/>
      <c r="AR12" s="708"/>
      <c r="AS12" s="708"/>
    </row>
    <row r="13" spans="1:45" s="708" customFormat="1" ht="12.75" customHeight="1" x14ac:dyDescent="0.25">
      <c r="A13" s="709"/>
      <c r="F13" s="713"/>
      <c r="G13" s="713"/>
      <c r="H13" s="713"/>
      <c r="I13" s="713"/>
      <c r="J13" s="714"/>
      <c r="K13" s="714"/>
      <c r="L13" s="714"/>
      <c r="M13" s="714"/>
      <c r="N13" s="714"/>
      <c r="O13" s="714"/>
      <c r="P13" s="714"/>
      <c r="Q13" s="714"/>
      <c r="R13" s="714"/>
      <c r="S13" s="714"/>
      <c r="T13" s="714"/>
      <c r="U13" s="714"/>
      <c r="V13" s="714"/>
      <c r="W13" s="714"/>
      <c r="X13" s="714"/>
      <c r="Y13" s="714"/>
      <c r="Z13" s="714"/>
      <c r="AA13" s="714"/>
      <c r="AB13" s="714"/>
      <c r="AC13" s="714"/>
      <c r="AD13" s="714"/>
      <c r="AE13" s="714"/>
      <c r="AF13" s="714"/>
      <c r="AG13" s="714"/>
      <c r="AH13" s="714"/>
      <c r="AI13" s="714"/>
      <c r="AJ13" s="714"/>
      <c r="AK13" s="714"/>
      <c r="AL13" s="714"/>
      <c r="AM13" s="714"/>
      <c r="AN13" s="714"/>
      <c r="AO13" s="714"/>
      <c r="AP13" s="714"/>
      <c r="AQ13" s="716"/>
    </row>
    <row r="14" spans="1:45" s="708" customFormat="1" ht="12.75" customHeight="1" x14ac:dyDescent="0.25">
      <c r="A14" s="44" t="s">
        <v>562</v>
      </c>
      <c r="B14" s="44"/>
      <c r="C14" s="44"/>
      <c r="D14" s="44"/>
      <c r="E14" s="44"/>
      <c r="F14" s="44"/>
      <c r="G14" s="44"/>
      <c r="H14" s="44"/>
      <c r="I14" s="44"/>
      <c r="J14" s="45"/>
      <c r="K14" s="45"/>
      <c r="L14" s="45"/>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714"/>
      <c r="AQ14" s="716"/>
    </row>
    <row r="15" spans="1:45" s="708" customFormat="1" ht="12.75" customHeight="1" x14ac:dyDescent="0.25">
      <c r="A15" s="709"/>
      <c r="F15" s="713"/>
      <c r="G15" s="713"/>
      <c r="H15" s="713"/>
      <c r="I15" s="713"/>
      <c r="J15" s="714"/>
      <c r="K15" s="714"/>
      <c r="L15" s="714"/>
      <c r="M15" s="714"/>
      <c r="N15" s="714"/>
      <c r="O15" s="714"/>
      <c r="P15" s="714"/>
      <c r="Q15" s="714"/>
      <c r="R15" s="714"/>
      <c r="S15" s="714"/>
      <c r="T15" s="714"/>
      <c r="U15" s="714"/>
      <c r="V15" s="714"/>
      <c r="W15" s="714"/>
      <c r="X15" s="714"/>
      <c r="Y15" s="714"/>
      <c r="Z15" s="714"/>
      <c r="AA15" s="714"/>
      <c r="AB15" s="714"/>
      <c r="AC15" s="714"/>
      <c r="AD15" s="714"/>
      <c r="AE15" s="714"/>
      <c r="AF15" s="714"/>
      <c r="AG15" s="714"/>
      <c r="AH15" s="714"/>
      <c r="AI15" s="714"/>
      <c r="AJ15" s="714"/>
      <c r="AK15" s="714"/>
      <c r="AL15" s="714"/>
      <c r="AM15" s="714"/>
      <c r="AN15" s="714"/>
      <c r="AO15" s="714"/>
      <c r="AP15" s="714"/>
      <c r="AQ15" s="716"/>
    </row>
    <row r="16" spans="1:45" s="708" customFormat="1" ht="12.75" customHeight="1" x14ac:dyDescent="0.25">
      <c r="A16" s="8"/>
      <c r="B16" s="52" t="s">
        <v>567</v>
      </c>
      <c r="C16" s="21"/>
      <c r="D16" s="21"/>
      <c r="E16" s="21"/>
      <c r="F16" s="21"/>
      <c r="G16" s="21"/>
      <c r="H16" s="21"/>
      <c r="I16" s="21"/>
      <c r="J16" s="22"/>
      <c r="K16" s="22"/>
      <c r="L16" s="22"/>
      <c r="M16" s="22"/>
      <c r="N16" s="22"/>
      <c r="O16" s="21"/>
      <c r="P16" s="21"/>
      <c r="Q16" s="21"/>
      <c r="R16" s="21"/>
      <c r="S16" s="21"/>
      <c r="T16" s="21"/>
      <c r="U16" s="21"/>
      <c r="V16" s="714"/>
      <c r="W16" s="714"/>
      <c r="X16" s="714"/>
      <c r="Y16" s="714"/>
      <c r="Z16" s="714"/>
      <c r="AA16" s="714"/>
      <c r="AB16" s="714"/>
      <c r="AC16" s="714"/>
      <c r="AD16" s="714"/>
      <c r="AE16" s="714"/>
      <c r="AF16" s="714"/>
      <c r="AG16" s="714"/>
      <c r="AH16" s="714"/>
      <c r="AI16" s="714"/>
      <c r="AJ16" s="714"/>
      <c r="AK16" s="714"/>
      <c r="AL16" s="714"/>
      <c r="AM16" s="714"/>
      <c r="AN16" s="714"/>
      <c r="AO16" s="714"/>
      <c r="AP16" s="714"/>
      <c r="AQ16" s="716"/>
    </row>
    <row r="17" spans="1:43" s="708" customFormat="1" ht="12.75" customHeight="1" x14ac:dyDescent="0.25">
      <c r="A17" s="8"/>
      <c r="B17" s="8"/>
      <c r="C17" s="8"/>
      <c r="D17" s="8"/>
      <c r="E17" s="8"/>
      <c r="F17" s="8"/>
      <c r="G17" s="8"/>
      <c r="H17" s="8"/>
      <c r="I17" s="11"/>
      <c r="J17" s="1147"/>
      <c r="K17" s="1147"/>
      <c r="L17" s="1147"/>
      <c r="M17" s="1147"/>
      <c r="N17" s="1147"/>
      <c r="O17" s="1147"/>
      <c r="P17" s="40"/>
      <c r="Q17" s="8"/>
      <c r="R17" s="8"/>
      <c r="S17" s="8"/>
      <c r="T17" s="8"/>
      <c r="U17" s="8"/>
      <c r="V17" s="714"/>
      <c r="W17" s="714"/>
      <c r="X17" s="714"/>
      <c r="Y17" s="714"/>
      <c r="Z17" s="714"/>
      <c r="AA17" s="714"/>
      <c r="AB17" s="714"/>
      <c r="AC17" s="714"/>
      <c r="AD17" s="714"/>
      <c r="AE17" s="714"/>
      <c r="AF17" s="714"/>
      <c r="AG17" s="714"/>
      <c r="AH17" s="714"/>
      <c r="AI17" s="714"/>
      <c r="AJ17" s="714"/>
      <c r="AK17" s="714"/>
      <c r="AL17" s="714"/>
      <c r="AM17" s="714"/>
      <c r="AN17" s="714"/>
      <c r="AO17" s="714"/>
      <c r="AP17" s="714"/>
      <c r="AQ17" s="716"/>
    </row>
    <row r="18" spans="1:43" s="708" customFormat="1" ht="12.75" customHeight="1" x14ac:dyDescent="0.25">
      <c r="A18" s="8"/>
      <c r="B18" s="8"/>
      <c r="C18" s="8"/>
      <c r="D18" s="8"/>
      <c r="E18" s="8"/>
      <c r="F18" s="8"/>
      <c r="G18" s="8"/>
      <c r="H18" s="8"/>
      <c r="I18" s="11"/>
      <c r="J18" s="1147"/>
      <c r="K18" s="1147"/>
      <c r="L18" s="1147"/>
      <c r="M18" s="1147"/>
      <c r="N18" s="1147"/>
      <c r="O18" s="1147"/>
      <c r="P18" s="40"/>
      <c r="Q18" s="8"/>
      <c r="R18" s="8"/>
      <c r="S18" s="8"/>
      <c r="T18" s="8"/>
      <c r="U18" s="8"/>
      <c r="V18" s="714"/>
      <c r="W18" s="714"/>
      <c r="X18" s="714"/>
      <c r="Y18" s="714"/>
      <c r="Z18" s="714"/>
      <c r="AA18" s="714"/>
      <c r="AB18" s="714"/>
      <c r="AC18" s="714"/>
      <c r="AD18" s="714"/>
      <c r="AE18" s="714"/>
      <c r="AF18" s="714"/>
      <c r="AG18" s="714"/>
      <c r="AH18" s="714"/>
      <c r="AI18" s="714"/>
      <c r="AJ18" s="714"/>
      <c r="AK18" s="714"/>
      <c r="AL18" s="714"/>
      <c r="AM18" s="714"/>
      <c r="AN18" s="714"/>
      <c r="AO18" s="714"/>
      <c r="AP18" s="714"/>
      <c r="AQ18" s="716"/>
    </row>
    <row r="19" spans="1:43" s="708" customFormat="1" ht="12.75" customHeight="1" x14ac:dyDescent="0.25">
      <c r="A19" s="8"/>
      <c r="B19" s="8"/>
      <c r="C19" s="8"/>
      <c r="D19" s="8"/>
      <c r="E19" s="8"/>
      <c r="F19" s="8"/>
      <c r="G19" s="8"/>
      <c r="H19" s="8"/>
      <c r="I19" s="11"/>
      <c r="J19" s="1147"/>
      <c r="K19" s="1147"/>
      <c r="L19" s="1147"/>
      <c r="M19" s="1147"/>
      <c r="N19" s="1147"/>
      <c r="O19" s="1147"/>
      <c r="P19" s="40"/>
      <c r="Q19" s="8"/>
      <c r="R19" s="8"/>
      <c r="S19" s="8"/>
      <c r="T19" s="8"/>
      <c r="U19" s="8"/>
      <c r="V19" s="714"/>
      <c r="W19" s="714"/>
      <c r="X19" s="714"/>
      <c r="Y19" s="714"/>
      <c r="Z19" s="714"/>
      <c r="AA19" s="714"/>
      <c r="AB19" s="714"/>
      <c r="AC19" s="714"/>
      <c r="AD19" s="714"/>
      <c r="AE19" s="714"/>
      <c r="AF19" s="714"/>
      <c r="AG19" s="714"/>
      <c r="AH19" s="714"/>
      <c r="AI19" s="714"/>
      <c r="AJ19" s="714"/>
      <c r="AK19" s="714"/>
      <c r="AL19" s="714"/>
      <c r="AM19" s="714"/>
      <c r="AN19" s="714"/>
      <c r="AO19" s="714"/>
      <c r="AP19" s="714"/>
      <c r="AQ19" s="716"/>
    </row>
    <row r="20" spans="1:43" s="708" customFormat="1" ht="12.75" customHeight="1" x14ac:dyDescent="0.25">
      <c r="A20" s="8"/>
      <c r="B20" s="8"/>
      <c r="C20" s="8"/>
      <c r="D20" s="8"/>
      <c r="E20" s="8"/>
      <c r="F20" s="8"/>
      <c r="G20" s="8"/>
      <c r="H20" s="8"/>
      <c r="I20" s="11"/>
      <c r="J20" s="1147"/>
      <c r="K20" s="1147"/>
      <c r="L20" s="1902" t="s">
        <v>201</v>
      </c>
      <c r="M20" s="1903"/>
      <c r="N20" s="1903"/>
      <c r="O20" s="1904"/>
      <c r="P20" s="1899" t="s">
        <v>202</v>
      </c>
      <c r="Q20" s="1900"/>
      <c r="R20" s="1900"/>
      <c r="S20" s="1901"/>
      <c r="T20" s="8"/>
      <c r="U20" s="8"/>
      <c r="V20" s="714"/>
      <c r="W20" s="714"/>
      <c r="X20" s="714"/>
      <c r="Y20" s="714"/>
      <c r="Z20" s="714"/>
      <c r="AA20" s="714"/>
      <c r="AB20" s="714"/>
      <c r="AC20" s="714"/>
      <c r="AD20" s="714"/>
      <c r="AE20" s="714"/>
      <c r="AF20" s="714"/>
      <c r="AG20" s="714"/>
      <c r="AH20" s="714"/>
      <c r="AI20" s="714"/>
      <c r="AJ20" s="714"/>
      <c r="AK20" s="714"/>
      <c r="AL20" s="714"/>
      <c r="AM20" s="714"/>
      <c r="AN20" s="714"/>
      <c r="AO20" s="714"/>
      <c r="AP20" s="714"/>
      <c r="AQ20" s="716"/>
    </row>
    <row r="21" spans="1:43" s="708" customFormat="1" ht="12.75" customHeight="1" x14ac:dyDescent="0.25">
      <c r="A21" s="8"/>
      <c r="B21" s="8"/>
      <c r="C21" s="8"/>
      <c r="D21" s="8"/>
      <c r="E21" s="8"/>
      <c r="F21" s="8"/>
      <c r="G21" s="8"/>
      <c r="H21" s="8"/>
      <c r="I21" s="11"/>
      <c r="J21" s="1147"/>
      <c r="K21" s="1147"/>
      <c r="L21" s="1873" t="s">
        <v>230</v>
      </c>
      <c r="M21" s="1874"/>
      <c r="N21" s="1874"/>
      <c r="O21" s="1875"/>
      <c r="P21" s="1930" t="s">
        <v>230</v>
      </c>
      <c r="Q21" s="1931"/>
      <c r="R21" s="1931"/>
      <c r="S21" s="1932"/>
      <c r="T21" s="8"/>
      <c r="U21" s="8"/>
      <c r="V21" s="714"/>
      <c r="W21" s="714"/>
      <c r="X21" s="714"/>
      <c r="Y21" s="714"/>
      <c r="Z21" s="714"/>
      <c r="AA21" s="714"/>
      <c r="AB21" s="714"/>
      <c r="AC21" s="714"/>
      <c r="AD21" s="714"/>
      <c r="AE21" s="714"/>
      <c r="AF21" s="714"/>
      <c r="AG21" s="714"/>
      <c r="AH21" s="714"/>
      <c r="AI21" s="714"/>
      <c r="AJ21" s="714"/>
      <c r="AK21" s="714"/>
      <c r="AL21" s="714"/>
      <c r="AM21" s="714"/>
      <c r="AN21" s="714"/>
      <c r="AO21" s="714"/>
      <c r="AP21" s="714"/>
      <c r="AQ21" s="716"/>
    </row>
    <row r="22" spans="1:43" s="708" customFormat="1" ht="38.700000000000003" customHeight="1" x14ac:dyDescent="0.25">
      <c r="A22" s="8"/>
      <c r="B22" s="8"/>
      <c r="C22" s="1154" t="s">
        <v>78</v>
      </c>
      <c r="D22" s="849"/>
      <c r="E22" s="849"/>
      <c r="F22" s="849"/>
      <c r="G22" s="849"/>
      <c r="H22" s="849"/>
      <c r="I22" s="849"/>
      <c r="J22" s="849"/>
      <c r="K22" s="849"/>
      <c r="L22" s="1148" t="s">
        <v>228</v>
      </c>
      <c r="M22" s="1148" t="s">
        <v>219</v>
      </c>
      <c r="N22" s="1149" t="s">
        <v>227</v>
      </c>
      <c r="O22" s="1150" t="s">
        <v>226</v>
      </c>
      <c r="P22" s="1151" t="s">
        <v>228</v>
      </c>
      <c r="Q22" s="1151" t="s">
        <v>219</v>
      </c>
      <c r="R22" s="1152" t="s">
        <v>227</v>
      </c>
      <c r="S22" s="1153" t="s">
        <v>226</v>
      </c>
      <c r="T22" s="8"/>
      <c r="U22" s="8"/>
      <c r="V22" s="714"/>
      <c r="W22" s="714"/>
      <c r="X22" s="714"/>
      <c r="Y22" s="714"/>
      <c r="Z22" s="714"/>
      <c r="AA22" s="714"/>
      <c r="AB22" s="714"/>
      <c r="AC22" s="714"/>
      <c r="AD22" s="714"/>
      <c r="AE22" s="714"/>
      <c r="AF22" s="714"/>
      <c r="AG22" s="714"/>
      <c r="AH22" s="714"/>
      <c r="AI22" s="714"/>
      <c r="AJ22" s="714"/>
      <c r="AK22" s="714"/>
      <c r="AL22" s="714"/>
      <c r="AM22" s="714"/>
      <c r="AN22" s="714"/>
      <c r="AO22" s="714"/>
      <c r="AP22" s="714"/>
      <c r="AQ22" s="716"/>
    </row>
    <row r="23" spans="1:43" s="708" customFormat="1" ht="12.75" customHeight="1" x14ac:dyDescent="0.25">
      <c r="A23" s="8"/>
      <c r="B23" s="8"/>
      <c r="C23" s="857" t="s">
        <v>152</v>
      </c>
      <c r="D23" s="57"/>
      <c r="E23" s="182"/>
      <c r="F23" s="57"/>
      <c r="G23" s="57"/>
      <c r="H23" s="57"/>
      <c r="I23" s="57"/>
      <c r="J23" s="57"/>
      <c r="K23" s="57"/>
      <c r="L23" s="1155">
        <f>'III. Inputs, Renewable Energy'!R73</f>
        <v>0.15</v>
      </c>
      <c r="M23" s="859" t="str">
        <f>'III. Inputs, Renewable Energy'!S73</f>
        <v>NA</v>
      </c>
      <c r="N23" s="860" t="str">
        <f>'III. Inputs, Renewable Energy'!T73</f>
        <v>NA</v>
      </c>
      <c r="O23" s="861">
        <f>'III. Inputs, Renewable Energy'!U73</f>
        <v>6.5000000000000002E-2</v>
      </c>
      <c r="P23" s="862">
        <f>'III. Inputs, Renewable Energy'!V73</f>
        <v>0.12748463872437021</v>
      </c>
      <c r="Q23" s="862" t="str">
        <f>'III. Inputs, Renewable Energy'!W73</f>
        <v>NA</v>
      </c>
      <c r="R23" s="863" t="str">
        <f>'III. Inputs, Renewable Energy'!X73</f>
        <v>NA</v>
      </c>
      <c r="S23" s="864">
        <f>'III. Inputs, Renewable Energy'!Y73</f>
        <v>5.6242205302102208E-2</v>
      </c>
      <c r="T23" s="8"/>
      <c r="U23" s="8"/>
      <c r="V23" s="714"/>
      <c r="W23" s="714"/>
      <c r="X23" s="714"/>
      <c r="Y23" s="714"/>
      <c r="Z23" s="714"/>
      <c r="AA23" s="714"/>
      <c r="AB23" s="714"/>
      <c r="AC23" s="714"/>
      <c r="AD23" s="714"/>
      <c r="AE23" s="714"/>
      <c r="AF23" s="714"/>
      <c r="AG23" s="714"/>
      <c r="AH23" s="714"/>
      <c r="AI23" s="714"/>
      <c r="AJ23" s="714"/>
      <c r="AK23" s="714"/>
      <c r="AL23" s="714"/>
      <c r="AM23" s="714"/>
      <c r="AN23" s="714"/>
      <c r="AO23" s="714"/>
      <c r="AP23" s="714"/>
      <c r="AQ23" s="716"/>
    </row>
    <row r="24" spans="1:43" s="708" customFormat="1" ht="12.75" customHeight="1" x14ac:dyDescent="0.25">
      <c r="A24" s="8"/>
      <c r="B24" s="8"/>
      <c r="C24" s="865" t="s">
        <v>239</v>
      </c>
      <c r="D24" s="866"/>
      <c r="E24" s="866"/>
      <c r="F24" s="866"/>
      <c r="G24" s="866"/>
      <c r="H24" s="866"/>
      <c r="I24" s="866"/>
      <c r="J24" s="866"/>
      <c r="K24" s="866"/>
      <c r="L24" s="1167">
        <f>'III. Inputs, Renewable Energy'!R74</f>
        <v>0.08</v>
      </c>
      <c r="M24" s="1167">
        <f>'III. Inputs, Renewable Energy'!S74</f>
        <v>0</v>
      </c>
      <c r="N24" s="1168">
        <f>'III. Inputs, Renewable Energy'!T74</f>
        <v>0</v>
      </c>
      <c r="O24" s="1169">
        <f>'III. Inputs, Renewable Energy'!U74</f>
        <v>0.04</v>
      </c>
      <c r="P24" s="868">
        <f>'III. Inputs, Renewable Energy'!V74</f>
        <v>0.08</v>
      </c>
      <c r="Q24" s="868">
        <f>'III. Inputs, Renewable Energy'!W74</f>
        <v>0</v>
      </c>
      <c r="R24" s="869">
        <f>'III. Inputs, Renewable Energy'!X74</f>
        <v>0</v>
      </c>
      <c r="S24" s="870">
        <f>'III. Inputs, Renewable Energy'!Y74</f>
        <v>0.04</v>
      </c>
      <c r="T24" s="8"/>
      <c r="U24" s="8"/>
      <c r="V24" s="714"/>
      <c r="W24" s="714"/>
      <c r="X24" s="714"/>
      <c r="Y24" s="714"/>
      <c r="Z24" s="714"/>
      <c r="AA24" s="714"/>
      <c r="AB24" s="714"/>
      <c r="AC24" s="714"/>
      <c r="AD24" s="714"/>
      <c r="AE24" s="714"/>
      <c r="AF24" s="714"/>
      <c r="AG24" s="714"/>
      <c r="AH24" s="714"/>
      <c r="AI24" s="714"/>
      <c r="AJ24" s="714"/>
      <c r="AK24" s="714"/>
      <c r="AL24" s="714"/>
      <c r="AM24" s="714"/>
      <c r="AN24" s="714"/>
      <c r="AO24" s="714"/>
      <c r="AP24" s="714"/>
      <c r="AQ24" s="716"/>
    </row>
    <row r="25" spans="1:43" s="708" customFormat="1" ht="12.75" customHeight="1" x14ac:dyDescent="0.25">
      <c r="A25" s="8"/>
      <c r="B25" s="8"/>
      <c r="C25" s="56" t="s">
        <v>80</v>
      </c>
      <c r="D25" s="56"/>
      <c r="E25" s="56"/>
      <c r="F25" s="57"/>
      <c r="G25" s="57"/>
      <c r="H25" s="57"/>
      <c r="I25" s="57"/>
      <c r="J25" s="57"/>
      <c r="K25" s="57"/>
      <c r="L25" s="871">
        <f>'III. Inputs, Renewable Energy'!R75</f>
        <v>6.9999999999999993E-2</v>
      </c>
      <c r="M25" s="871" t="str">
        <f>'III. Inputs, Renewable Energy'!S75</f>
        <v>NA</v>
      </c>
      <c r="N25" s="872" t="str">
        <f>'III. Inputs, Renewable Energy'!T75</f>
        <v>NA</v>
      </c>
      <c r="O25" s="872">
        <f>'III. Inputs, Renewable Energy'!U75</f>
        <v>2.5000000000000001E-2</v>
      </c>
      <c r="P25" s="873">
        <f>'III. Inputs, Renewable Energy'!V75</f>
        <v>4.7484638724370212E-2</v>
      </c>
      <c r="Q25" s="873" t="str">
        <f>'III. Inputs, Renewable Energy'!W75</f>
        <v>NA</v>
      </c>
      <c r="R25" s="874" t="str">
        <f>'III. Inputs, Renewable Energy'!X75</f>
        <v>NA</v>
      </c>
      <c r="S25" s="875">
        <f>'III. Inputs, Renewable Energy'!Y75</f>
        <v>1.6242205302102207E-2</v>
      </c>
      <c r="T25" s="8"/>
      <c r="U25" s="8"/>
      <c r="V25" s="714"/>
      <c r="W25" s="714"/>
      <c r="X25" s="714"/>
      <c r="Y25" s="714"/>
      <c r="Z25" s="714"/>
      <c r="AA25" s="714"/>
      <c r="AB25" s="714"/>
      <c r="AC25" s="714"/>
      <c r="AD25" s="714"/>
      <c r="AE25" s="714"/>
      <c r="AF25" s="714"/>
      <c r="AG25" s="714"/>
      <c r="AH25" s="714"/>
      <c r="AI25" s="714"/>
      <c r="AJ25" s="714"/>
      <c r="AK25" s="714"/>
      <c r="AL25" s="714"/>
      <c r="AM25" s="714"/>
      <c r="AN25" s="714"/>
      <c r="AO25" s="714"/>
      <c r="AP25" s="714"/>
      <c r="AQ25" s="716"/>
    </row>
    <row r="26" spans="1:43" s="708" customFormat="1" ht="12.75" customHeight="1" x14ac:dyDescent="0.25">
      <c r="A26" s="8"/>
      <c r="B26" s="8"/>
      <c r="C26" s="8"/>
      <c r="D26" s="8"/>
      <c r="E26" s="8"/>
      <c r="F26" s="8"/>
      <c r="G26" s="8"/>
      <c r="H26" s="8"/>
      <c r="I26" s="11"/>
      <c r="J26" s="1147"/>
      <c r="K26" s="1147"/>
      <c r="L26" s="1147"/>
      <c r="M26" s="1147"/>
      <c r="N26" s="1147"/>
      <c r="O26" s="1147"/>
      <c r="P26" s="40"/>
      <c r="Q26" s="8"/>
      <c r="R26" s="8"/>
      <c r="S26" s="8"/>
      <c r="T26" s="8"/>
      <c r="U26" s="8"/>
      <c r="V26" s="714"/>
      <c r="W26" s="714"/>
      <c r="X26" s="714"/>
      <c r="Y26" s="714"/>
      <c r="Z26" s="714"/>
      <c r="AA26" s="714"/>
      <c r="AB26" s="714"/>
      <c r="AC26" s="714"/>
      <c r="AD26" s="714"/>
      <c r="AE26" s="714"/>
      <c r="AF26" s="714"/>
      <c r="AG26" s="714"/>
      <c r="AH26" s="714"/>
      <c r="AI26" s="714"/>
      <c r="AJ26" s="714"/>
      <c r="AK26" s="714"/>
      <c r="AL26" s="714"/>
      <c r="AM26" s="714"/>
      <c r="AN26" s="714"/>
      <c r="AO26" s="714"/>
      <c r="AP26" s="714"/>
      <c r="AQ26" s="716"/>
    </row>
    <row r="27" spans="1:43" s="708" customFormat="1" ht="12.75" customHeight="1" x14ac:dyDescent="0.25">
      <c r="A27" s="8"/>
      <c r="B27" s="8"/>
      <c r="C27" s="8"/>
      <c r="D27" s="8"/>
      <c r="E27" s="8"/>
      <c r="F27" s="8"/>
      <c r="G27" s="8"/>
      <c r="H27" s="8"/>
      <c r="I27" s="11"/>
      <c r="J27" s="1147"/>
      <c r="K27" s="1147"/>
      <c r="L27" s="1147"/>
      <c r="M27" s="1147"/>
      <c r="N27" s="1147"/>
      <c r="O27" s="1147"/>
      <c r="P27" s="40"/>
      <c r="Q27" s="8"/>
      <c r="R27" s="8"/>
      <c r="S27" s="8"/>
      <c r="T27" s="8"/>
      <c r="U27" s="8"/>
      <c r="V27" s="714"/>
      <c r="W27" s="714"/>
      <c r="X27" s="714"/>
      <c r="Y27" s="714"/>
      <c r="Z27" s="714"/>
      <c r="AA27" s="714"/>
      <c r="AB27" s="714"/>
      <c r="AC27" s="714"/>
      <c r="AD27" s="714"/>
      <c r="AE27" s="714"/>
      <c r="AF27" s="714"/>
      <c r="AG27" s="714"/>
      <c r="AH27" s="714"/>
      <c r="AI27" s="714"/>
      <c r="AJ27" s="714"/>
      <c r="AK27" s="714"/>
      <c r="AL27" s="714"/>
      <c r="AM27" s="714"/>
      <c r="AN27" s="714"/>
      <c r="AO27" s="714"/>
      <c r="AP27" s="714"/>
      <c r="AQ27" s="716"/>
    </row>
    <row r="28" spans="1:43" s="708" customFormat="1" ht="12.75" customHeight="1" x14ac:dyDescent="0.25">
      <c r="A28" s="8"/>
      <c r="B28" s="8"/>
      <c r="C28" s="8"/>
      <c r="D28" s="8"/>
      <c r="E28" s="8"/>
      <c r="F28" s="8"/>
      <c r="G28" s="8"/>
      <c r="H28" s="8"/>
      <c r="I28" s="11"/>
      <c r="J28" s="1147"/>
      <c r="K28" s="1147"/>
      <c r="L28" s="1902" t="s">
        <v>201</v>
      </c>
      <c r="M28" s="1903"/>
      <c r="N28" s="1903"/>
      <c r="O28" s="1904"/>
      <c r="P28" s="1899" t="s">
        <v>202</v>
      </c>
      <c r="Q28" s="1900"/>
      <c r="R28" s="1900"/>
      <c r="S28" s="1901"/>
      <c r="T28" s="8"/>
      <c r="U28" s="8"/>
      <c r="V28" s="714"/>
      <c r="W28" s="714"/>
      <c r="X28" s="714"/>
      <c r="Y28" s="714"/>
      <c r="Z28" s="714"/>
      <c r="AA28" s="714"/>
      <c r="AB28" s="714"/>
      <c r="AC28" s="714"/>
      <c r="AD28" s="714"/>
      <c r="AE28" s="714"/>
      <c r="AF28" s="714"/>
      <c r="AG28" s="714"/>
      <c r="AH28" s="714"/>
      <c r="AI28" s="714"/>
      <c r="AJ28" s="714"/>
      <c r="AK28" s="714"/>
      <c r="AL28" s="714"/>
      <c r="AM28" s="714"/>
      <c r="AN28" s="714"/>
      <c r="AO28" s="714"/>
      <c r="AP28" s="714"/>
      <c r="AQ28" s="716"/>
    </row>
    <row r="29" spans="1:43" s="708" customFormat="1" ht="12.75" customHeight="1" x14ac:dyDescent="0.25">
      <c r="A29" s="8"/>
      <c r="B29" s="8"/>
      <c r="C29" s="8"/>
      <c r="D29" s="8"/>
      <c r="E29" s="8"/>
      <c r="F29" s="8"/>
      <c r="G29" s="8"/>
      <c r="H29" s="8"/>
      <c r="I29" s="11"/>
      <c r="J29" s="1147"/>
      <c r="K29" s="1147"/>
      <c r="L29" s="1873" t="s">
        <v>230</v>
      </c>
      <c r="M29" s="1874"/>
      <c r="N29" s="1874"/>
      <c r="O29" s="1875"/>
      <c r="P29" s="1930" t="s">
        <v>230</v>
      </c>
      <c r="Q29" s="1931"/>
      <c r="R29" s="1931"/>
      <c r="S29" s="1932"/>
      <c r="T29" s="8"/>
      <c r="U29" s="8"/>
      <c r="V29" s="714"/>
      <c r="W29" s="714"/>
      <c r="X29" s="714"/>
      <c r="Y29" s="714"/>
      <c r="Z29" s="714"/>
      <c r="AA29" s="714"/>
      <c r="AB29" s="714"/>
      <c r="AC29" s="714"/>
      <c r="AD29" s="714"/>
      <c r="AE29" s="714"/>
      <c r="AF29" s="714"/>
      <c r="AG29" s="714"/>
      <c r="AH29" s="714"/>
      <c r="AI29" s="714"/>
      <c r="AJ29" s="714"/>
      <c r="AK29" s="714"/>
      <c r="AL29" s="714"/>
      <c r="AM29" s="714"/>
      <c r="AN29" s="714"/>
      <c r="AO29" s="714"/>
      <c r="AP29" s="714"/>
      <c r="AQ29" s="716"/>
    </row>
    <row r="30" spans="1:43" s="708" customFormat="1" ht="39.450000000000003" customHeight="1" x14ac:dyDescent="0.2">
      <c r="A30" s="8"/>
      <c r="B30" s="8"/>
      <c r="C30" s="876" t="s">
        <v>231</v>
      </c>
      <c r="D30" s="877"/>
      <c r="E30" s="55"/>
      <c r="F30" s="877"/>
      <c r="G30" s="877"/>
      <c r="H30" s="877"/>
      <c r="I30" s="877"/>
      <c r="J30" s="877"/>
      <c r="K30" s="877"/>
      <c r="L30" s="1148" t="s">
        <v>228</v>
      </c>
      <c r="M30" s="1148" t="s">
        <v>219</v>
      </c>
      <c r="N30" s="1149" t="s">
        <v>227</v>
      </c>
      <c r="O30" s="1150" t="s">
        <v>226</v>
      </c>
      <c r="P30" s="1151" t="s">
        <v>228</v>
      </c>
      <c r="Q30" s="1151" t="s">
        <v>219</v>
      </c>
      <c r="R30" s="1152" t="s">
        <v>227</v>
      </c>
      <c r="S30" s="1153" t="s">
        <v>226</v>
      </c>
      <c r="T30" s="8"/>
      <c r="U30" s="8"/>
      <c r="V30" s="714"/>
      <c r="W30" s="714"/>
      <c r="X30" s="714"/>
      <c r="Y30" s="714"/>
      <c r="Z30" s="714"/>
      <c r="AA30" s="714"/>
      <c r="AB30" s="714"/>
      <c r="AC30" s="714"/>
      <c r="AD30" s="714"/>
      <c r="AE30" s="714"/>
      <c r="AF30" s="714"/>
      <c r="AG30" s="714"/>
      <c r="AH30" s="714"/>
      <c r="AI30" s="714"/>
      <c r="AJ30" s="714"/>
      <c r="AK30" s="714"/>
      <c r="AL30" s="714"/>
      <c r="AM30" s="714"/>
      <c r="AN30" s="714"/>
      <c r="AO30" s="714"/>
      <c r="AP30" s="714"/>
      <c r="AQ30" s="716"/>
    </row>
    <row r="31" spans="1:43" s="708" customFormat="1" ht="12.75" customHeight="1" x14ac:dyDescent="0.2">
      <c r="A31" s="8"/>
      <c r="B31" s="8"/>
      <c r="C31" s="845" t="str">
        <f>'III. Inputs, Renewable Energy'!D82</f>
        <v>Power Market Risk</v>
      </c>
      <c r="D31" s="57"/>
      <c r="E31" s="57"/>
      <c r="F31" s="57"/>
      <c r="G31" s="8"/>
      <c r="H31" s="8"/>
      <c r="I31" s="11"/>
      <c r="J31" s="1147"/>
      <c r="K31" s="1147"/>
      <c r="L31" s="1170">
        <f>'III. Inputs, Renewable Energy'!R82</f>
        <v>1.3748887640705814E-2</v>
      </c>
      <c r="M31" s="1170">
        <f>'III. Inputs, Renewable Energy'!S82</f>
        <v>0</v>
      </c>
      <c r="N31" s="1171">
        <f>'III. Inputs, Renewable Energy'!T82</f>
        <v>0</v>
      </c>
      <c r="O31" s="1172">
        <f>'III. Inputs, Renewable Energy'!U82</f>
        <v>5.8042874411811515E-3</v>
      </c>
      <c r="P31" s="879">
        <f>'III. Inputs, Renewable Energy'!V82</f>
        <v>8.5930547754411342E-3</v>
      </c>
      <c r="Q31" s="880">
        <f>'III. Inputs, Renewable Energy'!W82</f>
        <v>0</v>
      </c>
      <c r="R31" s="881">
        <f>'III. Inputs, Renewable Energy'!X82</f>
        <v>0</v>
      </c>
      <c r="S31" s="882">
        <f>'III. Inputs, Renewable Energy'!Y82</f>
        <v>3.6276796507382198E-3</v>
      </c>
      <c r="T31" s="8"/>
      <c r="U31" s="8"/>
      <c r="V31" s="714"/>
      <c r="W31" s="714"/>
      <c r="X31" s="714"/>
      <c r="Y31" s="714"/>
      <c r="Z31" s="714"/>
      <c r="AA31" s="714"/>
      <c r="AB31" s="714"/>
      <c r="AC31" s="714"/>
      <c r="AD31" s="714"/>
      <c r="AE31" s="714"/>
      <c r="AF31" s="714"/>
      <c r="AG31" s="714"/>
      <c r="AH31" s="714"/>
      <c r="AI31" s="714"/>
      <c r="AJ31" s="714"/>
      <c r="AK31" s="714"/>
      <c r="AL31" s="714"/>
      <c r="AM31" s="714"/>
      <c r="AN31" s="714"/>
      <c r="AO31" s="714"/>
      <c r="AP31" s="714"/>
      <c r="AQ31" s="716"/>
    </row>
    <row r="32" spans="1:43" s="708" customFormat="1" ht="12.75" customHeight="1" x14ac:dyDescent="0.2">
      <c r="A32" s="8"/>
      <c r="B32" s="8"/>
      <c r="C32" s="845" t="str">
        <f>'III. Inputs, Renewable Energy'!D83</f>
        <v>Permits Risk</v>
      </c>
      <c r="D32" s="57"/>
      <c r="E32" s="57"/>
      <c r="F32" s="57"/>
      <c r="G32" s="8"/>
      <c r="H32" s="8"/>
      <c r="I32" s="11"/>
      <c r="J32" s="1147"/>
      <c r="K32" s="1147"/>
      <c r="L32" s="1170">
        <f>'III. Inputs, Renewable Energy'!R83</f>
        <v>3.381572254319272E-3</v>
      </c>
      <c r="M32" s="1170" t="str">
        <f>'III. Inputs, Renewable Energy'!S83</f>
        <v>NA</v>
      </c>
      <c r="N32" s="1173" t="str">
        <f>'III. Inputs, Renewable Energy'!T83</f>
        <v>NA</v>
      </c>
      <c r="O32" s="1172" t="str">
        <f>'III. Inputs, Renewable Energy'!U83</f>
        <v>NA</v>
      </c>
      <c r="P32" s="879">
        <f>'III. Inputs, Renewable Energy'!V83</f>
        <v>2.5361791907394541E-3</v>
      </c>
      <c r="Q32" s="883" t="str">
        <f>'III. Inputs, Renewable Energy'!W83</f>
        <v>NA</v>
      </c>
      <c r="R32" s="884" t="str">
        <f>'III. Inputs, Renewable Energy'!X83</f>
        <v>NA</v>
      </c>
      <c r="S32" s="885" t="str">
        <f>'III. Inputs, Renewable Energy'!Y83</f>
        <v>NA</v>
      </c>
      <c r="T32" s="8"/>
      <c r="U32" s="8"/>
      <c r="V32" s="714"/>
      <c r="W32" s="714"/>
      <c r="X32" s="714"/>
      <c r="Y32" s="714"/>
      <c r="Z32" s="714"/>
      <c r="AA32" s="714"/>
      <c r="AB32" s="714"/>
      <c r="AC32" s="714"/>
      <c r="AD32" s="714"/>
      <c r="AE32" s="714"/>
      <c r="AF32" s="714"/>
      <c r="AG32" s="714"/>
      <c r="AH32" s="714"/>
      <c r="AI32" s="714"/>
      <c r="AJ32" s="714"/>
      <c r="AK32" s="714"/>
      <c r="AL32" s="714"/>
      <c r="AM32" s="714"/>
      <c r="AN32" s="714"/>
      <c r="AO32" s="714"/>
      <c r="AP32" s="714"/>
      <c r="AQ32" s="716"/>
    </row>
    <row r="33" spans="1:43" s="708" customFormat="1" ht="12.75" customHeight="1" x14ac:dyDescent="0.2">
      <c r="A33" s="8"/>
      <c r="B33" s="8"/>
      <c r="C33" s="845" t="str">
        <f>'III. Inputs, Renewable Energy'!D84</f>
        <v>Social Acceptance Risk</v>
      </c>
      <c r="D33" s="57"/>
      <c r="E33" s="57"/>
      <c r="F33" s="57"/>
      <c r="G33" s="8"/>
      <c r="H33" s="8"/>
      <c r="I33" s="11"/>
      <c r="J33" s="1147"/>
      <c r="K33" s="1147"/>
      <c r="L33" s="1170">
        <f>'III. Inputs, Renewable Energy'!R84</f>
        <v>2.2817626547363512E-3</v>
      </c>
      <c r="M33" s="1170">
        <f>'III. Inputs, Renewable Energy'!S84</f>
        <v>0</v>
      </c>
      <c r="N33" s="1173">
        <f>'III. Inputs, Renewable Energy'!T84</f>
        <v>0</v>
      </c>
      <c r="O33" s="1172">
        <f>'III. Inputs, Renewable Energy'!U84</f>
        <v>9.6327838780435853E-4</v>
      </c>
      <c r="P33" s="879">
        <f>'III. Inputs, Renewable Energy'!V84</f>
        <v>1.7113219910522633E-3</v>
      </c>
      <c r="Q33" s="883">
        <f>'III. Inputs, Renewable Energy'!W84</f>
        <v>0</v>
      </c>
      <c r="R33" s="884">
        <f>'III. Inputs, Renewable Energy'!X84</f>
        <v>0</v>
      </c>
      <c r="S33" s="885">
        <f>'III. Inputs, Renewable Energy'!Y84</f>
        <v>7.2245879085326887E-4</v>
      </c>
      <c r="T33" s="8"/>
      <c r="U33" s="8"/>
      <c r="V33" s="714"/>
      <c r="W33" s="714"/>
      <c r="X33" s="714"/>
      <c r="Y33" s="714"/>
      <c r="Z33" s="714"/>
      <c r="AA33" s="714"/>
      <c r="AB33" s="714"/>
      <c r="AC33" s="714"/>
      <c r="AD33" s="714"/>
      <c r="AE33" s="714"/>
      <c r="AF33" s="714"/>
      <c r="AG33" s="714"/>
      <c r="AH33" s="714"/>
      <c r="AI33" s="714"/>
      <c r="AJ33" s="714"/>
      <c r="AK33" s="714"/>
      <c r="AL33" s="714"/>
      <c r="AM33" s="714"/>
      <c r="AN33" s="714"/>
      <c r="AO33" s="714"/>
      <c r="AP33" s="714"/>
      <c r="AQ33" s="716"/>
    </row>
    <row r="34" spans="1:43" s="708" customFormat="1" ht="12.75" customHeight="1" x14ac:dyDescent="0.2">
      <c r="A34" s="8"/>
      <c r="B34" s="8"/>
      <c r="C34" s="845" t="str">
        <f>'III. Inputs, Renewable Energy'!D85</f>
        <v>Resource &amp; Technology Risk</v>
      </c>
      <c r="D34" s="57"/>
      <c r="E34" s="57"/>
      <c r="F34" s="57"/>
      <c r="G34" s="8"/>
      <c r="H34" s="8"/>
      <c r="I34" s="11"/>
      <c r="J34" s="1147"/>
      <c r="K34" s="1147"/>
      <c r="L34" s="1170">
        <f>'III. Inputs, Renewable Energy'!R85</f>
        <v>3.6720406402672096E-3</v>
      </c>
      <c r="M34" s="1170">
        <f>'III. Inputs, Renewable Energy'!S85</f>
        <v>0</v>
      </c>
      <c r="N34" s="1173">
        <f>'III. Inputs, Renewable Energy'!T85</f>
        <v>0</v>
      </c>
      <c r="O34" s="1172">
        <f>'III. Inputs, Renewable Energy'!U85</f>
        <v>1.550203909493554E-3</v>
      </c>
      <c r="P34" s="879">
        <f>'III. Inputs, Renewable Energy'!V85</f>
        <v>3.2130355602338085E-3</v>
      </c>
      <c r="Q34" s="883">
        <f>'III. Inputs, Renewable Energy'!W85</f>
        <v>0</v>
      </c>
      <c r="R34" s="884">
        <f>'III. Inputs, Renewable Energy'!X85</f>
        <v>0</v>
      </c>
      <c r="S34" s="885">
        <f>'III. Inputs, Renewable Energy'!Y85</f>
        <v>1.3564284208068599E-3</v>
      </c>
      <c r="T34" s="8"/>
      <c r="U34" s="8"/>
      <c r="V34" s="714"/>
      <c r="W34" s="714"/>
      <c r="X34" s="714"/>
      <c r="Y34" s="714"/>
      <c r="Z34" s="714"/>
      <c r="AA34" s="714"/>
      <c r="AB34" s="714"/>
      <c r="AC34" s="714"/>
      <c r="AD34" s="714"/>
      <c r="AE34" s="714"/>
      <c r="AF34" s="714"/>
      <c r="AG34" s="714"/>
      <c r="AH34" s="714"/>
      <c r="AI34" s="714"/>
      <c r="AJ34" s="714"/>
      <c r="AK34" s="714"/>
      <c r="AL34" s="714"/>
      <c r="AM34" s="714"/>
      <c r="AN34" s="714"/>
      <c r="AO34" s="714"/>
      <c r="AP34" s="714"/>
      <c r="AQ34" s="716"/>
    </row>
    <row r="35" spans="1:43" s="708" customFormat="1" ht="12.75" customHeight="1" x14ac:dyDescent="0.2">
      <c r="A35" s="8"/>
      <c r="B35" s="8"/>
      <c r="C35" s="845" t="str">
        <f>'III. Inputs, Renewable Energy'!D86</f>
        <v>Grid/Transmission Risk</v>
      </c>
      <c r="D35" s="57"/>
      <c r="E35" s="57"/>
      <c r="F35" s="57"/>
      <c r="G35" s="8"/>
      <c r="H35" s="8"/>
      <c r="I35" s="11"/>
      <c r="J35" s="1147"/>
      <c r="K35" s="1147"/>
      <c r="L35" s="1170">
        <f>'III. Inputs, Renewable Energy'!R86</f>
        <v>1.0404837705597761E-2</v>
      </c>
      <c r="M35" s="1170">
        <f>'III. Inputs, Renewable Energy'!S86</f>
        <v>0</v>
      </c>
      <c r="N35" s="1173">
        <f>'III. Inputs, Renewable Energy'!T86</f>
        <v>0</v>
      </c>
      <c r="O35" s="1172">
        <f>'III. Inputs, Renewable Energy'!U86</f>
        <v>4.3925494483878736E-3</v>
      </c>
      <c r="P35" s="879">
        <f>'III. Inputs, Renewable Energy'!V86</f>
        <v>5.2024188527988804E-3</v>
      </c>
      <c r="Q35" s="883">
        <f>'III. Inputs, Renewable Energy'!W86</f>
        <v>0</v>
      </c>
      <c r="R35" s="884">
        <f>'III. Inputs, Renewable Energy'!X86</f>
        <v>0</v>
      </c>
      <c r="S35" s="885">
        <f>'III. Inputs, Renewable Energy'!Y86</f>
        <v>2.1962747241939364E-3</v>
      </c>
      <c r="T35" s="8"/>
      <c r="U35" s="8"/>
      <c r="V35" s="714"/>
      <c r="W35" s="714"/>
      <c r="X35" s="714"/>
      <c r="Y35" s="714"/>
      <c r="Z35" s="714"/>
      <c r="AA35" s="714"/>
      <c r="AB35" s="714"/>
      <c r="AC35" s="714"/>
      <c r="AD35" s="714"/>
      <c r="AE35" s="714"/>
      <c r="AF35" s="714"/>
      <c r="AG35" s="714"/>
      <c r="AH35" s="714"/>
      <c r="AI35" s="714"/>
      <c r="AJ35" s="714"/>
      <c r="AK35" s="714"/>
      <c r="AL35" s="714"/>
      <c r="AM35" s="714"/>
      <c r="AN35" s="714"/>
      <c r="AO35" s="714"/>
      <c r="AP35" s="714"/>
      <c r="AQ35" s="716"/>
    </row>
    <row r="36" spans="1:43" s="708" customFormat="1" ht="12.75" customHeight="1" x14ac:dyDescent="0.2">
      <c r="A36" s="8"/>
      <c r="B36" s="8"/>
      <c r="C36" s="845" t="str">
        <f>'III. Inputs, Renewable Energy'!D87</f>
        <v>Counterparty Risk</v>
      </c>
      <c r="D36" s="57"/>
      <c r="E36" s="57"/>
      <c r="F36" s="57"/>
      <c r="G36" s="8"/>
      <c r="H36" s="8"/>
      <c r="I36" s="11"/>
      <c r="J36" s="1147"/>
      <c r="K36" s="1147"/>
      <c r="L36" s="1170">
        <f>'III. Inputs, Renewable Energy'!R87</f>
        <v>9.3552268844190409E-3</v>
      </c>
      <c r="M36" s="1170">
        <f>'III. Inputs, Renewable Energy'!S87</f>
        <v>0</v>
      </c>
      <c r="N36" s="1173">
        <f>'III. Inputs, Renewable Energy'!T87</f>
        <v>0</v>
      </c>
      <c r="O36" s="1172">
        <f>'III. Inputs, Renewable Energy'!U87</f>
        <v>3.9494413899978697E-3</v>
      </c>
      <c r="P36" s="879">
        <f>'III. Inputs, Renewable Energy'!V87</f>
        <v>4.6776134422095213E-3</v>
      </c>
      <c r="Q36" s="883">
        <f>'III. Inputs, Renewable Energy'!W87</f>
        <v>0</v>
      </c>
      <c r="R36" s="884">
        <f>'III. Inputs, Renewable Energy'!X87</f>
        <v>0</v>
      </c>
      <c r="S36" s="885">
        <f>'III. Inputs, Renewable Energy'!Y87</f>
        <v>1.9747206949989353E-3</v>
      </c>
      <c r="T36" s="8"/>
      <c r="U36" s="8"/>
      <c r="V36" s="714"/>
      <c r="W36" s="714"/>
      <c r="X36" s="714"/>
      <c r="Y36" s="714"/>
      <c r="Z36" s="714"/>
      <c r="AA36" s="714"/>
      <c r="AB36" s="714"/>
      <c r="AC36" s="714"/>
      <c r="AD36" s="714"/>
      <c r="AE36" s="714"/>
      <c r="AF36" s="714"/>
      <c r="AG36" s="714"/>
      <c r="AH36" s="714"/>
      <c r="AI36" s="714"/>
      <c r="AJ36" s="714"/>
      <c r="AK36" s="714"/>
      <c r="AL36" s="714"/>
      <c r="AM36" s="714"/>
      <c r="AN36" s="714"/>
      <c r="AO36" s="714"/>
      <c r="AP36" s="714"/>
      <c r="AQ36" s="716"/>
    </row>
    <row r="37" spans="1:43" s="708" customFormat="1" ht="12.75" customHeight="1" x14ac:dyDescent="0.2">
      <c r="A37" s="8"/>
      <c r="B37" s="8"/>
      <c r="C37" s="845" t="str">
        <f>'III. Inputs, Renewable Energy'!D88</f>
        <v>Financial Sector Risk</v>
      </c>
      <c r="D37" s="57"/>
      <c r="E37" s="57"/>
      <c r="F37" s="57"/>
      <c r="G37" s="8"/>
      <c r="H37" s="8"/>
      <c r="I37" s="11"/>
      <c r="J37" s="1147"/>
      <c r="K37" s="1147"/>
      <c r="L37" s="1170">
        <f>'III. Inputs, Renewable Energy'!R88</f>
        <v>7.3997562893099869E-3</v>
      </c>
      <c r="M37" s="1170" t="str">
        <f>'III. Inputs, Renewable Energy'!S88</f>
        <v>NA</v>
      </c>
      <c r="N37" s="1173" t="str">
        <f>'III. Inputs, Renewable Energy'!T88</f>
        <v>NA</v>
      </c>
      <c r="O37" s="1172" t="str">
        <f>'III. Inputs, Renewable Energy'!U88</f>
        <v>NA</v>
      </c>
      <c r="P37" s="879">
        <f>'III. Inputs, Renewable Energy'!V88</f>
        <v>6.4747867531462387E-3</v>
      </c>
      <c r="Q37" s="883" t="str">
        <f>'III. Inputs, Renewable Energy'!W88</f>
        <v>NA</v>
      </c>
      <c r="R37" s="884" t="str">
        <f>'III. Inputs, Renewable Energy'!X88</f>
        <v>NA</v>
      </c>
      <c r="S37" s="885" t="str">
        <f>'III. Inputs, Renewable Energy'!Y88</f>
        <v>NA</v>
      </c>
      <c r="T37" s="8"/>
      <c r="U37" s="8"/>
      <c r="V37" s="714"/>
      <c r="W37" s="714"/>
      <c r="X37" s="714"/>
      <c r="Y37" s="714"/>
      <c r="Z37" s="714"/>
      <c r="AA37" s="714"/>
      <c r="AB37" s="714"/>
      <c r="AC37" s="714"/>
      <c r="AD37" s="714"/>
      <c r="AE37" s="714"/>
      <c r="AF37" s="714"/>
      <c r="AG37" s="714"/>
      <c r="AH37" s="714"/>
      <c r="AI37" s="714"/>
      <c r="AJ37" s="714"/>
      <c r="AK37" s="714"/>
      <c r="AL37" s="714"/>
      <c r="AM37" s="714"/>
      <c r="AN37" s="714"/>
      <c r="AO37" s="714"/>
      <c r="AP37" s="714"/>
      <c r="AQ37" s="716"/>
    </row>
    <row r="38" spans="1:43" s="708" customFormat="1" ht="12.75" customHeight="1" x14ac:dyDescent="0.25">
      <c r="A38" s="8"/>
      <c r="B38" s="8"/>
      <c r="C38" s="845" t="str">
        <f>'III. Inputs, Renewable Energy'!D89</f>
        <v>Political Risk</v>
      </c>
      <c r="D38" s="57"/>
      <c r="E38" s="57"/>
      <c r="F38" s="57"/>
      <c r="G38" s="8"/>
      <c r="H38" s="8"/>
      <c r="I38" s="11"/>
      <c r="J38" s="1147"/>
      <c r="K38" s="1147"/>
      <c r="L38" s="1170">
        <f>'III. Inputs, Renewable Energy'!R89</f>
        <v>1.0396540386853266E-2</v>
      </c>
      <c r="M38" s="1170">
        <f>'III. Inputs, Renewable Energy'!S89</f>
        <v>0</v>
      </c>
      <c r="N38" s="1173">
        <f>'III. Inputs, Renewable Energy'!T89</f>
        <v>0</v>
      </c>
      <c r="O38" s="1172">
        <f>'III. Inputs, Renewable Energy'!U89</f>
        <v>4.3890466178867675E-3</v>
      </c>
      <c r="P38" s="879">
        <f>'III. Inputs, Renewable Energy'!V89</f>
        <v>1.0396540386853266E-2</v>
      </c>
      <c r="Q38" s="883">
        <f>'III. Inputs, Renewable Energy'!W89</f>
        <v>0</v>
      </c>
      <c r="R38" s="884">
        <f>'III. Inputs, Renewable Energy'!X89</f>
        <v>0</v>
      </c>
      <c r="S38" s="885">
        <f>'III. Inputs, Renewable Energy'!Y89</f>
        <v>4.3890466178867675E-3</v>
      </c>
      <c r="T38" s="8"/>
      <c r="U38" s="8"/>
      <c r="V38" s="714"/>
      <c r="W38" s="714"/>
      <c r="X38" s="714"/>
      <c r="Y38" s="714"/>
      <c r="Z38" s="714"/>
      <c r="AA38" s="714"/>
      <c r="AB38" s="714"/>
      <c r="AC38" s="714"/>
      <c r="AD38" s="714"/>
      <c r="AE38" s="714"/>
      <c r="AF38" s="714"/>
      <c r="AG38" s="714"/>
      <c r="AH38" s="714"/>
      <c r="AI38" s="714"/>
      <c r="AJ38" s="714"/>
      <c r="AK38" s="714"/>
      <c r="AL38" s="714"/>
      <c r="AM38" s="714"/>
      <c r="AN38" s="714"/>
      <c r="AO38" s="714"/>
      <c r="AP38" s="714"/>
      <c r="AQ38" s="716"/>
    </row>
    <row r="39" spans="1:43" s="708" customFormat="1" ht="12.75" customHeight="1" x14ac:dyDescent="0.25">
      <c r="A39" s="8"/>
      <c r="B39" s="8"/>
      <c r="C39" s="866" t="str">
        <f>'III. Inputs, Renewable Energy'!D90</f>
        <v>Currency/Macro Risk</v>
      </c>
      <c r="D39" s="866"/>
      <c r="E39" s="866"/>
      <c r="F39" s="866"/>
      <c r="G39" s="866"/>
      <c r="H39" s="866"/>
      <c r="I39" s="866"/>
      <c r="J39" s="866"/>
      <c r="K39" s="866"/>
      <c r="L39" s="1174">
        <f>'III. Inputs, Renewable Energy'!R90</f>
        <v>9.3593755437912859E-3</v>
      </c>
      <c r="M39" s="1170">
        <f>'III. Inputs, Renewable Energy'!S90</f>
        <v>0</v>
      </c>
      <c r="N39" s="1173">
        <f>'III. Inputs, Renewable Energy'!T90</f>
        <v>0</v>
      </c>
      <c r="O39" s="1175">
        <f>'III. Inputs, Renewable Energy'!U90</f>
        <v>3.9511928052484227E-3</v>
      </c>
      <c r="P39" s="886">
        <f>'III. Inputs, Renewable Energy'!V90</f>
        <v>4.679687771895643E-3</v>
      </c>
      <c r="Q39" s="886">
        <f>'III. Inputs, Renewable Energy'!W90</f>
        <v>0</v>
      </c>
      <c r="R39" s="887">
        <f>'III. Inputs, Renewable Energy'!X90</f>
        <v>0</v>
      </c>
      <c r="S39" s="888">
        <f>'III. Inputs, Renewable Energy'!Y90</f>
        <v>1.9755964026242114E-3</v>
      </c>
      <c r="T39" s="8"/>
      <c r="U39" s="8"/>
      <c r="V39" s="714"/>
      <c r="W39" s="714"/>
      <c r="X39" s="714"/>
      <c r="Y39" s="714"/>
      <c r="Z39" s="714"/>
      <c r="AA39" s="714"/>
      <c r="AB39" s="714"/>
      <c r="AC39" s="714"/>
      <c r="AD39" s="714"/>
      <c r="AE39" s="714"/>
      <c r="AF39" s="714"/>
      <c r="AG39" s="714"/>
      <c r="AH39" s="714"/>
      <c r="AI39" s="714"/>
      <c r="AJ39" s="714"/>
      <c r="AK39" s="714"/>
      <c r="AL39" s="714"/>
      <c r="AM39" s="714"/>
      <c r="AN39" s="714"/>
      <c r="AO39" s="714"/>
      <c r="AP39" s="714"/>
      <c r="AQ39" s="716"/>
    </row>
    <row r="40" spans="1:43" s="708" customFormat="1" ht="12.75" customHeight="1" x14ac:dyDescent="0.25">
      <c r="A40" s="8"/>
      <c r="B40" s="8"/>
      <c r="C40" s="56" t="s">
        <v>81</v>
      </c>
      <c r="D40" s="132"/>
      <c r="E40" s="56"/>
      <c r="F40" s="57"/>
      <c r="G40" s="57"/>
      <c r="H40" s="57"/>
      <c r="I40" s="57"/>
      <c r="J40" s="57"/>
      <c r="K40" s="57"/>
      <c r="L40" s="889">
        <f>'III. Inputs, Renewable Energy'!R91</f>
        <v>6.9999999999999979E-2</v>
      </c>
      <c r="M40" s="890" t="str">
        <f>'III. Inputs, Renewable Energy'!S91</f>
        <v>NA</v>
      </c>
      <c r="N40" s="891" t="str">
        <f>'III. Inputs, Renewable Energy'!T91</f>
        <v>NA</v>
      </c>
      <c r="O40" s="892">
        <f>'III. Inputs, Renewable Energy'!U91</f>
        <v>2.4999999999999994E-2</v>
      </c>
      <c r="P40" s="893">
        <f>'III. Inputs, Renewable Energy'!V91</f>
        <v>4.7484638724370212E-2</v>
      </c>
      <c r="Q40" s="894">
        <f>'III. Inputs, Renewable Energy'!W91</f>
        <v>0</v>
      </c>
      <c r="R40" s="895">
        <f>'III. Inputs, Renewable Energy'!X91</f>
        <v>0</v>
      </c>
      <c r="S40" s="896">
        <f>'III. Inputs, Renewable Energy'!Y91</f>
        <v>1.62422053021022E-2</v>
      </c>
      <c r="T40" s="8"/>
      <c r="U40" s="8"/>
      <c r="V40" s="714"/>
      <c r="W40" s="714"/>
      <c r="X40" s="714"/>
      <c r="Y40" s="714"/>
      <c r="Z40" s="714"/>
      <c r="AA40" s="714"/>
      <c r="AB40" s="714"/>
      <c r="AC40" s="714"/>
      <c r="AD40" s="714"/>
      <c r="AE40" s="714"/>
      <c r="AF40" s="714"/>
      <c r="AG40" s="714"/>
      <c r="AH40" s="714"/>
      <c r="AI40" s="714"/>
      <c r="AJ40" s="714"/>
      <c r="AK40" s="714"/>
      <c r="AL40" s="714"/>
      <c r="AM40" s="714"/>
      <c r="AN40" s="714"/>
      <c r="AO40" s="714"/>
      <c r="AP40" s="714"/>
      <c r="AQ40" s="716"/>
    </row>
    <row r="41" spans="1:43" s="708" customFormat="1" ht="12.75" customHeight="1" x14ac:dyDescent="0.25">
      <c r="A41" s="8"/>
      <c r="B41" s="8"/>
      <c r="C41" s="8"/>
      <c r="D41" s="8"/>
      <c r="E41" s="8"/>
      <c r="F41" s="8"/>
      <c r="G41" s="8"/>
      <c r="H41" s="8"/>
      <c r="I41" s="11"/>
      <c r="J41" s="1147"/>
      <c r="K41" s="1147"/>
      <c r="L41" s="1147"/>
      <c r="M41" s="1147"/>
      <c r="N41" s="1147"/>
      <c r="O41" s="1147"/>
      <c r="P41" s="40"/>
      <c r="Q41" s="8"/>
      <c r="R41" s="8"/>
      <c r="S41" s="8"/>
      <c r="T41" s="8"/>
      <c r="U41" s="8"/>
      <c r="V41" s="714"/>
      <c r="W41" s="714"/>
      <c r="X41" s="714"/>
      <c r="Y41" s="714"/>
      <c r="Z41" s="714"/>
      <c r="AA41" s="714"/>
      <c r="AB41" s="714"/>
      <c r="AC41" s="714"/>
      <c r="AD41" s="714"/>
      <c r="AE41" s="714"/>
      <c r="AF41" s="714"/>
      <c r="AG41" s="714"/>
      <c r="AH41" s="714"/>
      <c r="AI41" s="714"/>
      <c r="AJ41" s="714"/>
      <c r="AK41" s="714"/>
      <c r="AL41" s="714"/>
      <c r="AM41" s="714"/>
      <c r="AN41" s="714"/>
      <c r="AO41" s="714"/>
      <c r="AP41" s="714"/>
      <c r="AQ41" s="716"/>
    </row>
    <row r="42" spans="1:43" s="708" customFormat="1" ht="12.75" customHeight="1" x14ac:dyDescent="0.25">
      <c r="A42" s="8"/>
      <c r="B42" s="8"/>
      <c r="C42" s="8"/>
      <c r="D42" s="8"/>
      <c r="E42" s="8"/>
      <c r="F42" s="8"/>
      <c r="G42" s="8"/>
      <c r="H42" s="8"/>
      <c r="I42" s="11"/>
      <c r="J42" s="1147"/>
      <c r="K42" s="1147"/>
      <c r="L42" s="1147"/>
      <c r="M42" s="1147"/>
      <c r="N42" s="1147"/>
      <c r="O42" s="1147"/>
      <c r="P42" s="40"/>
      <c r="Q42" s="8"/>
      <c r="R42" s="8"/>
      <c r="S42" s="8"/>
      <c r="T42" s="8"/>
      <c r="U42" s="8"/>
      <c r="V42" s="714"/>
      <c r="W42" s="714"/>
      <c r="X42" s="714"/>
      <c r="Y42" s="714"/>
      <c r="Z42" s="714"/>
      <c r="AA42" s="714"/>
      <c r="AB42" s="714"/>
      <c r="AC42" s="714"/>
      <c r="AD42" s="714"/>
      <c r="AE42" s="714"/>
      <c r="AF42" s="714"/>
      <c r="AG42" s="714"/>
      <c r="AH42" s="714"/>
      <c r="AI42" s="714"/>
      <c r="AJ42" s="714"/>
      <c r="AK42" s="714"/>
      <c r="AL42" s="714"/>
      <c r="AM42" s="714"/>
      <c r="AN42" s="714"/>
      <c r="AO42" s="714"/>
      <c r="AP42" s="714"/>
      <c r="AQ42" s="716"/>
    </row>
    <row r="43" spans="1:43" s="708" customFormat="1" ht="12.75" customHeight="1" x14ac:dyDescent="0.25">
      <c r="A43" s="8"/>
      <c r="B43" s="8"/>
      <c r="C43" s="8"/>
      <c r="D43" s="8"/>
      <c r="E43" s="8"/>
      <c r="F43" s="8"/>
      <c r="G43" s="8"/>
      <c r="H43" s="8"/>
      <c r="I43" s="11"/>
      <c r="J43" s="1147"/>
      <c r="K43" s="1147"/>
      <c r="L43" s="1147"/>
      <c r="M43" s="1147"/>
      <c r="N43" s="1147"/>
      <c r="O43" s="1147"/>
      <c r="P43" s="40"/>
      <c r="Q43" s="8"/>
      <c r="R43" s="8"/>
      <c r="S43" s="8"/>
      <c r="T43" s="8"/>
      <c r="U43" s="8"/>
      <c r="V43" s="714"/>
      <c r="W43" s="714"/>
      <c r="X43" s="714"/>
      <c r="Y43" s="714"/>
      <c r="Z43" s="714"/>
      <c r="AA43" s="714"/>
      <c r="AB43" s="714"/>
      <c r="AC43" s="714"/>
      <c r="AD43" s="714"/>
      <c r="AE43" s="714"/>
      <c r="AF43" s="714"/>
      <c r="AG43" s="714"/>
      <c r="AH43" s="714"/>
      <c r="AI43" s="714"/>
      <c r="AJ43" s="714"/>
      <c r="AK43" s="714"/>
      <c r="AL43" s="714"/>
      <c r="AM43" s="714"/>
      <c r="AN43" s="714"/>
      <c r="AO43" s="714"/>
      <c r="AP43" s="714"/>
      <c r="AQ43" s="716"/>
    </row>
    <row r="44" spans="1:43" s="708" customFormat="1" ht="12.75" customHeight="1" x14ac:dyDescent="0.25">
      <c r="A44" s="8"/>
      <c r="B44" s="8"/>
      <c r="C44" s="8"/>
      <c r="D44" s="8"/>
      <c r="E44" s="8"/>
      <c r="F44" s="8"/>
      <c r="G44" s="8"/>
      <c r="H44" s="8"/>
      <c r="I44" s="8"/>
      <c r="J44" s="1146"/>
      <c r="K44" s="1146"/>
      <c r="L44" s="1146"/>
      <c r="M44" s="1146"/>
      <c r="N44" s="1621" t="s">
        <v>483</v>
      </c>
      <c r="O44" s="1622"/>
      <c r="P44" s="1622"/>
      <c r="Q44" s="1623"/>
      <c r="R44" s="8"/>
      <c r="S44" s="8"/>
      <c r="T44" s="8"/>
      <c r="U44" s="8"/>
      <c r="V44" s="714"/>
      <c r="W44" s="714"/>
      <c r="X44" s="714"/>
      <c r="Y44" s="714"/>
      <c r="Z44" s="714"/>
      <c r="AA44" s="714"/>
      <c r="AB44" s="714"/>
      <c r="AC44" s="714"/>
      <c r="AD44" s="714"/>
      <c r="AE44" s="714"/>
      <c r="AF44" s="714"/>
      <c r="AG44" s="714"/>
      <c r="AH44" s="714"/>
      <c r="AI44" s="714"/>
      <c r="AJ44" s="714"/>
      <c r="AK44" s="714"/>
      <c r="AL44" s="714"/>
      <c r="AM44" s="714"/>
      <c r="AN44" s="714"/>
      <c r="AO44" s="714"/>
      <c r="AP44" s="714"/>
      <c r="AQ44" s="716"/>
    </row>
    <row r="45" spans="1:43" s="708" customFormat="1" ht="12.75" customHeight="1" x14ac:dyDescent="0.25">
      <c r="A45" s="8"/>
      <c r="B45" s="8"/>
      <c r="C45" s="8"/>
      <c r="D45" s="8"/>
      <c r="E45" s="8"/>
      <c r="F45" s="8"/>
      <c r="G45" s="8"/>
      <c r="H45" s="8"/>
      <c r="I45" s="8"/>
      <c r="J45" s="1146"/>
      <c r="K45" s="1146"/>
      <c r="L45" s="1146"/>
      <c r="M45" s="1146"/>
      <c r="N45" s="1577" t="s">
        <v>201</v>
      </c>
      <c r="O45" s="1578"/>
      <c r="P45" s="1579" t="s">
        <v>202</v>
      </c>
      <c r="Q45" s="1580"/>
      <c r="R45" s="8"/>
      <c r="S45" s="8"/>
      <c r="T45" s="8"/>
      <c r="U45" s="8"/>
      <c r="V45" s="714"/>
      <c r="W45" s="714"/>
      <c r="X45" s="714"/>
      <c r="Y45" s="714"/>
      <c r="Z45" s="714"/>
      <c r="AA45" s="714"/>
      <c r="AB45" s="714"/>
      <c r="AC45" s="714"/>
      <c r="AD45" s="714"/>
      <c r="AE45" s="714"/>
      <c r="AF45" s="714"/>
      <c r="AG45" s="714"/>
      <c r="AH45" s="714"/>
      <c r="AI45" s="714"/>
      <c r="AJ45" s="714"/>
      <c r="AK45" s="714"/>
      <c r="AL45" s="714"/>
      <c r="AM45" s="714"/>
      <c r="AN45" s="714"/>
      <c r="AO45" s="714"/>
      <c r="AP45" s="714"/>
      <c r="AQ45" s="716"/>
    </row>
    <row r="46" spans="1:43" s="708" customFormat="1" ht="12.75" customHeight="1" x14ac:dyDescent="0.25">
      <c r="A46" s="8"/>
      <c r="B46" s="8"/>
      <c r="C46" s="11" t="s">
        <v>484</v>
      </c>
      <c r="D46" s="712"/>
      <c r="E46" s="11"/>
      <c r="F46" s="11"/>
      <c r="G46" s="11"/>
      <c r="H46" s="11"/>
      <c r="I46" s="11"/>
      <c r="J46" s="1147" t="s">
        <v>435</v>
      </c>
      <c r="K46" s="1147"/>
      <c r="L46" s="1147"/>
      <c r="M46" s="1147"/>
      <c r="N46" s="1638">
        <v>9.8897241760966093E-2</v>
      </c>
      <c r="O46" s="1639"/>
      <c r="P46" s="1640">
        <v>7.6615333038968239E-2</v>
      </c>
      <c r="Q46" s="1641"/>
      <c r="R46" s="8"/>
      <c r="S46" s="8"/>
      <c r="T46" s="8"/>
      <c r="U46" s="8"/>
      <c r="V46" s="714"/>
      <c r="W46" s="714"/>
      <c r="X46" s="714"/>
      <c r="Y46" s="714"/>
      <c r="Z46" s="714"/>
      <c r="AA46" s="714"/>
      <c r="AB46" s="714"/>
      <c r="AC46" s="714"/>
      <c r="AD46" s="714"/>
      <c r="AE46" s="714"/>
      <c r="AF46" s="714"/>
      <c r="AG46" s="714"/>
      <c r="AH46" s="714"/>
      <c r="AI46" s="714"/>
      <c r="AJ46" s="714"/>
      <c r="AK46" s="714"/>
      <c r="AL46" s="714"/>
      <c r="AM46" s="714"/>
      <c r="AN46" s="714"/>
      <c r="AO46" s="714"/>
      <c r="AP46" s="714"/>
      <c r="AQ46" s="716"/>
    </row>
    <row r="47" spans="1:43" s="708" customFormat="1" ht="12.75" customHeight="1" x14ac:dyDescent="0.3">
      <c r="A47" s="8"/>
      <c r="B47" s="8"/>
      <c r="C47" s="712"/>
      <c r="D47" s="8" t="s">
        <v>485</v>
      </c>
      <c r="E47" s="712"/>
      <c r="F47" s="11"/>
      <c r="G47" s="11"/>
      <c r="H47" s="11"/>
      <c r="I47" s="11"/>
      <c r="J47" s="1146" t="s">
        <v>435</v>
      </c>
      <c r="K47" s="1146"/>
      <c r="L47" s="1146"/>
      <c r="M47" s="1147"/>
      <c r="N47" s="1536">
        <v>9.2667334686651212E-2</v>
      </c>
      <c r="O47" s="1537"/>
      <c r="P47" s="1541">
        <v>7.1789261987296057E-2</v>
      </c>
      <c r="Q47" s="1537"/>
      <c r="R47" s="8"/>
      <c r="S47" s="8"/>
      <c r="T47" s="8"/>
      <c r="U47" s="8"/>
      <c r="V47" s="714"/>
      <c r="W47" s="714"/>
      <c r="X47" s="714"/>
      <c r="Y47" s="714"/>
      <c r="Z47" s="714"/>
      <c r="AA47" s="714"/>
      <c r="AB47" s="714"/>
      <c r="AC47" s="714"/>
      <c r="AD47" s="714"/>
      <c r="AE47" s="714"/>
      <c r="AF47" s="714"/>
      <c r="AG47" s="714"/>
      <c r="AH47" s="714"/>
      <c r="AI47" s="714"/>
      <c r="AJ47" s="714"/>
      <c r="AK47" s="714"/>
      <c r="AL47" s="714"/>
      <c r="AM47" s="714"/>
      <c r="AN47" s="714"/>
      <c r="AO47" s="714"/>
      <c r="AP47" s="714"/>
      <c r="AQ47" s="716"/>
    </row>
    <row r="48" spans="1:43" s="708" customFormat="1" ht="12.75" customHeight="1" x14ac:dyDescent="0.3">
      <c r="A48" s="8"/>
      <c r="B48" s="8"/>
      <c r="C48" s="712"/>
      <c r="D48" s="8" t="s">
        <v>521</v>
      </c>
      <c r="E48" s="712"/>
      <c r="F48" s="11"/>
      <c r="G48" s="11"/>
      <c r="H48" s="11"/>
      <c r="I48" s="11"/>
      <c r="J48" s="1146" t="s">
        <v>435</v>
      </c>
      <c r="K48" s="1146"/>
      <c r="L48" s="1146"/>
      <c r="M48" s="1147"/>
      <c r="N48" s="2029">
        <v>6.2299070743148839E-3</v>
      </c>
      <c r="O48" s="2030"/>
      <c r="P48" s="2031">
        <v>4.8260710516721782E-3</v>
      </c>
      <c r="Q48" s="2032"/>
      <c r="R48" s="8"/>
      <c r="S48" s="8"/>
      <c r="T48" s="8"/>
      <c r="U48" s="8"/>
      <c r="V48" s="714"/>
      <c r="W48" s="714"/>
      <c r="X48" s="714"/>
      <c r="Y48" s="714"/>
      <c r="Z48" s="714"/>
      <c r="AA48" s="714"/>
      <c r="AB48" s="714"/>
      <c r="AC48" s="714"/>
      <c r="AD48" s="714"/>
      <c r="AE48" s="714"/>
      <c r="AF48" s="714"/>
      <c r="AG48" s="714"/>
      <c r="AH48" s="714"/>
      <c r="AI48" s="714"/>
      <c r="AJ48" s="714"/>
      <c r="AK48" s="714"/>
      <c r="AL48" s="714"/>
      <c r="AM48" s="714"/>
      <c r="AN48" s="714"/>
      <c r="AO48" s="714"/>
      <c r="AP48" s="714"/>
      <c r="AQ48" s="716"/>
    </row>
    <row r="49" spans="1:45" s="712" customFormat="1" ht="12.75" customHeight="1" x14ac:dyDescent="0.25">
      <c r="A49" s="711"/>
      <c r="B49" s="8"/>
      <c r="C49" s="8"/>
      <c r="D49" s="8"/>
      <c r="E49" s="8"/>
      <c r="F49" s="8"/>
      <c r="G49" s="8"/>
      <c r="H49" s="8"/>
      <c r="I49" s="11"/>
      <c r="J49" s="1157"/>
      <c r="K49" s="1157"/>
      <c r="L49" s="1157"/>
      <c r="M49" s="1157"/>
      <c r="N49" s="1157"/>
      <c r="O49" s="1157"/>
      <c r="P49" s="40"/>
      <c r="Q49" s="8"/>
      <c r="R49" s="8"/>
      <c r="S49" s="8"/>
      <c r="T49" s="8"/>
      <c r="U49" s="8"/>
      <c r="V49" s="714"/>
      <c r="W49" s="714"/>
      <c r="X49" s="714"/>
      <c r="Y49" s="714"/>
      <c r="Z49" s="714"/>
      <c r="AA49" s="714"/>
      <c r="AB49" s="714"/>
      <c r="AC49" s="714"/>
      <c r="AD49" s="714"/>
      <c r="AE49" s="714"/>
      <c r="AF49" s="714"/>
      <c r="AG49" s="714"/>
      <c r="AH49" s="714"/>
      <c r="AI49" s="714"/>
      <c r="AJ49" s="714"/>
      <c r="AK49" s="714"/>
      <c r="AL49" s="714"/>
      <c r="AM49" s="714"/>
      <c r="AN49" s="714"/>
      <c r="AO49" s="714"/>
      <c r="AP49" s="715"/>
      <c r="AQ49" s="716"/>
      <c r="AR49" s="708"/>
      <c r="AS49" s="708"/>
    </row>
    <row r="50" spans="1:45" s="712" customFormat="1" ht="12.75" customHeight="1" x14ac:dyDescent="0.25">
      <c r="A50" s="711"/>
      <c r="B50" s="8"/>
      <c r="C50" s="8"/>
      <c r="D50" s="8"/>
      <c r="E50" s="8"/>
      <c r="F50" s="8"/>
      <c r="G50" s="8"/>
      <c r="H50" s="8"/>
      <c r="I50" s="8"/>
      <c r="J50" s="1156"/>
      <c r="K50" s="1156"/>
      <c r="L50" s="1156"/>
      <c r="M50" s="1156"/>
      <c r="N50" s="1621" t="s">
        <v>606</v>
      </c>
      <c r="O50" s="1622"/>
      <c r="P50" s="1622"/>
      <c r="Q50" s="1623"/>
      <c r="R50" s="8"/>
      <c r="S50" s="8"/>
      <c r="T50" s="8"/>
      <c r="U50" s="8"/>
      <c r="V50" s="714"/>
      <c r="W50" s="714"/>
      <c r="X50" s="714"/>
      <c r="Y50" s="714"/>
      <c r="Z50" s="714"/>
      <c r="AA50" s="714"/>
      <c r="AB50" s="714"/>
      <c r="AC50" s="714"/>
      <c r="AD50" s="714"/>
      <c r="AE50" s="714"/>
      <c r="AF50" s="714"/>
      <c r="AG50" s="714"/>
      <c r="AH50" s="714"/>
      <c r="AI50" s="714"/>
      <c r="AJ50" s="714"/>
      <c r="AK50" s="714"/>
      <c r="AL50" s="714"/>
      <c r="AM50" s="714"/>
      <c r="AN50" s="714"/>
      <c r="AO50" s="714"/>
      <c r="AP50" s="715"/>
      <c r="AQ50" s="716"/>
      <c r="AR50" s="708"/>
      <c r="AS50" s="708"/>
    </row>
    <row r="51" spans="1:45" s="712" customFormat="1" ht="12.75" customHeight="1" x14ac:dyDescent="0.25">
      <c r="A51" s="711"/>
      <c r="B51" s="8"/>
      <c r="C51" s="8"/>
      <c r="D51" s="8"/>
      <c r="E51" s="8"/>
      <c r="F51" s="8"/>
      <c r="G51" s="8"/>
      <c r="H51" s="8"/>
      <c r="I51" s="8"/>
      <c r="J51" s="1156"/>
      <c r="K51" s="1156"/>
      <c r="L51" s="1156"/>
      <c r="M51" s="1156"/>
      <c r="N51" s="1577" t="s">
        <v>201</v>
      </c>
      <c r="O51" s="1578"/>
      <c r="P51" s="1579" t="s">
        <v>202</v>
      </c>
      <c r="Q51" s="1580"/>
      <c r="R51" s="8"/>
      <c r="S51" s="8"/>
      <c r="T51" s="8"/>
      <c r="U51" s="8"/>
      <c r="V51" s="714"/>
      <c r="W51" s="714"/>
      <c r="X51" s="714"/>
      <c r="Y51" s="714"/>
      <c r="Z51" s="714"/>
      <c r="AA51" s="714"/>
      <c r="AB51" s="714"/>
      <c r="AC51" s="714"/>
      <c r="AD51" s="714"/>
      <c r="AE51" s="714"/>
      <c r="AF51" s="714"/>
      <c r="AG51" s="714"/>
      <c r="AH51" s="714"/>
      <c r="AI51" s="714"/>
      <c r="AJ51" s="714"/>
      <c r="AK51" s="714"/>
      <c r="AL51" s="714"/>
      <c r="AM51" s="714"/>
      <c r="AN51" s="714"/>
      <c r="AO51" s="714"/>
      <c r="AP51" s="715"/>
      <c r="AQ51" s="716"/>
      <c r="AR51" s="708"/>
      <c r="AS51" s="708"/>
    </row>
    <row r="52" spans="1:45" s="712" customFormat="1" ht="12.75" customHeight="1" x14ac:dyDescent="0.25">
      <c r="A52" s="711"/>
      <c r="C52" s="11" t="s">
        <v>580</v>
      </c>
      <c r="E52" s="11"/>
      <c r="F52" s="11"/>
      <c r="G52" s="11"/>
      <c r="H52" s="11"/>
      <c r="I52" s="11"/>
      <c r="J52" s="1194" t="s">
        <v>435</v>
      </c>
      <c r="K52" s="1194"/>
      <c r="L52" s="1194"/>
      <c r="M52" s="1194"/>
      <c r="N52" s="2065">
        <f>'I. Summary Outputs'!L68</f>
        <v>5.9507503425933327E-2</v>
      </c>
      <c r="O52" s="2066"/>
      <c r="P52" s="2016">
        <f>'I. Summary Outputs'!N68</f>
        <v>5.9507503425933327E-2</v>
      </c>
      <c r="Q52" s="2017"/>
      <c r="R52" s="8"/>
      <c r="S52" s="1199"/>
      <c r="T52" s="8"/>
      <c r="U52" s="8"/>
      <c r="V52" s="714"/>
      <c r="W52" s="714"/>
      <c r="X52" s="714"/>
      <c r="Y52" s="714"/>
      <c r="Z52" s="714"/>
      <c r="AA52" s="714"/>
      <c r="AB52" s="714"/>
      <c r="AC52" s="714"/>
      <c r="AD52" s="714"/>
      <c r="AE52" s="714"/>
      <c r="AF52" s="714"/>
      <c r="AG52" s="714"/>
      <c r="AH52" s="714"/>
      <c r="AI52" s="714"/>
      <c r="AJ52" s="714"/>
      <c r="AK52" s="714"/>
      <c r="AL52" s="714"/>
      <c r="AM52" s="714"/>
      <c r="AN52" s="714"/>
      <c r="AO52" s="714"/>
      <c r="AP52" s="715"/>
      <c r="AQ52" s="716"/>
      <c r="AR52" s="708"/>
      <c r="AS52" s="708"/>
    </row>
    <row r="53" spans="1:45" s="712" customFormat="1" ht="12.75" customHeight="1" x14ac:dyDescent="0.25">
      <c r="A53" s="711"/>
      <c r="B53" s="8"/>
      <c r="C53" s="8"/>
      <c r="D53" s="8"/>
      <c r="E53" s="8"/>
      <c r="F53" s="8"/>
      <c r="G53" s="8"/>
      <c r="H53" s="8"/>
      <c r="I53" s="11"/>
      <c r="J53" s="1157"/>
      <c r="K53" s="1157"/>
      <c r="L53" s="1157"/>
      <c r="M53" s="1157"/>
      <c r="N53" s="1157"/>
      <c r="O53" s="1157"/>
      <c r="P53" s="40"/>
      <c r="Q53" s="8"/>
      <c r="R53" s="8"/>
      <c r="S53" s="8"/>
      <c r="T53" s="8"/>
      <c r="U53" s="8"/>
      <c r="V53" s="714"/>
      <c r="W53" s="714"/>
      <c r="X53" s="714"/>
      <c r="Y53" s="714"/>
      <c r="Z53" s="714"/>
      <c r="AA53" s="714"/>
      <c r="AB53" s="714"/>
      <c r="AC53" s="714"/>
      <c r="AD53" s="714"/>
      <c r="AE53" s="714"/>
      <c r="AF53" s="714"/>
      <c r="AG53" s="714"/>
      <c r="AH53" s="714"/>
      <c r="AI53" s="714"/>
      <c r="AJ53" s="714"/>
      <c r="AK53" s="714"/>
      <c r="AL53" s="714"/>
      <c r="AM53" s="714"/>
      <c r="AN53" s="714"/>
      <c r="AO53" s="714"/>
      <c r="AP53" s="715"/>
      <c r="AQ53" s="716"/>
      <c r="AR53" s="708"/>
      <c r="AS53" s="708"/>
    </row>
    <row r="54" spans="1:45" s="708" customFormat="1" ht="12.75" customHeight="1" x14ac:dyDescent="0.25">
      <c r="A54" s="8"/>
      <c r="B54" s="8"/>
      <c r="C54" s="8"/>
      <c r="D54" s="8"/>
      <c r="E54" s="8"/>
      <c r="F54" s="8"/>
      <c r="G54" s="8"/>
      <c r="H54" s="8"/>
      <c r="I54" s="11"/>
      <c r="J54" s="1147"/>
      <c r="K54" s="1147"/>
      <c r="L54" s="1147"/>
      <c r="M54" s="1147"/>
      <c r="N54" s="1147"/>
      <c r="O54" s="1147"/>
      <c r="P54" s="40"/>
      <c r="Q54" s="8"/>
      <c r="R54" s="8"/>
      <c r="S54" s="8"/>
      <c r="T54" s="8"/>
      <c r="U54" s="8"/>
      <c r="V54" s="714"/>
      <c r="W54" s="714"/>
      <c r="X54" s="714"/>
      <c r="Y54" s="714"/>
      <c r="Z54" s="714"/>
      <c r="AA54" s="714"/>
      <c r="AB54" s="714"/>
      <c r="AC54" s="714"/>
      <c r="AD54" s="714"/>
      <c r="AE54" s="714"/>
      <c r="AF54" s="714"/>
      <c r="AG54" s="714"/>
      <c r="AH54" s="714"/>
      <c r="AI54" s="714"/>
      <c r="AJ54" s="714"/>
      <c r="AK54" s="714"/>
      <c r="AL54" s="714"/>
      <c r="AM54" s="714"/>
      <c r="AN54" s="714"/>
      <c r="AO54" s="714"/>
      <c r="AP54" s="714"/>
      <c r="AQ54" s="716"/>
    </row>
    <row r="55" spans="1:45" s="708" customFormat="1" ht="12.75" customHeight="1" x14ac:dyDescent="0.25">
      <c r="A55" s="8"/>
      <c r="B55" s="8"/>
      <c r="C55" s="8"/>
      <c r="D55" s="8"/>
      <c r="E55" s="8"/>
      <c r="F55" s="8"/>
      <c r="G55" s="8"/>
      <c r="H55" s="8"/>
      <c r="I55" s="8"/>
      <c r="J55" s="1147"/>
      <c r="K55" s="1147"/>
      <c r="L55" s="1147"/>
      <c r="M55" s="1147"/>
      <c r="N55" s="1574" t="s">
        <v>483</v>
      </c>
      <c r="O55" s="1575"/>
      <c r="P55" s="1575"/>
      <c r="Q55" s="1576"/>
      <c r="R55" s="8"/>
      <c r="S55" s="8"/>
      <c r="T55" s="8"/>
      <c r="U55" s="8"/>
      <c r="V55" s="714"/>
      <c r="W55" s="714"/>
      <c r="X55" s="714"/>
      <c r="Y55" s="714"/>
      <c r="Z55" s="714"/>
      <c r="AA55" s="714"/>
      <c r="AB55" s="714"/>
      <c r="AC55" s="714"/>
      <c r="AD55" s="714"/>
      <c r="AE55" s="714"/>
      <c r="AF55" s="714"/>
      <c r="AG55" s="714"/>
      <c r="AH55" s="714"/>
      <c r="AI55" s="714"/>
      <c r="AJ55" s="714"/>
      <c r="AK55" s="714"/>
      <c r="AL55" s="714"/>
      <c r="AM55" s="714"/>
      <c r="AN55" s="714"/>
      <c r="AO55" s="714"/>
      <c r="AP55" s="714"/>
      <c r="AQ55" s="716"/>
    </row>
    <row r="56" spans="1:45" s="708" customFormat="1" ht="12.75" customHeight="1" x14ac:dyDescent="0.25">
      <c r="A56" s="8"/>
      <c r="B56" s="8"/>
      <c r="C56" s="11"/>
      <c r="D56" s="11"/>
      <c r="E56" s="11"/>
      <c r="F56" s="11"/>
      <c r="G56" s="11"/>
      <c r="H56" s="11"/>
      <c r="I56" s="8"/>
      <c r="J56" s="1147"/>
      <c r="K56" s="1147"/>
      <c r="L56" s="1147"/>
      <c r="M56" s="1147"/>
      <c r="N56" s="1577" t="s">
        <v>201</v>
      </c>
      <c r="O56" s="1578"/>
      <c r="P56" s="1579" t="s">
        <v>202</v>
      </c>
      <c r="Q56" s="1580"/>
      <c r="R56" s="8"/>
      <c r="S56" s="8"/>
      <c r="T56" s="8"/>
      <c r="U56" s="8"/>
      <c r="V56" s="714"/>
      <c r="W56" s="714"/>
      <c r="X56" s="714"/>
      <c r="Y56" s="714"/>
      <c r="Z56" s="714"/>
      <c r="AA56" s="714"/>
      <c r="AB56" s="714"/>
      <c r="AC56" s="714"/>
      <c r="AD56" s="714"/>
      <c r="AE56" s="714"/>
      <c r="AF56" s="714"/>
      <c r="AG56" s="714"/>
      <c r="AH56" s="714"/>
      <c r="AI56" s="714"/>
      <c r="AJ56" s="714"/>
      <c r="AK56" s="714"/>
      <c r="AL56" s="714"/>
      <c r="AM56" s="714"/>
      <c r="AN56" s="714"/>
      <c r="AO56" s="714"/>
      <c r="AP56" s="714"/>
      <c r="AQ56" s="716"/>
    </row>
    <row r="57" spans="1:45" s="708" customFormat="1" ht="12.75" customHeight="1" x14ac:dyDescent="0.25">
      <c r="A57" s="8"/>
      <c r="B57" s="8"/>
      <c r="C57" s="11" t="s">
        <v>146</v>
      </c>
      <c r="D57" s="11"/>
      <c r="E57" s="11"/>
      <c r="F57" s="11"/>
      <c r="G57" s="11"/>
      <c r="H57" s="11"/>
      <c r="I57" s="8"/>
      <c r="J57" s="1147"/>
      <c r="K57" s="1147"/>
      <c r="L57" s="1147"/>
      <c r="M57" s="1147"/>
      <c r="N57" s="1587"/>
      <c r="O57" s="1588"/>
      <c r="P57" s="1583"/>
      <c r="Q57" s="1584"/>
      <c r="R57" s="8"/>
      <c r="S57" s="8"/>
      <c r="T57" s="8"/>
      <c r="U57" s="8"/>
      <c r="V57" s="714"/>
      <c r="W57" s="714"/>
      <c r="X57" s="714"/>
      <c r="Y57" s="714"/>
      <c r="Z57" s="714"/>
      <c r="AA57" s="714"/>
      <c r="AB57" s="714"/>
      <c r="AC57" s="714"/>
      <c r="AD57" s="714"/>
      <c r="AE57" s="714"/>
      <c r="AF57" s="714"/>
      <c r="AG57" s="714"/>
      <c r="AH57" s="714"/>
      <c r="AI57" s="714"/>
      <c r="AJ57" s="714"/>
      <c r="AK57" s="714"/>
      <c r="AL57" s="714"/>
      <c r="AM57" s="714"/>
      <c r="AN57" s="714"/>
      <c r="AO57" s="714"/>
      <c r="AP57" s="714"/>
      <c r="AQ57" s="716"/>
    </row>
    <row r="58" spans="1:45" s="708" customFormat="1" ht="12.75" customHeight="1" x14ac:dyDescent="0.25">
      <c r="A58" s="8"/>
      <c r="B58" s="8"/>
      <c r="C58" s="11"/>
      <c r="D58" s="11" t="s">
        <v>246</v>
      </c>
      <c r="E58" s="11"/>
      <c r="F58" s="11"/>
      <c r="G58" s="11"/>
      <c r="H58" s="11"/>
      <c r="I58" s="8"/>
      <c r="J58" s="1147"/>
      <c r="K58" s="1147"/>
      <c r="L58" s="1147"/>
      <c r="M58" s="1147"/>
      <c r="N58" s="1585">
        <v>1.4712145984853697</v>
      </c>
      <c r="O58" s="1586"/>
      <c r="P58" s="1581">
        <v>2.2223022115922477</v>
      </c>
      <c r="Q58" s="1582"/>
      <c r="R58" s="8"/>
      <c r="S58" s="8"/>
      <c r="T58" s="8"/>
      <c r="U58" s="8"/>
      <c r="V58" s="714"/>
      <c r="W58" s="714"/>
      <c r="X58" s="714"/>
      <c r="Y58" s="714"/>
      <c r="Z58" s="714"/>
      <c r="AA58" s="714"/>
      <c r="AB58" s="714"/>
      <c r="AC58" s="714"/>
      <c r="AD58" s="714"/>
      <c r="AE58" s="714"/>
      <c r="AF58" s="714"/>
      <c r="AG58" s="714"/>
      <c r="AH58" s="714"/>
      <c r="AI58" s="714"/>
      <c r="AJ58" s="714"/>
      <c r="AK58" s="714"/>
      <c r="AL58" s="714"/>
      <c r="AM58" s="714"/>
      <c r="AN58" s="714"/>
      <c r="AO58" s="714"/>
      <c r="AP58" s="714"/>
      <c r="AQ58" s="716"/>
    </row>
    <row r="59" spans="1:45" s="708" customFormat="1" ht="12.75" customHeight="1" x14ac:dyDescent="0.25">
      <c r="A59" s="8"/>
      <c r="B59" s="8"/>
      <c r="C59" s="8"/>
      <c r="D59" s="8" t="s">
        <v>490</v>
      </c>
      <c r="E59" s="8"/>
      <c r="F59" s="8"/>
      <c r="G59" s="8"/>
      <c r="H59" s="8"/>
      <c r="I59" s="8"/>
      <c r="J59" s="1146" t="s">
        <v>437</v>
      </c>
      <c r="K59" s="1146"/>
      <c r="L59" s="1146"/>
      <c r="M59" s="1146"/>
      <c r="N59" s="1547">
        <v>934558832.11678815</v>
      </c>
      <c r="O59" s="1548"/>
      <c r="P59" s="1572">
        <v>934558832.11678815</v>
      </c>
      <c r="Q59" s="1573"/>
      <c r="R59" s="8"/>
      <c r="S59" s="8"/>
      <c r="T59" s="8"/>
      <c r="U59" s="8"/>
      <c r="V59" s="714"/>
      <c r="W59" s="714"/>
      <c r="X59" s="714"/>
      <c r="Y59" s="714"/>
      <c r="Z59" s="714"/>
      <c r="AA59" s="714"/>
      <c r="AB59" s="714"/>
      <c r="AC59" s="714"/>
      <c r="AD59" s="714"/>
      <c r="AE59" s="714"/>
      <c r="AF59" s="714"/>
      <c r="AG59" s="714"/>
      <c r="AH59" s="714"/>
      <c r="AI59" s="714"/>
      <c r="AJ59" s="714"/>
      <c r="AK59" s="714"/>
      <c r="AL59" s="714"/>
      <c r="AM59" s="714"/>
      <c r="AN59" s="714"/>
      <c r="AO59" s="714"/>
      <c r="AP59" s="714"/>
      <c r="AQ59" s="716"/>
    </row>
    <row r="60" spans="1:45" s="708" customFormat="1" ht="12.75" customHeight="1" x14ac:dyDescent="0.25">
      <c r="A60" s="8"/>
      <c r="B60" s="8"/>
      <c r="C60" s="8"/>
      <c r="D60" s="1145" t="s">
        <v>563</v>
      </c>
      <c r="E60" s="8"/>
      <c r="F60" s="8"/>
      <c r="G60" s="8"/>
      <c r="H60" s="8"/>
      <c r="I60" s="8"/>
      <c r="J60" s="1146" t="s">
        <v>437</v>
      </c>
      <c r="K60" s="1146"/>
      <c r="L60" s="1146"/>
      <c r="M60" s="1146"/>
      <c r="N60" s="1547">
        <v>634453380.10621774</v>
      </c>
      <c r="O60" s="1548"/>
      <c r="P60" s="1572">
        <v>275557055.79840624</v>
      </c>
      <c r="Q60" s="1573"/>
      <c r="R60" s="8"/>
      <c r="S60" s="8"/>
      <c r="T60" s="8"/>
      <c r="U60" s="8"/>
      <c r="V60" s="714"/>
      <c r="W60" s="714"/>
      <c r="X60" s="714"/>
      <c r="Y60" s="714"/>
      <c r="Z60" s="714"/>
      <c r="AA60" s="714"/>
      <c r="AB60" s="714"/>
      <c r="AC60" s="714"/>
      <c r="AD60" s="714"/>
      <c r="AE60" s="714"/>
      <c r="AF60" s="714"/>
      <c r="AG60" s="714"/>
      <c r="AH60" s="714"/>
      <c r="AI60" s="714"/>
      <c r="AJ60" s="714"/>
      <c r="AK60" s="714"/>
      <c r="AL60" s="714"/>
      <c r="AM60" s="714"/>
      <c r="AN60" s="714"/>
      <c r="AO60" s="714"/>
      <c r="AP60" s="714"/>
      <c r="AQ60" s="716"/>
    </row>
    <row r="61" spans="1:45" s="708" customFormat="1" ht="12.75" customHeight="1" x14ac:dyDescent="0.25">
      <c r="A61" s="8"/>
      <c r="B61" s="8"/>
      <c r="C61" s="8"/>
      <c r="D61" s="8" t="s">
        <v>307</v>
      </c>
      <c r="E61" s="8"/>
      <c r="F61" s="8"/>
      <c r="G61" s="8"/>
      <c r="H61" s="8"/>
      <c r="I61" s="8"/>
      <c r="J61" s="1146" t="s">
        <v>437</v>
      </c>
      <c r="K61" s="1146"/>
      <c r="L61" s="1146"/>
      <c r="M61" s="1146"/>
      <c r="N61" s="1547">
        <v>0</v>
      </c>
      <c r="O61" s="1548"/>
      <c r="P61" s="1572">
        <v>140590501.28486151</v>
      </c>
      <c r="Q61" s="1573"/>
      <c r="R61" s="8"/>
      <c r="S61" s="8"/>
      <c r="T61" s="8"/>
      <c r="U61" s="8"/>
      <c r="V61" s="714"/>
      <c r="W61" s="714"/>
      <c r="X61" s="714"/>
      <c r="Y61" s="714"/>
      <c r="Z61" s="714"/>
      <c r="AA61" s="714"/>
      <c r="AB61" s="714"/>
      <c r="AC61" s="714"/>
      <c r="AD61" s="714"/>
      <c r="AE61" s="714"/>
      <c r="AF61" s="714"/>
      <c r="AG61" s="714"/>
      <c r="AH61" s="714"/>
      <c r="AI61" s="714"/>
      <c r="AJ61" s="714"/>
      <c r="AK61" s="714"/>
      <c r="AL61" s="714"/>
      <c r="AM61" s="714"/>
      <c r="AN61" s="714"/>
      <c r="AO61" s="714"/>
      <c r="AP61" s="714"/>
      <c r="AQ61" s="716"/>
    </row>
    <row r="62" spans="1:45" s="708" customFormat="1" ht="12.75" customHeight="1" x14ac:dyDescent="0.25">
      <c r="A62" s="8"/>
      <c r="B62" s="8"/>
      <c r="C62" s="8"/>
      <c r="D62" s="8" t="s">
        <v>306</v>
      </c>
      <c r="E62" s="8"/>
      <c r="F62" s="8"/>
      <c r="G62" s="8"/>
      <c r="H62" s="8"/>
      <c r="I62" s="8"/>
      <c r="J62" s="1146" t="s">
        <v>437</v>
      </c>
      <c r="K62" s="1146"/>
      <c r="L62" s="1146"/>
      <c r="M62" s="1146"/>
      <c r="N62" s="1547">
        <v>776064.38062053395</v>
      </c>
      <c r="O62" s="1548"/>
      <c r="P62" s="1572">
        <v>4388780.0727800559</v>
      </c>
      <c r="Q62" s="1573"/>
      <c r="R62" s="8"/>
      <c r="S62" s="8"/>
      <c r="T62" s="8"/>
      <c r="U62" s="8"/>
      <c r="V62" s="714"/>
      <c r="W62" s="714"/>
      <c r="X62" s="714"/>
      <c r="Y62" s="714"/>
      <c r="Z62" s="714"/>
      <c r="AA62" s="714"/>
      <c r="AB62" s="714"/>
      <c r="AC62" s="714"/>
      <c r="AD62" s="714"/>
      <c r="AE62" s="714"/>
      <c r="AF62" s="714"/>
      <c r="AG62" s="714"/>
      <c r="AH62" s="714"/>
      <c r="AI62" s="714"/>
      <c r="AJ62" s="714"/>
      <c r="AK62" s="714"/>
      <c r="AL62" s="714"/>
      <c r="AM62" s="714"/>
      <c r="AN62" s="714"/>
      <c r="AO62" s="714"/>
      <c r="AP62" s="714"/>
      <c r="AQ62" s="716"/>
    </row>
    <row r="63" spans="1:45" s="708" customFormat="1" ht="12.75" customHeight="1" x14ac:dyDescent="0.25">
      <c r="A63" s="8"/>
      <c r="B63" s="8"/>
      <c r="C63" s="8"/>
      <c r="D63" s="8"/>
      <c r="E63" s="8"/>
      <c r="F63" s="8"/>
      <c r="G63" s="8"/>
      <c r="H63" s="8"/>
      <c r="I63" s="8"/>
      <c r="J63" s="1146"/>
      <c r="K63" s="1146"/>
      <c r="L63" s="1146"/>
      <c r="M63" s="1146"/>
      <c r="N63" s="1417"/>
      <c r="O63" s="1415"/>
      <c r="P63" s="692"/>
      <c r="Q63" s="1416"/>
      <c r="R63" s="8"/>
      <c r="S63" s="8"/>
      <c r="T63" s="8"/>
      <c r="U63" s="8"/>
      <c r="V63" s="714"/>
      <c r="W63" s="714"/>
      <c r="X63" s="714"/>
      <c r="Y63" s="714"/>
      <c r="Z63" s="714"/>
      <c r="AA63" s="714"/>
      <c r="AB63" s="714"/>
      <c r="AC63" s="714"/>
      <c r="AD63" s="714"/>
      <c r="AE63" s="714"/>
      <c r="AF63" s="714"/>
      <c r="AG63" s="714"/>
      <c r="AH63" s="714"/>
      <c r="AI63" s="714"/>
      <c r="AJ63" s="714"/>
      <c r="AK63" s="714"/>
      <c r="AL63" s="714"/>
      <c r="AM63" s="714"/>
      <c r="AN63" s="714"/>
      <c r="AO63" s="714"/>
      <c r="AP63" s="714"/>
      <c r="AQ63" s="716"/>
    </row>
    <row r="64" spans="1:45" s="708" customFormat="1" ht="12.75" customHeight="1" x14ac:dyDescent="0.25">
      <c r="A64" s="8"/>
      <c r="B64" s="8"/>
      <c r="C64" s="11" t="s">
        <v>147</v>
      </c>
      <c r="D64" s="8"/>
      <c r="E64" s="8"/>
      <c r="F64" s="8"/>
      <c r="G64" s="8"/>
      <c r="H64" s="8"/>
      <c r="I64" s="8"/>
      <c r="J64" s="1146"/>
      <c r="K64" s="1146"/>
      <c r="L64" s="1146"/>
      <c r="M64" s="1146"/>
      <c r="N64" s="1417"/>
      <c r="O64" s="1415"/>
      <c r="P64" s="692"/>
      <c r="Q64" s="1416"/>
      <c r="R64" s="8"/>
      <c r="S64" s="8"/>
      <c r="T64" s="8"/>
      <c r="U64" s="8"/>
      <c r="V64" s="714"/>
      <c r="W64" s="714"/>
      <c r="X64" s="714"/>
      <c r="Y64" s="714"/>
      <c r="Z64" s="714"/>
      <c r="AA64" s="714"/>
      <c r="AB64" s="714"/>
      <c r="AC64" s="714"/>
      <c r="AD64" s="714"/>
      <c r="AE64" s="714"/>
      <c r="AF64" s="714"/>
      <c r="AG64" s="714"/>
      <c r="AH64" s="714"/>
      <c r="AI64" s="714"/>
      <c r="AJ64" s="714"/>
      <c r="AK64" s="714"/>
      <c r="AL64" s="714"/>
      <c r="AM64" s="714"/>
      <c r="AN64" s="714"/>
      <c r="AO64" s="714"/>
      <c r="AP64" s="714"/>
      <c r="AQ64" s="716"/>
    </row>
    <row r="65" spans="1:43" s="708" customFormat="1" ht="12.75" customHeight="1" x14ac:dyDescent="0.25">
      <c r="A65" s="8"/>
      <c r="B65" s="8"/>
      <c r="C65" s="8"/>
      <c r="D65" s="11" t="s">
        <v>246</v>
      </c>
      <c r="E65" s="11"/>
      <c r="F65" s="11"/>
      <c r="G65" s="11"/>
      <c r="H65" s="11"/>
      <c r="I65" s="8"/>
      <c r="J65" s="1147"/>
      <c r="K65" s="1147"/>
      <c r="L65" s="1147"/>
      <c r="M65" s="1147"/>
      <c r="N65" s="1598"/>
      <c r="O65" s="1590"/>
      <c r="P65" s="1581">
        <v>2.4755007815390502</v>
      </c>
      <c r="Q65" s="1582"/>
      <c r="R65" s="8"/>
      <c r="S65" s="8"/>
      <c r="T65" s="8"/>
      <c r="U65" s="8"/>
      <c r="V65" s="714"/>
      <c r="W65" s="714"/>
      <c r="X65" s="714"/>
      <c r="Y65" s="714"/>
      <c r="Z65" s="714"/>
      <c r="AA65" s="714"/>
      <c r="AB65" s="714"/>
      <c r="AC65" s="714"/>
      <c r="AD65" s="714"/>
      <c r="AE65" s="714"/>
      <c r="AF65" s="714"/>
      <c r="AG65" s="714"/>
      <c r="AH65" s="714"/>
      <c r="AI65" s="714"/>
      <c r="AJ65" s="714"/>
      <c r="AK65" s="714"/>
      <c r="AL65" s="714"/>
      <c r="AM65" s="714"/>
      <c r="AN65" s="714"/>
      <c r="AO65" s="714"/>
      <c r="AP65" s="714"/>
      <c r="AQ65" s="716"/>
    </row>
    <row r="66" spans="1:43" s="708" customFormat="1" ht="12.75" customHeight="1" x14ac:dyDescent="0.25">
      <c r="A66" s="8"/>
      <c r="B66" s="8"/>
      <c r="C66" s="8"/>
      <c r="D66" s="8" t="s">
        <v>307</v>
      </c>
      <c r="E66" s="8"/>
      <c r="F66" s="8"/>
      <c r="G66" s="8"/>
      <c r="H66" s="8"/>
      <c r="I66" s="8"/>
      <c r="J66" s="1146" t="s">
        <v>437</v>
      </c>
      <c r="K66" s="1146"/>
      <c r="L66" s="1146"/>
      <c r="M66" s="1146"/>
      <c r="N66" s="1547">
        <v>0</v>
      </c>
      <c r="O66" s="1548"/>
      <c r="P66" s="1572">
        <v>140590501.28486151</v>
      </c>
      <c r="Q66" s="1573"/>
      <c r="R66" s="8"/>
      <c r="S66" s="8"/>
      <c r="T66" s="8"/>
      <c r="U66" s="8"/>
      <c r="V66" s="714"/>
      <c r="W66" s="714"/>
      <c r="X66" s="714"/>
      <c r="Y66" s="714"/>
      <c r="Z66" s="714"/>
      <c r="AA66" s="714"/>
      <c r="AB66" s="714"/>
      <c r="AC66" s="714"/>
      <c r="AD66" s="714"/>
      <c r="AE66" s="714"/>
      <c r="AF66" s="714"/>
      <c r="AG66" s="714"/>
      <c r="AH66" s="714"/>
      <c r="AI66" s="714"/>
      <c r="AJ66" s="714"/>
      <c r="AK66" s="714"/>
      <c r="AL66" s="714"/>
      <c r="AM66" s="714"/>
      <c r="AN66" s="714"/>
      <c r="AO66" s="714"/>
      <c r="AP66" s="714"/>
      <c r="AQ66" s="716"/>
    </row>
    <row r="67" spans="1:43" s="708" customFormat="1" ht="12.75" customHeight="1" x14ac:dyDescent="0.25">
      <c r="A67" s="8"/>
      <c r="B67" s="8"/>
      <c r="C67" s="8"/>
      <c r="D67" s="8" t="s">
        <v>306</v>
      </c>
      <c r="E67" s="8"/>
      <c r="F67" s="8"/>
      <c r="G67" s="8"/>
      <c r="H67" s="8"/>
      <c r="I67" s="8"/>
      <c r="J67" s="1146" t="s">
        <v>437</v>
      </c>
      <c r="K67" s="1146"/>
      <c r="L67" s="1146"/>
      <c r="M67" s="1146"/>
      <c r="N67" s="1547">
        <v>776064.38062053395</v>
      </c>
      <c r="O67" s="1548"/>
      <c r="P67" s="1572">
        <v>4388780.0727800559</v>
      </c>
      <c r="Q67" s="1573"/>
      <c r="R67" s="8"/>
      <c r="S67" s="8"/>
      <c r="T67" s="8"/>
      <c r="U67" s="8"/>
      <c r="V67" s="714"/>
      <c r="W67" s="714"/>
      <c r="X67" s="714"/>
      <c r="Y67" s="714"/>
      <c r="Z67" s="714"/>
      <c r="AA67" s="714"/>
      <c r="AB67" s="714"/>
      <c r="AC67" s="714"/>
      <c r="AD67" s="714"/>
      <c r="AE67" s="714"/>
      <c r="AF67" s="714"/>
      <c r="AG67" s="714"/>
      <c r="AH67" s="714"/>
      <c r="AI67" s="714"/>
      <c r="AJ67" s="714"/>
      <c r="AK67" s="714"/>
      <c r="AL67" s="714"/>
      <c r="AM67" s="714"/>
      <c r="AN67" s="714"/>
      <c r="AO67" s="714"/>
      <c r="AP67" s="714"/>
      <c r="AQ67" s="716"/>
    </row>
    <row r="68" spans="1:43" s="708" customFormat="1" ht="12.75" customHeight="1" x14ac:dyDescent="0.25">
      <c r="A68" s="8"/>
      <c r="B68" s="8"/>
      <c r="C68" s="8"/>
      <c r="D68" s="1557" t="s">
        <v>564</v>
      </c>
      <c r="E68" s="1557"/>
      <c r="F68" s="1557"/>
      <c r="G68" s="1557"/>
      <c r="H68" s="1557"/>
      <c r="I68" s="1557"/>
      <c r="J68" s="1146" t="s">
        <v>437</v>
      </c>
      <c r="K68" s="1146"/>
      <c r="L68" s="1146"/>
      <c r="M68" s="1146"/>
      <c r="N68" s="1547">
        <v>634453380.10621774</v>
      </c>
      <c r="O68" s="1548"/>
      <c r="P68" s="1572">
        <v>275557055.79840624</v>
      </c>
      <c r="Q68" s="1573"/>
      <c r="R68" s="29"/>
      <c r="S68" s="8"/>
      <c r="T68" s="8"/>
      <c r="U68" s="8"/>
      <c r="V68" s="714"/>
      <c r="W68" s="714"/>
      <c r="X68" s="714"/>
      <c r="Y68" s="714"/>
      <c r="Z68" s="714"/>
      <c r="AA68" s="714"/>
      <c r="AB68" s="714"/>
      <c r="AC68" s="714"/>
      <c r="AD68" s="714"/>
      <c r="AE68" s="714"/>
      <c r="AF68" s="714"/>
      <c r="AG68" s="714"/>
      <c r="AH68" s="714"/>
      <c r="AI68" s="714"/>
      <c r="AJ68" s="714"/>
      <c r="AK68" s="714"/>
      <c r="AL68" s="714"/>
      <c r="AM68" s="714"/>
      <c r="AN68" s="714"/>
      <c r="AO68" s="714"/>
      <c r="AP68" s="714"/>
      <c r="AQ68" s="716"/>
    </row>
    <row r="69" spans="1:43" s="708" customFormat="1" ht="12.75" customHeight="1" x14ac:dyDescent="0.25">
      <c r="A69" s="757"/>
      <c r="B69" s="8"/>
      <c r="C69" s="8"/>
      <c r="D69" s="1557" t="s">
        <v>565</v>
      </c>
      <c r="E69" s="1557"/>
      <c r="F69" s="1557"/>
      <c r="G69" s="1557"/>
      <c r="H69" s="1557"/>
      <c r="I69" s="1557"/>
      <c r="J69" s="1146" t="s">
        <v>437</v>
      </c>
      <c r="K69" s="1146"/>
      <c r="L69" s="1146"/>
      <c r="M69" s="1146"/>
      <c r="N69" s="1598"/>
      <c r="O69" s="1590"/>
      <c r="P69" s="1572">
        <v>358896324.3078115</v>
      </c>
      <c r="Q69" s="1573"/>
      <c r="R69" s="8"/>
      <c r="S69" s="8"/>
      <c r="T69" s="8"/>
      <c r="U69" s="8"/>
      <c r="V69" s="714"/>
      <c r="W69" s="714"/>
      <c r="X69" s="714"/>
      <c r="Y69" s="714"/>
      <c r="Z69" s="714"/>
      <c r="AA69" s="714"/>
      <c r="AB69" s="714"/>
      <c r="AC69" s="714"/>
      <c r="AD69" s="714"/>
      <c r="AE69" s="714"/>
      <c r="AF69" s="714"/>
      <c r="AG69" s="714"/>
      <c r="AH69" s="714"/>
      <c r="AI69" s="714"/>
      <c r="AJ69" s="714"/>
      <c r="AK69" s="714"/>
      <c r="AL69" s="714"/>
      <c r="AM69" s="714"/>
      <c r="AN69" s="714"/>
      <c r="AO69" s="714"/>
      <c r="AP69" s="714"/>
      <c r="AQ69" s="716"/>
    </row>
    <row r="70" spans="1:43" s="708" customFormat="1" ht="12.75" customHeight="1" x14ac:dyDescent="0.25">
      <c r="A70" s="8"/>
      <c r="B70" s="8"/>
      <c r="C70" s="8"/>
      <c r="D70" s="8"/>
      <c r="E70" s="8"/>
      <c r="F70" s="8"/>
      <c r="G70" s="8"/>
      <c r="H70" s="8"/>
      <c r="I70" s="8"/>
      <c r="J70" s="1146"/>
      <c r="K70" s="1146"/>
      <c r="L70" s="1146"/>
      <c r="M70" s="1146"/>
      <c r="N70" s="1417"/>
      <c r="O70" s="1415"/>
      <c r="P70" s="692"/>
      <c r="Q70" s="1416"/>
      <c r="R70" s="8"/>
      <c r="S70" s="8"/>
      <c r="T70" s="8"/>
      <c r="U70" s="8"/>
      <c r="V70" s="714"/>
      <c r="W70" s="714"/>
      <c r="X70" s="714"/>
      <c r="Y70" s="714"/>
      <c r="Z70" s="714"/>
      <c r="AA70" s="714"/>
      <c r="AB70" s="714"/>
      <c r="AC70" s="714"/>
      <c r="AD70" s="714"/>
      <c r="AE70" s="714"/>
      <c r="AF70" s="714"/>
      <c r="AG70" s="714"/>
      <c r="AH70" s="714"/>
      <c r="AI70" s="714"/>
      <c r="AJ70" s="714"/>
      <c r="AK70" s="714"/>
      <c r="AL70" s="714"/>
      <c r="AM70" s="714"/>
      <c r="AN70" s="714"/>
      <c r="AO70" s="714"/>
      <c r="AP70" s="714"/>
      <c r="AQ70" s="716"/>
    </row>
    <row r="71" spans="1:43" s="708" customFormat="1" ht="12.75" customHeight="1" x14ac:dyDescent="0.25">
      <c r="A71" s="8"/>
      <c r="B71" s="8"/>
      <c r="C71" s="11" t="s">
        <v>187</v>
      </c>
      <c r="D71" s="11"/>
      <c r="E71" s="11"/>
      <c r="F71" s="11"/>
      <c r="G71" s="11"/>
      <c r="H71" s="11"/>
      <c r="I71" s="8"/>
      <c r="J71" s="748"/>
      <c r="K71" s="748"/>
      <c r="L71" s="748"/>
      <c r="M71" s="748"/>
      <c r="N71" s="1611"/>
      <c r="O71" s="1612"/>
      <c r="P71" s="1603"/>
      <c r="Q71" s="1604"/>
      <c r="R71" s="8"/>
      <c r="S71" s="8"/>
      <c r="T71" s="8"/>
      <c r="U71" s="8"/>
      <c r="V71" s="714"/>
      <c r="W71" s="714"/>
      <c r="X71" s="714"/>
      <c r="Y71" s="714"/>
      <c r="Z71" s="714"/>
      <c r="AA71" s="714"/>
      <c r="AB71" s="714"/>
      <c r="AC71" s="714"/>
      <c r="AD71" s="714"/>
      <c r="AE71" s="714"/>
      <c r="AF71" s="714"/>
      <c r="AG71" s="714"/>
      <c r="AH71" s="714"/>
      <c r="AI71" s="714"/>
      <c r="AJ71" s="714"/>
      <c r="AK71" s="714"/>
      <c r="AL71" s="714"/>
      <c r="AM71" s="714"/>
      <c r="AN71" s="714"/>
      <c r="AO71" s="714"/>
      <c r="AP71" s="714"/>
      <c r="AQ71" s="716"/>
    </row>
    <row r="72" spans="1:43" s="708" customFormat="1" ht="12.75" customHeight="1" x14ac:dyDescent="0.25">
      <c r="A72" s="8"/>
      <c r="B72" s="8"/>
      <c r="C72" s="8"/>
      <c r="D72" s="8" t="s">
        <v>491</v>
      </c>
      <c r="E72" s="8"/>
      <c r="F72" s="8"/>
      <c r="G72" s="8"/>
      <c r="H72" s="8"/>
      <c r="I72" s="8"/>
      <c r="J72" s="1146" t="s">
        <v>435</v>
      </c>
      <c r="K72" s="1146"/>
      <c r="L72" s="1146"/>
      <c r="M72" s="1146"/>
      <c r="N72" s="1609">
        <v>9.8897241760966093E-2</v>
      </c>
      <c r="O72" s="1610"/>
      <c r="P72" s="1605">
        <v>7.6615333038968239E-2</v>
      </c>
      <c r="Q72" s="1606"/>
      <c r="R72" s="8"/>
      <c r="S72" s="8"/>
      <c r="T72" s="8"/>
      <c r="U72" s="8"/>
      <c r="V72" s="714"/>
      <c r="W72" s="714"/>
      <c r="X72" s="714"/>
      <c r="Y72" s="714"/>
      <c r="Z72" s="714"/>
      <c r="AA72" s="714"/>
      <c r="AB72" s="714"/>
      <c r="AC72" s="714"/>
      <c r="AD72" s="714"/>
      <c r="AE72" s="714"/>
      <c r="AF72" s="714"/>
      <c r="AG72" s="714"/>
      <c r="AH72" s="714"/>
      <c r="AI72" s="714"/>
      <c r="AJ72" s="714"/>
      <c r="AK72" s="714"/>
      <c r="AL72" s="714"/>
      <c r="AM72" s="714"/>
      <c r="AN72" s="714"/>
      <c r="AO72" s="714"/>
      <c r="AP72" s="714"/>
      <c r="AQ72" s="716"/>
    </row>
    <row r="73" spans="1:43" s="708" customFormat="1" ht="12.75" customHeight="1" x14ac:dyDescent="0.25">
      <c r="A73" s="8"/>
      <c r="B73" s="8"/>
      <c r="C73" s="8"/>
      <c r="D73" s="8" t="s">
        <v>492</v>
      </c>
      <c r="E73" s="8"/>
      <c r="F73" s="8"/>
      <c r="G73" s="8"/>
      <c r="H73" s="8"/>
      <c r="I73" s="8"/>
      <c r="J73" s="1146" t="s">
        <v>16</v>
      </c>
      <c r="K73" s="1146"/>
      <c r="L73" s="1146"/>
      <c r="M73" s="1146"/>
      <c r="N73" s="698"/>
      <c r="O73" s="1415"/>
      <c r="P73" s="1599">
        <v>-0.2253036416915758</v>
      </c>
      <c r="Q73" s="1600"/>
      <c r="R73" s="8"/>
      <c r="S73" s="8"/>
      <c r="T73" s="8"/>
      <c r="U73" s="8"/>
      <c r="V73" s="714"/>
      <c r="W73" s="714"/>
      <c r="X73" s="714"/>
      <c r="Y73" s="714"/>
      <c r="Z73" s="714"/>
      <c r="AA73" s="714"/>
      <c r="AB73" s="714"/>
      <c r="AC73" s="714"/>
      <c r="AD73" s="714"/>
      <c r="AE73" s="714"/>
      <c r="AF73" s="714"/>
      <c r="AG73" s="714"/>
      <c r="AH73" s="714"/>
      <c r="AI73" s="714"/>
      <c r="AJ73" s="714"/>
      <c r="AK73" s="714"/>
      <c r="AL73" s="714"/>
      <c r="AM73" s="714"/>
      <c r="AN73" s="714"/>
      <c r="AO73" s="714"/>
      <c r="AP73" s="714"/>
      <c r="AQ73" s="716"/>
    </row>
    <row r="74" spans="1:43" s="708" customFormat="1" ht="12.75" customHeight="1" x14ac:dyDescent="0.25">
      <c r="A74" s="8"/>
      <c r="B74" s="8"/>
      <c r="C74" s="8"/>
      <c r="D74" s="8" t="s">
        <v>277</v>
      </c>
      <c r="E74" s="8"/>
      <c r="F74" s="8"/>
      <c r="G74" s="8"/>
      <c r="H74" s="8"/>
      <c r="I74" s="8"/>
      <c r="J74" s="1146" t="s">
        <v>435</v>
      </c>
      <c r="K74" s="1146"/>
      <c r="L74" s="1146"/>
      <c r="M74" s="1146"/>
      <c r="N74" s="1609">
        <v>5.9507503425933327E-2</v>
      </c>
      <c r="O74" s="1610"/>
      <c r="P74" s="1607">
        <v>5.9507503425933327E-2</v>
      </c>
      <c r="Q74" s="1608"/>
      <c r="R74" s="8"/>
      <c r="S74" s="8"/>
      <c r="T74" s="8"/>
      <c r="U74" s="8"/>
      <c r="V74" s="714"/>
      <c r="W74" s="714"/>
      <c r="X74" s="714"/>
      <c r="Y74" s="714"/>
      <c r="Z74" s="714"/>
      <c r="AA74" s="714"/>
      <c r="AB74" s="714"/>
      <c r="AC74" s="714"/>
      <c r="AD74" s="714"/>
      <c r="AE74" s="714"/>
      <c r="AF74" s="714"/>
      <c r="AG74" s="714"/>
      <c r="AH74" s="714"/>
      <c r="AI74" s="714"/>
      <c r="AJ74" s="714"/>
      <c r="AK74" s="714"/>
      <c r="AL74" s="714"/>
      <c r="AM74" s="714"/>
      <c r="AN74" s="714"/>
      <c r="AO74" s="714"/>
      <c r="AP74" s="714"/>
      <c r="AQ74" s="716"/>
    </row>
    <row r="75" spans="1:43" s="708" customFormat="1" ht="12.75" customHeight="1" x14ac:dyDescent="0.25">
      <c r="A75" s="8"/>
      <c r="B75" s="8"/>
      <c r="C75" s="8"/>
      <c r="D75" s="8" t="s">
        <v>308</v>
      </c>
      <c r="E75" s="8"/>
      <c r="F75" s="8"/>
      <c r="G75" s="8"/>
      <c r="H75" s="8"/>
      <c r="I75" s="8"/>
      <c r="J75" s="1146" t="s">
        <v>435</v>
      </c>
      <c r="K75" s="1146"/>
      <c r="L75" s="1146"/>
      <c r="M75" s="1146"/>
      <c r="N75" s="1609">
        <v>3.9389738335032766E-2</v>
      </c>
      <c r="O75" s="1610"/>
      <c r="P75" s="1607">
        <v>1.7107829613034913E-2</v>
      </c>
      <c r="Q75" s="1608"/>
      <c r="R75" s="8"/>
      <c r="S75" s="8"/>
      <c r="T75" s="8"/>
      <c r="U75" s="8"/>
      <c r="V75" s="714"/>
      <c r="W75" s="714"/>
      <c r="X75" s="714"/>
      <c r="Y75" s="714"/>
      <c r="Z75" s="714"/>
      <c r="AA75" s="714"/>
      <c r="AB75" s="714"/>
      <c r="AC75" s="714"/>
      <c r="AD75" s="714"/>
      <c r="AE75" s="714"/>
      <c r="AF75" s="714"/>
      <c r="AG75" s="714"/>
      <c r="AH75" s="714"/>
      <c r="AI75" s="714"/>
      <c r="AJ75" s="714"/>
      <c r="AK75" s="714"/>
      <c r="AL75" s="714"/>
      <c r="AM75" s="714"/>
      <c r="AN75" s="714"/>
      <c r="AO75" s="714"/>
      <c r="AP75" s="714"/>
      <c r="AQ75" s="716"/>
    </row>
    <row r="76" spans="1:43" s="708" customFormat="1" ht="12.75" customHeight="1" x14ac:dyDescent="0.25">
      <c r="A76" s="8"/>
      <c r="B76" s="8"/>
      <c r="C76" s="8"/>
      <c r="D76" s="8"/>
      <c r="E76" s="8"/>
      <c r="F76" s="8"/>
      <c r="G76" s="8"/>
      <c r="H76" s="8"/>
      <c r="I76" s="8"/>
      <c r="J76" s="1146"/>
      <c r="K76" s="1146"/>
      <c r="L76" s="1146"/>
      <c r="M76" s="1146"/>
      <c r="N76" s="698"/>
      <c r="O76" s="753"/>
      <c r="P76" s="1418"/>
      <c r="Q76" s="1419"/>
      <c r="R76" s="8"/>
      <c r="S76" s="8"/>
      <c r="T76" s="8"/>
      <c r="U76" s="8"/>
      <c r="V76" s="714"/>
      <c r="W76" s="714"/>
      <c r="X76" s="714"/>
      <c r="Y76" s="714"/>
      <c r="Z76" s="714"/>
      <c r="AA76" s="714"/>
      <c r="AB76" s="714"/>
      <c r="AC76" s="714"/>
      <c r="AD76" s="714"/>
      <c r="AE76" s="714"/>
      <c r="AF76" s="714"/>
      <c r="AG76" s="714"/>
      <c r="AH76" s="714"/>
      <c r="AI76" s="714"/>
      <c r="AJ76" s="714"/>
      <c r="AK76" s="714"/>
      <c r="AL76" s="714"/>
      <c r="AM76" s="714"/>
      <c r="AN76" s="714"/>
      <c r="AO76" s="714"/>
      <c r="AP76" s="714"/>
      <c r="AQ76" s="716"/>
    </row>
    <row r="77" spans="1:43" s="708" customFormat="1" ht="12.75" customHeight="1" x14ac:dyDescent="0.25">
      <c r="A77" s="8"/>
      <c r="B77" s="8"/>
      <c r="C77" s="11" t="s">
        <v>148</v>
      </c>
      <c r="D77" s="11"/>
      <c r="E77" s="11"/>
      <c r="F77" s="11"/>
      <c r="G77" s="11"/>
      <c r="H77" s="11"/>
      <c r="I77" s="8"/>
      <c r="J77" s="748"/>
      <c r="K77" s="748"/>
      <c r="L77" s="748"/>
      <c r="M77" s="748"/>
      <c r="N77" s="1611"/>
      <c r="O77" s="1612"/>
      <c r="P77" s="1603"/>
      <c r="Q77" s="1604"/>
      <c r="R77" s="8"/>
      <c r="S77" s="8"/>
      <c r="T77" s="8"/>
      <c r="U77" s="8"/>
      <c r="V77" s="714"/>
      <c r="W77" s="714"/>
      <c r="X77" s="714"/>
      <c r="Y77" s="714"/>
      <c r="Z77" s="714"/>
      <c r="AA77" s="714"/>
      <c r="AB77" s="714"/>
      <c r="AC77" s="714"/>
      <c r="AD77" s="714"/>
      <c r="AE77" s="714"/>
      <c r="AF77" s="714"/>
      <c r="AG77" s="714"/>
      <c r="AH77" s="714"/>
      <c r="AI77" s="714"/>
      <c r="AJ77" s="714"/>
      <c r="AK77" s="714"/>
      <c r="AL77" s="714"/>
      <c r="AM77" s="714"/>
      <c r="AN77" s="714"/>
      <c r="AO77" s="714"/>
      <c r="AP77" s="714"/>
      <c r="AQ77" s="716"/>
    </row>
    <row r="78" spans="1:43" s="708" customFormat="1" ht="12.75" customHeight="1" x14ac:dyDescent="0.25">
      <c r="A78" s="1504"/>
      <c r="B78" s="1504"/>
      <c r="C78" s="1505"/>
      <c r="D78" s="1504"/>
      <c r="E78" s="1506" t="s">
        <v>689</v>
      </c>
      <c r="F78" s="1504"/>
      <c r="G78" s="1504"/>
      <c r="H78" s="1504"/>
      <c r="I78" s="1504"/>
      <c r="J78" s="1507" t="s">
        <v>438</v>
      </c>
      <c r="K78" s="1508"/>
      <c r="L78" s="1508"/>
      <c r="M78" s="1508"/>
      <c r="N78" s="1989">
        <v>50.423794143161373</v>
      </c>
      <c r="O78" s="1990"/>
      <c r="P78" s="1991">
        <v>21.900162710061192</v>
      </c>
      <c r="Q78" s="1992"/>
      <c r="R78" s="1504"/>
      <c r="S78" s="1504"/>
      <c r="T78" s="1504"/>
      <c r="U78" s="1504"/>
      <c r="V78" s="713"/>
      <c r="W78" s="713"/>
      <c r="X78" s="713"/>
      <c r="Y78" s="713"/>
      <c r="Z78" s="713"/>
      <c r="AA78" s="713"/>
      <c r="AB78" s="713"/>
      <c r="AC78" s="713"/>
      <c r="AD78" s="713"/>
      <c r="AE78" s="713"/>
      <c r="AF78" s="713"/>
      <c r="AG78" s="713"/>
      <c r="AH78" s="713"/>
      <c r="AI78" s="713"/>
      <c r="AJ78" s="713"/>
      <c r="AK78" s="713"/>
      <c r="AL78" s="713"/>
      <c r="AM78" s="713"/>
      <c r="AN78" s="713"/>
      <c r="AO78" s="713"/>
      <c r="AP78" s="713"/>
    </row>
    <row r="79" spans="1:43" s="708" customFormat="1" ht="12.75" customHeight="1" x14ac:dyDescent="0.25">
      <c r="A79" s="1504"/>
      <c r="B79" s="1504"/>
      <c r="C79" s="1505"/>
      <c r="D79" s="1504"/>
      <c r="E79" s="1506" t="s">
        <v>690</v>
      </c>
      <c r="F79" s="1504"/>
      <c r="G79" s="1504"/>
      <c r="H79" s="1504"/>
      <c r="I79" s="1504"/>
      <c r="J79" s="1507" t="s">
        <v>438</v>
      </c>
      <c r="K79" s="1508"/>
      <c r="L79" s="1508"/>
      <c r="M79" s="1508"/>
      <c r="N79" s="1989">
        <v>0</v>
      </c>
      <c r="O79" s="1990"/>
      <c r="P79" s="1991">
        <v>11.173565651245944</v>
      </c>
      <c r="Q79" s="1992"/>
      <c r="R79" s="1504"/>
      <c r="S79" s="1504"/>
      <c r="T79" s="1504"/>
      <c r="U79" s="1504"/>
      <c r="V79" s="713"/>
      <c r="W79" s="713"/>
      <c r="X79" s="713"/>
      <c r="Y79" s="713"/>
      <c r="Z79" s="713"/>
      <c r="AA79" s="713"/>
      <c r="AB79" s="713"/>
      <c r="AC79" s="713"/>
      <c r="AD79" s="713"/>
      <c r="AE79" s="713"/>
      <c r="AF79" s="713"/>
      <c r="AG79" s="713"/>
      <c r="AH79" s="713"/>
      <c r="AI79" s="713"/>
      <c r="AJ79" s="713"/>
      <c r="AK79" s="713"/>
      <c r="AL79" s="713"/>
      <c r="AM79" s="713"/>
      <c r="AN79" s="713"/>
      <c r="AO79" s="713"/>
      <c r="AP79" s="713"/>
    </row>
    <row r="80" spans="1:43" s="708" customFormat="1" ht="12.75" customHeight="1" x14ac:dyDescent="0.25">
      <c r="A80" s="1504"/>
      <c r="B80" s="1504"/>
      <c r="C80" s="1505"/>
      <c r="D80" s="1504"/>
      <c r="E80" s="1506" t="s">
        <v>691</v>
      </c>
      <c r="F80" s="1504"/>
      <c r="G80" s="1504"/>
      <c r="H80" s="1504"/>
      <c r="I80" s="1504"/>
      <c r="J80" s="1507" t="s">
        <v>438</v>
      </c>
      <c r="K80" s="1508"/>
      <c r="L80" s="1508"/>
      <c r="M80" s="1508"/>
      <c r="N80" s="1989">
        <v>6.1678464954664586E-2</v>
      </c>
      <c r="O80" s="1990"/>
      <c r="P80" s="1991">
        <v>0.34880252807924406</v>
      </c>
      <c r="Q80" s="1992"/>
      <c r="R80" s="1504"/>
      <c r="S80" s="1504"/>
      <c r="T80" s="1504"/>
      <c r="U80" s="1504"/>
      <c r="V80" s="713"/>
      <c r="W80" s="713"/>
      <c r="X80" s="713"/>
      <c r="Y80" s="713"/>
      <c r="Z80" s="713"/>
      <c r="AA80" s="713"/>
      <c r="AB80" s="713"/>
      <c r="AC80" s="713"/>
      <c r="AD80" s="713"/>
      <c r="AE80" s="713"/>
      <c r="AF80" s="713"/>
      <c r="AG80" s="713"/>
      <c r="AH80" s="713"/>
      <c r="AI80" s="713"/>
      <c r="AJ80" s="713"/>
      <c r="AK80" s="713"/>
      <c r="AL80" s="713"/>
      <c r="AM80" s="713"/>
      <c r="AN80" s="713"/>
      <c r="AO80" s="713"/>
      <c r="AP80" s="713"/>
    </row>
    <row r="81" spans="1:45" s="708" customFormat="1" ht="12.75" customHeight="1" x14ac:dyDescent="0.25">
      <c r="A81" s="1504"/>
      <c r="B81" s="1504"/>
      <c r="C81" s="1504"/>
      <c r="D81" s="1505" t="s">
        <v>692</v>
      </c>
      <c r="E81" s="1505"/>
      <c r="F81" s="1505"/>
      <c r="G81" s="1505"/>
      <c r="H81" s="1505"/>
      <c r="I81" s="1505"/>
      <c r="J81" s="1508" t="s">
        <v>438</v>
      </c>
      <c r="K81" s="1507"/>
      <c r="L81" s="1507"/>
      <c r="M81" s="1507"/>
      <c r="N81" s="2010">
        <v>50.485472608116041</v>
      </c>
      <c r="O81" s="2011"/>
      <c r="P81" s="2012">
        <v>33.42253088938638</v>
      </c>
      <c r="Q81" s="2013"/>
      <c r="R81" s="1504"/>
      <c r="S81" s="1504"/>
      <c r="T81" s="1504"/>
      <c r="U81" s="1504"/>
      <c r="V81" s="713"/>
      <c r="W81" s="713"/>
      <c r="X81" s="713"/>
      <c r="Y81" s="713"/>
      <c r="Z81" s="713"/>
      <c r="AA81" s="713"/>
      <c r="AB81" s="713"/>
      <c r="AC81" s="713"/>
      <c r="AD81" s="713"/>
      <c r="AE81" s="713"/>
      <c r="AF81" s="713"/>
      <c r="AG81" s="713"/>
      <c r="AH81" s="713"/>
      <c r="AI81" s="713"/>
      <c r="AJ81" s="713"/>
      <c r="AK81" s="713"/>
      <c r="AL81" s="713"/>
      <c r="AM81" s="713"/>
      <c r="AN81" s="713"/>
      <c r="AO81" s="713"/>
      <c r="AP81" s="713"/>
    </row>
    <row r="82" spans="1:45" s="708" customFormat="1" ht="12.75" customHeight="1" x14ac:dyDescent="0.25">
      <c r="A82" s="8"/>
      <c r="B82" s="8"/>
      <c r="C82" s="8"/>
      <c r="D82" s="8" t="s">
        <v>309</v>
      </c>
      <c r="E82" s="8"/>
      <c r="F82" s="8"/>
      <c r="G82" s="8"/>
      <c r="H82" s="8"/>
      <c r="I82" s="8"/>
      <c r="J82" s="1146" t="s">
        <v>16</v>
      </c>
      <c r="K82" s="1146"/>
      <c r="L82" s="1146"/>
      <c r="M82" s="1146"/>
      <c r="N82" s="754"/>
      <c r="O82" s="699"/>
      <c r="P82" s="1599">
        <v>-0.33797726033343345</v>
      </c>
      <c r="Q82" s="1600"/>
      <c r="R82" s="8"/>
      <c r="S82" s="8"/>
      <c r="T82" s="8"/>
      <c r="U82" s="8"/>
      <c r="V82" s="714"/>
      <c r="W82" s="714"/>
      <c r="X82" s="714"/>
      <c r="Y82" s="714"/>
      <c r="Z82" s="714"/>
      <c r="AA82" s="714"/>
      <c r="AB82" s="714"/>
      <c r="AC82" s="714"/>
      <c r="AD82" s="714"/>
      <c r="AE82" s="714"/>
      <c r="AF82" s="714"/>
      <c r="AG82" s="714"/>
      <c r="AH82" s="714"/>
      <c r="AI82" s="714"/>
      <c r="AJ82" s="714"/>
      <c r="AK82" s="714"/>
      <c r="AL82" s="714"/>
      <c r="AM82" s="714"/>
      <c r="AN82" s="714"/>
      <c r="AO82" s="714"/>
      <c r="AP82" s="714"/>
      <c r="AQ82" s="716"/>
    </row>
    <row r="83" spans="1:45" s="708" customFormat="1" ht="12.75" customHeight="1" x14ac:dyDescent="0.25">
      <c r="A83" s="8"/>
      <c r="B83" s="8"/>
      <c r="C83" s="8"/>
      <c r="D83" s="1557" t="s">
        <v>566</v>
      </c>
      <c r="E83" s="1557"/>
      <c r="F83" s="1557"/>
      <c r="G83" s="1557"/>
      <c r="H83" s="1557"/>
      <c r="I83" s="1557"/>
      <c r="J83" s="1146" t="s">
        <v>368</v>
      </c>
      <c r="K83" s="1146"/>
      <c r="L83" s="1146"/>
      <c r="M83" s="1146"/>
      <c r="N83" s="1613">
        <v>12.58242048</v>
      </c>
      <c r="O83" s="1614"/>
      <c r="P83" s="1596">
        <v>12.58242048</v>
      </c>
      <c r="Q83" s="1597"/>
      <c r="R83" s="8"/>
      <c r="S83" s="8"/>
      <c r="T83" s="8"/>
      <c r="U83" s="8"/>
      <c r="V83" s="714"/>
      <c r="W83" s="714"/>
      <c r="X83" s="714"/>
      <c r="Y83" s="714"/>
      <c r="Z83" s="714"/>
      <c r="AA83" s="714"/>
      <c r="AB83" s="714"/>
      <c r="AC83" s="714"/>
      <c r="AD83" s="714"/>
      <c r="AE83" s="714"/>
      <c r="AF83" s="714"/>
      <c r="AG83" s="714"/>
      <c r="AH83" s="714"/>
      <c r="AI83" s="714"/>
      <c r="AJ83" s="714"/>
      <c r="AK83" s="714"/>
      <c r="AL83" s="714"/>
      <c r="AM83" s="714"/>
      <c r="AN83" s="714"/>
      <c r="AO83" s="714"/>
      <c r="AP83" s="714"/>
      <c r="AQ83" s="716"/>
    </row>
    <row r="84" spans="1:45" s="708" customFormat="1" ht="12.75" customHeight="1" x14ac:dyDescent="0.25">
      <c r="A84" s="709"/>
      <c r="F84" s="713"/>
      <c r="G84" s="713"/>
      <c r="H84" s="713"/>
      <c r="I84" s="713"/>
      <c r="J84" s="714"/>
      <c r="K84" s="714"/>
      <c r="L84" s="714"/>
      <c r="M84" s="714"/>
      <c r="N84" s="714"/>
      <c r="O84" s="714"/>
      <c r="P84" s="714"/>
      <c r="Q84" s="714"/>
      <c r="R84" s="714"/>
      <c r="S84" s="714"/>
      <c r="T84" s="714"/>
      <c r="U84" s="714"/>
      <c r="V84" s="714"/>
      <c r="W84" s="714"/>
      <c r="X84" s="714"/>
      <c r="Y84" s="714"/>
      <c r="Z84" s="714"/>
      <c r="AA84" s="714"/>
      <c r="AB84" s="714"/>
      <c r="AC84" s="714"/>
      <c r="AD84" s="714"/>
      <c r="AE84" s="714"/>
      <c r="AF84" s="714"/>
      <c r="AG84" s="714"/>
      <c r="AH84" s="714"/>
      <c r="AI84" s="714"/>
      <c r="AJ84" s="714"/>
      <c r="AK84" s="714"/>
      <c r="AL84" s="714"/>
      <c r="AM84" s="714"/>
      <c r="AN84" s="714"/>
      <c r="AO84" s="714"/>
      <c r="AP84" s="714"/>
      <c r="AQ84" s="716"/>
    </row>
    <row r="85" spans="1:45" s="708" customFormat="1" ht="12.75" customHeight="1" x14ac:dyDescent="0.25">
      <c r="A85" s="709"/>
      <c r="F85" s="713"/>
      <c r="G85" s="713"/>
      <c r="H85" s="713"/>
      <c r="I85" s="713"/>
      <c r="J85" s="714"/>
      <c r="K85" s="714"/>
      <c r="L85" s="714"/>
      <c r="M85" s="714"/>
      <c r="N85" s="714"/>
      <c r="O85" s="714"/>
      <c r="P85" s="714"/>
      <c r="Q85" s="714"/>
      <c r="R85" s="714"/>
      <c r="S85" s="714"/>
      <c r="T85" s="714"/>
      <c r="U85" s="714"/>
      <c r="V85" s="714"/>
      <c r="W85" s="714"/>
      <c r="X85" s="714"/>
      <c r="Y85" s="714"/>
      <c r="Z85" s="714"/>
      <c r="AA85" s="714"/>
      <c r="AB85" s="714"/>
      <c r="AC85" s="714"/>
      <c r="AD85" s="714"/>
      <c r="AE85" s="714"/>
      <c r="AF85" s="714"/>
      <c r="AG85" s="714"/>
      <c r="AH85" s="714"/>
      <c r="AI85" s="714"/>
      <c r="AJ85" s="714"/>
      <c r="AK85" s="714"/>
      <c r="AL85" s="714"/>
      <c r="AM85" s="714"/>
      <c r="AN85" s="714"/>
      <c r="AO85" s="714"/>
      <c r="AP85" s="714"/>
      <c r="AQ85" s="716"/>
    </row>
    <row r="86" spans="1:45" s="712" customFormat="1" ht="12.75" customHeight="1" x14ac:dyDescent="0.25">
      <c r="A86" s="44" t="s">
        <v>569</v>
      </c>
      <c r="B86" s="44"/>
      <c r="C86" s="44"/>
      <c r="D86" s="44"/>
      <c r="E86" s="44"/>
      <c r="F86" s="44"/>
      <c r="G86" s="44"/>
      <c r="H86" s="44"/>
      <c r="I86" s="44"/>
      <c r="J86" s="45"/>
      <c r="K86" s="45"/>
      <c r="L86" s="45"/>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715"/>
      <c r="AQ86" s="716"/>
      <c r="AR86" s="708"/>
      <c r="AS86" s="708"/>
    </row>
    <row r="87" spans="1:45" s="712" customFormat="1" ht="12.75" customHeight="1" x14ac:dyDescent="0.25">
      <c r="A87" s="711"/>
      <c r="B87" s="708"/>
      <c r="C87" s="708"/>
      <c r="F87" s="713"/>
      <c r="G87" s="713"/>
      <c r="H87" s="713"/>
      <c r="I87" s="713"/>
      <c r="J87" s="714"/>
      <c r="K87" s="714"/>
      <c r="L87" s="714"/>
      <c r="M87" s="714"/>
      <c r="N87" s="714"/>
      <c r="O87" s="714"/>
      <c r="P87" s="714"/>
      <c r="Q87" s="714"/>
      <c r="R87" s="714"/>
      <c r="S87" s="714"/>
      <c r="T87" s="714"/>
      <c r="U87" s="714"/>
      <c r="V87" s="714"/>
      <c r="W87" s="714"/>
      <c r="X87" s="714"/>
      <c r="Y87" s="714"/>
      <c r="Z87" s="714"/>
      <c r="AA87" s="714"/>
      <c r="AB87" s="714"/>
      <c r="AC87" s="714"/>
      <c r="AD87" s="714"/>
      <c r="AE87" s="714"/>
      <c r="AF87" s="714"/>
      <c r="AG87" s="714"/>
      <c r="AH87" s="714"/>
      <c r="AI87" s="714"/>
      <c r="AJ87" s="714"/>
      <c r="AK87" s="714"/>
      <c r="AL87" s="714"/>
      <c r="AM87" s="714"/>
      <c r="AN87" s="714"/>
      <c r="AO87" s="714"/>
      <c r="AP87" s="715"/>
      <c r="AQ87" s="716"/>
      <c r="AR87" s="708"/>
      <c r="AS87" s="708"/>
    </row>
    <row r="88" spans="1:45" s="712" customFormat="1" ht="12.75" customHeight="1" x14ac:dyDescent="0.25">
      <c r="A88" s="711"/>
      <c r="B88" s="55" t="s">
        <v>550</v>
      </c>
      <c r="C88" s="55"/>
      <c r="D88" s="81"/>
      <c r="E88" s="81"/>
      <c r="F88" s="81"/>
      <c r="G88" s="81"/>
      <c r="H88" s="81"/>
      <c r="I88" s="81"/>
      <c r="J88" s="81"/>
      <c r="K88" s="81"/>
      <c r="L88" s="81"/>
      <c r="M88" s="81"/>
      <c r="N88" s="81"/>
      <c r="O88" s="55"/>
      <c r="P88" s="55"/>
      <c r="Q88" s="55"/>
      <c r="R88" s="797"/>
      <c r="S88" s="797"/>
      <c r="T88" s="797"/>
      <c r="U88" s="797"/>
      <c r="V88" s="797"/>
      <c r="W88" s="797"/>
      <c r="X88" s="797"/>
      <c r="Y88" s="797"/>
      <c r="Z88" s="797"/>
      <c r="AA88" s="797"/>
      <c r="AB88" s="797"/>
      <c r="AC88" s="797"/>
      <c r="AD88" s="797"/>
      <c r="AE88" s="797"/>
      <c r="AF88" s="797"/>
      <c r="AG88" s="797"/>
      <c r="AH88" s="797"/>
      <c r="AI88" s="797"/>
      <c r="AJ88" s="797"/>
      <c r="AK88" s="797"/>
      <c r="AL88" s="797"/>
      <c r="AM88" s="797"/>
      <c r="AN88" s="797"/>
      <c r="AO88" s="797"/>
      <c r="AP88" s="715"/>
      <c r="AQ88" s="716"/>
      <c r="AR88" s="708"/>
      <c r="AS88" s="708"/>
    </row>
    <row r="89" spans="1:45" s="712" customFormat="1" ht="12.75" customHeight="1" x14ac:dyDescent="0.25">
      <c r="A89" s="711"/>
      <c r="B89" s="708"/>
      <c r="C89" s="708"/>
      <c r="F89" s="713"/>
      <c r="G89" s="713"/>
      <c r="H89" s="713"/>
      <c r="I89" s="713"/>
      <c r="J89" s="714"/>
      <c r="K89" s="714"/>
      <c r="L89" s="714"/>
      <c r="M89" s="714"/>
      <c r="N89" s="714"/>
      <c r="O89" s="714"/>
      <c r="P89" s="714"/>
      <c r="Q89" s="714"/>
      <c r="R89" s="714"/>
      <c r="S89" s="714"/>
      <c r="T89" s="714"/>
      <c r="U89" s="714"/>
      <c r="V89" s="714"/>
      <c r="W89" s="714"/>
      <c r="X89" s="714"/>
      <c r="Y89" s="714"/>
      <c r="Z89" s="714"/>
      <c r="AA89" s="714"/>
      <c r="AB89" s="714"/>
      <c r="AC89" s="714"/>
      <c r="AD89" s="714"/>
      <c r="AE89" s="714"/>
      <c r="AF89" s="714"/>
      <c r="AG89" s="714"/>
      <c r="AH89" s="714"/>
      <c r="AI89" s="714"/>
      <c r="AJ89" s="714"/>
      <c r="AK89" s="714"/>
      <c r="AL89" s="714"/>
      <c r="AM89" s="714"/>
      <c r="AN89" s="714"/>
      <c r="AO89" s="714"/>
      <c r="AP89" s="715"/>
      <c r="AQ89" s="716"/>
      <c r="AR89" s="708"/>
      <c r="AS89" s="708"/>
    </row>
    <row r="90" spans="1:45" s="712" customFormat="1" ht="12.75" customHeight="1" x14ac:dyDescent="0.3">
      <c r="A90" s="711"/>
      <c r="B90" s="708"/>
      <c r="C90" s="708" t="s">
        <v>548</v>
      </c>
      <c r="F90" s="713"/>
      <c r="G90" s="713"/>
      <c r="I90" s="713"/>
      <c r="J90" s="714"/>
      <c r="K90" s="714"/>
      <c r="L90" s="714"/>
      <c r="M90" s="714"/>
      <c r="N90" s="714"/>
      <c r="O90" s="2022" t="s">
        <v>568</v>
      </c>
      <c r="P90" s="2026"/>
      <c r="Q90" s="714"/>
      <c r="R90" s="714"/>
      <c r="S90" s="714"/>
      <c r="T90" s="714"/>
      <c r="U90" s="714"/>
      <c r="V90" s="714"/>
      <c r="W90" s="714"/>
      <c r="X90" s="714"/>
      <c r="Y90" s="714"/>
      <c r="Z90" s="714"/>
      <c r="AA90" s="714"/>
      <c r="AB90" s="714"/>
      <c r="AC90" s="714"/>
      <c r="AD90" s="714"/>
      <c r="AE90" s="714"/>
      <c r="AF90" s="714"/>
      <c r="AG90" s="714"/>
      <c r="AH90" s="714"/>
      <c r="AI90" s="714"/>
      <c r="AJ90" s="714"/>
      <c r="AK90" s="714"/>
      <c r="AL90" s="714"/>
      <c r="AM90" s="714"/>
      <c r="AN90" s="714"/>
      <c r="AO90" s="714"/>
      <c r="AP90" s="715"/>
      <c r="AQ90" s="716"/>
      <c r="AR90" s="708"/>
      <c r="AS90" s="708"/>
    </row>
    <row r="91" spans="1:45" s="712" customFormat="1" ht="12.75" customHeight="1" x14ac:dyDescent="0.25">
      <c r="A91" s="711"/>
      <c r="B91" s="708"/>
      <c r="C91" s="708"/>
      <c r="D91" s="708" t="s">
        <v>549</v>
      </c>
      <c r="F91" s="713"/>
      <c r="G91" s="713"/>
      <c r="I91" s="713"/>
      <c r="J91" s="68" t="s">
        <v>433</v>
      </c>
      <c r="K91" s="68"/>
      <c r="L91" s="68"/>
      <c r="M91" s="714"/>
      <c r="N91" s="1187"/>
      <c r="O91" s="1701">
        <f>1630000/'III. Inputs, Renewable Energy'!U19</f>
        <v>1189781.02189781</v>
      </c>
      <c r="P91" s="1702"/>
      <c r="Q91" s="1187"/>
      <c r="R91" s="714"/>
      <c r="S91" s="714"/>
      <c r="T91" s="714"/>
      <c r="U91" s="714"/>
      <c r="V91" s="714"/>
      <c r="W91" s="714"/>
      <c r="X91" s="714"/>
      <c r="Y91" s="714"/>
      <c r="Z91" s="714"/>
      <c r="AA91" s="714"/>
      <c r="AB91" s="714"/>
      <c r="AC91" s="714"/>
      <c r="AD91" s="714"/>
      <c r="AE91" s="714"/>
      <c r="AF91" s="714"/>
      <c r="AG91" s="714"/>
      <c r="AH91" s="714"/>
      <c r="AI91" s="714"/>
      <c r="AJ91" s="714"/>
      <c r="AK91" s="714"/>
      <c r="AL91" s="714"/>
      <c r="AM91" s="714"/>
      <c r="AN91" s="714"/>
      <c r="AO91" s="714"/>
      <c r="AP91" s="715"/>
      <c r="AQ91" s="716"/>
      <c r="AR91" s="708"/>
      <c r="AS91" s="708"/>
    </row>
    <row r="92" spans="1:45" s="712" customFormat="1" ht="12.75" customHeight="1" x14ac:dyDescent="0.25">
      <c r="A92" s="711"/>
      <c r="B92" s="708"/>
      <c r="C92" s="708"/>
      <c r="D92" s="708" t="s">
        <v>614</v>
      </c>
      <c r="F92" s="713"/>
      <c r="G92" s="713"/>
      <c r="I92" s="713"/>
      <c r="J92" s="68" t="s">
        <v>433</v>
      </c>
      <c r="K92" s="68"/>
      <c r="L92" s="68"/>
      <c r="M92" s="714"/>
      <c r="N92" s="1187"/>
      <c r="O92" s="2027">
        <f>1385000/'III. Inputs, Renewable Energy'!U19</f>
        <v>1010948.905109489</v>
      </c>
      <c r="P92" s="2028">
        <f>1530000/1.37</f>
        <v>1116788.3211678832</v>
      </c>
      <c r="Q92" s="1187"/>
      <c r="R92" s="714"/>
      <c r="S92" s="714"/>
      <c r="T92" s="714"/>
      <c r="U92" s="714"/>
      <c r="V92" s="714"/>
      <c r="W92" s="714"/>
      <c r="X92" s="714"/>
      <c r="Y92" s="714"/>
      <c r="Z92" s="714"/>
      <c r="AA92" s="714"/>
      <c r="AB92" s="714"/>
      <c r="AC92" s="714"/>
      <c r="AD92" s="714"/>
      <c r="AE92" s="714"/>
      <c r="AF92" s="714"/>
      <c r="AG92" s="714"/>
      <c r="AH92" s="714"/>
      <c r="AI92" s="714"/>
      <c r="AJ92" s="714"/>
      <c r="AK92" s="714"/>
      <c r="AL92" s="714"/>
      <c r="AM92" s="714"/>
      <c r="AN92" s="714"/>
      <c r="AO92" s="714"/>
      <c r="AP92" s="715"/>
      <c r="AQ92" s="716"/>
      <c r="AR92" s="708"/>
      <c r="AS92" s="708"/>
    </row>
    <row r="93" spans="1:45" s="712" customFormat="1" ht="12.75" customHeight="1" x14ac:dyDescent="0.25">
      <c r="A93" s="711"/>
      <c r="B93" s="708"/>
      <c r="C93" s="708"/>
      <c r="F93" s="713"/>
      <c r="G93" s="713"/>
      <c r="H93" s="713"/>
      <c r="I93" s="713"/>
      <c r="J93" s="714"/>
      <c r="K93" s="714"/>
      <c r="L93" s="714"/>
      <c r="M93" s="714"/>
      <c r="N93" s="1187"/>
      <c r="O93" s="1187"/>
      <c r="P93" s="1187"/>
      <c r="Q93" s="1187"/>
      <c r="R93" s="714"/>
      <c r="S93" s="714"/>
      <c r="T93" s="714"/>
      <c r="U93" s="714"/>
      <c r="V93" s="714"/>
      <c r="W93" s="714"/>
      <c r="X93" s="714"/>
      <c r="Y93" s="714"/>
      <c r="Z93" s="714"/>
      <c r="AA93" s="714"/>
      <c r="AB93" s="714"/>
      <c r="AC93" s="714"/>
      <c r="AD93" s="714"/>
      <c r="AE93" s="714"/>
      <c r="AF93" s="714"/>
      <c r="AG93" s="714"/>
      <c r="AH93" s="714"/>
      <c r="AI93" s="714"/>
      <c r="AJ93" s="714"/>
      <c r="AK93" s="714"/>
      <c r="AL93" s="714"/>
      <c r="AM93" s="714"/>
      <c r="AN93" s="714"/>
      <c r="AO93" s="714"/>
      <c r="AP93" s="715"/>
      <c r="AQ93" s="716"/>
      <c r="AR93" s="708"/>
      <c r="AS93" s="708"/>
    </row>
    <row r="94" spans="1:45" s="712" customFormat="1" ht="12.75" customHeight="1" x14ac:dyDescent="0.25">
      <c r="A94" s="711"/>
      <c r="B94" s="708"/>
      <c r="C94" s="708"/>
      <c r="F94" s="713"/>
      <c r="G94" s="713"/>
      <c r="H94" s="713"/>
      <c r="I94" s="713"/>
      <c r="J94" s="714"/>
      <c r="K94" s="714"/>
      <c r="L94" s="714"/>
      <c r="M94" s="714"/>
      <c r="N94" s="1187"/>
      <c r="O94" s="1187"/>
      <c r="P94" s="1187"/>
      <c r="Q94" s="1187"/>
      <c r="R94" s="714"/>
      <c r="S94" s="714"/>
      <c r="T94" s="714"/>
      <c r="U94" s="714"/>
      <c r="V94" s="714"/>
      <c r="W94" s="714"/>
      <c r="X94" s="714"/>
      <c r="Y94" s="714"/>
      <c r="Z94" s="714"/>
      <c r="AA94" s="714"/>
      <c r="AB94" s="714"/>
      <c r="AC94" s="714"/>
      <c r="AD94" s="714"/>
      <c r="AE94" s="714"/>
      <c r="AF94" s="714"/>
      <c r="AG94" s="714"/>
      <c r="AH94" s="714"/>
      <c r="AI94" s="714"/>
      <c r="AJ94" s="714"/>
      <c r="AK94" s="714"/>
      <c r="AL94" s="714"/>
      <c r="AM94" s="714"/>
      <c r="AN94" s="714"/>
      <c r="AO94" s="714"/>
      <c r="AP94" s="715"/>
      <c r="AQ94" s="716"/>
      <c r="AR94" s="708"/>
      <c r="AS94" s="708"/>
    </row>
    <row r="95" spans="1:45" s="712" customFormat="1" ht="12.75" customHeight="1" x14ac:dyDescent="0.25">
      <c r="A95" s="711"/>
      <c r="B95" s="52" t="s">
        <v>615</v>
      </c>
      <c r="C95" s="21"/>
      <c r="D95" s="21"/>
      <c r="E95" s="21"/>
      <c r="F95" s="21"/>
      <c r="G95" s="21"/>
      <c r="H95" s="21"/>
      <c r="I95" s="21"/>
      <c r="J95" s="22"/>
      <c r="K95" s="22"/>
      <c r="L95" s="22"/>
      <c r="M95" s="22"/>
      <c r="N95" s="22"/>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715"/>
      <c r="AQ95" s="716"/>
      <c r="AR95" s="708"/>
      <c r="AS95" s="708"/>
    </row>
    <row r="96" spans="1:45" s="712" customFormat="1" ht="12.75" customHeight="1" x14ac:dyDescent="0.25">
      <c r="A96" s="711"/>
      <c r="B96" s="8"/>
      <c r="C96" s="8"/>
      <c r="D96" s="8"/>
      <c r="E96" s="8"/>
      <c r="F96" s="8"/>
      <c r="G96" s="8"/>
      <c r="H96" s="8"/>
      <c r="I96" s="11"/>
      <c r="J96" s="1147"/>
      <c r="K96" s="1147"/>
      <c r="L96" s="1147"/>
      <c r="M96" s="1147"/>
      <c r="N96" s="1208"/>
      <c r="O96" s="1208"/>
      <c r="P96" s="40"/>
      <c r="Q96" s="8"/>
      <c r="R96" s="8"/>
      <c r="S96" s="8"/>
      <c r="T96" s="8"/>
      <c r="U96" s="8"/>
      <c r="V96" s="714"/>
      <c r="W96" s="714"/>
      <c r="X96" s="714"/>
      <c r="Y96" s="714"/>
      <c r="Z96" s="714"/>
      <c r="AA96" s="714"/>
      <c r="AB96" s="714"/>
      <c r="AC96" s="714"/>
      <c r="AD96" s="714"/>
      <c r="AE96" s="714"/>
      <c r="AF96" s="714"/>
      <c r="AG96" s="714"/>
      <c r="AH96" s="714"/>
      <c r="AI96" s="714"/>
      <c r="AJ96" s="714"/>
      <c r="AK96" s="714"/>
      <c r="AL96" s="714"/>
      <c r="AM96" s="714"/>
      <c r="AN96" s="714"/>
      <c r="AO96" s="714"/>
      <c r="AP96" s="715"/>
      <c r="AQ96" s="716"/>
      <c r="AR96" s="708"/>
      <c r="AS96" s="708"/>
    </row>
    <row r="97" spans="1:45" s="712" customFormat="1" ht="12.75" customHeight="1" x14ac:dyDescent="0.25">
      <c r="A97" s="711"/>
      <c r="B97" s="8"/>
      <c r="C97" s="8"/>
      <c r="D97" s="8"/>
      <c r="E97" s="8"/>
      <c r="F97" s="8"/>
      <c r="G97" s="8"/>
      <c r="H97" s="8"/>
      <c r="I97" s="11"/>
      <c r="J97" s="1147"/>
      <c r="K97" s="1147"/>
      <c r="L97" s="1147"/>
      <c r="M97" s="1147"/>
      <c r="N97" s="1208"/>
      <c r="O97" s="1208"/>
      <c r="P97" s="40"/>
      <c r="Q97" s="8"/>
      <c r="R97" s="8"/>
      <c r="S97" s="8"/>
      <c r="T97" s="8"/>
      <c r="U97" s="8"/>
      <c r="V97" s="714"/>
      <c r="W97" s="714"/>
      <c r="X97" s="714"/>
      <c r="Y97" s="714"/>
      <c r="Z97" s="714"/>
      <c r="AA97" s="714"/>
      <c r="AB97" s="714"/>
      <c r="AC97" s="714"/>
      <c r="AD97" s="714"/>
      <c r="AE97" s="714"/>
      <c r="AF97" s="714"/>
      <c r="AG97" s="714"/>
      <c r="AH97" s="714"/>
      <c r="AI97" s="714"/>
      <c r="AJ97" s="714"/>
      <c r="AK97" s="714"/>
      <c r="AL97" s="714"/>
      <c r="AM97" s="714"/>
      <c r="AN97" s="714"/>
      <c r="AO97" s="714"/>
      <c r="AP97" s="715"/>
      <c r="AQ97" s="716"/>
      <c r="AR97" s="708"/>
      <c r="AS97" s="708"/>
    </row>
    <row r="98" spans="1:45" s="712" customFormat="1" ht="12.75" customHeight="1" x14ac:dyDescent="0.25">
      <c r="A98" s="711"/>
      <c r="B98" s="8"/>
      <c r="C98" s="8"/>
      <c r="D98" s="8"/>
      <c r="E98" s="8"/>
      <c r="F98" s="8"/>
      <c r="G98" s="8"/>
      <c r="H98" s="8"/>
      <c r="I98" s="8"/>
      <c r="J98" s="1146"/>
      <c r="K98" s="1146"/>
      <c r="L98" s="1146"/>
      <c r="M98" s="1146"/>
      <c r="N98" s="1621" t="s">
        <v>483</v>
      </c>
      <c r="O98" s="1622"/>
      <c r="P98" s="1622"/>
      <c r="Q98" s="1623"/>
      <c r="R98" s="8"/>
      <c r="S98" s="8"/>
      <c r="T98" s="8"/>
      <c r="U98" s="8"/>
      <c r="V98" s="714"/>
      <c r="W98" s="714"/>
      <c r="X98" s="714"/>
      <c r="Y98" s="714"/>
      <c r="Z98" s="714"/>
      <c r="AA98" s="714"/>
      <c r="AB98" s="714"/>
      <c r="AC98" s="714"/>
      <c r="AD98" s="714"/>
      <c r="AE98" s="714"/>
      <c r="AF98" s="714"/>
      <c r="AG98" s="714"/>
      <c r="AH98" s="714"/>
      <c r="AI98" s="714"/>
      <c r="AJ98" s="714"/>
      <c r="AK98" s="714"/>
      <c r="AL98" s="714"/>
      <c r="AM98" s="714"/>
      <c r="AN98" s="714"/>
      <c r="AO98" s="714"/>
      <c r="AP98" s="715"/>
      <c r="AQ98" s="716"/>
      <c r="AR98" s="708"/>
      <c r="AS98" s="708"/>
    </row>
    <row r="99" spans="1:45" s="712" customFormat="1" ht="12.75" customHeight="1" x14ac:dyDescent="0.25">
      <c r="A99" s="711"/>
      <c r="B99" s="8"/>
      <c r="C99" s="8"/>
      <c r="D99" s="8"/>
      <c r="E99" s="8"/>
      <c r="F99" s="8"/>
      <c r="G99" s="8"/>
      <c r="H99" s="8"/>
      <c r="I99" s="8"/>
      <c r="J99" s="1146"/>
      <c r="K99" s="1146"/>
      <c r="L99" s="1146"/>
      <c r="M99" s="1146"/>
      <c r="N99" s="1577" t="s">
        <v>201</v>
      </c>
      <c r="O99" s="1578"/>
      <c r="P99" s="1579" t="s">
        <v>202</v>
      </c>
      <c r="Q99" s="1580"/>
      <c r="R99" s="8"/>
      <c r="S99" s="8"/>
      <c r="T99" s="8"/>
      <c r="U99" s="8"/>
      <c r="V99" s="714"/>
      <c r="W99" s="714"/>
      <c r="X99" s="714"/>
      <c r="Y99" s="714"/>
      <c r="Z99" s="714"/>
      <c r="AA99" s="714"/>
      <c r="AB99" s="714"/>
      <c r="AC99" s="714"/>
      <c r="AD99" s="714"/>
      <c r="AE99" s="714"/>
      <c r="AF99" s="714"/>
      <c r="AG99" s="714"/>
      <c r="AH99" s="714"/>
      <c r="AI99" s="714"/>
      <c r="AJ99" s="714"/>
      <c r="AK99" s="714"/>
      <c r="AL99" s="714"/>
      <c r="AM99" s="714"/>
      <c r="AN99" s="714"/>
      <c r="AO99" s="714"/>
      <c r="AP99" s="715"/>
      <c r="AQ99" s="716"/>
      <c r="AR99" s="708"/>
      <c r="AS99" s="708"/>
    </row>
    <row r="100" spans="1:45" s="712" customFormat="1" ht="12.75" customHeight="1" x14ac:dyDescent="0.25">
      <c r="A100" s="711"/>
      <c r="C100" s="11" t="s">
        <v>484</v>
      </c>
      <c r="E100" s="11"/>
      <c r="F100" s="11"/>
      <c r="G100" s="11"/>
      <c r="H100" s="11"/>
      <c r="I100" s="11"/>
      <c r="J100" s="1147" t="s">
        <v>435</v>
      </c>
      <c r="K100" s="1147"/>
      <c r="L100" s="1147"/>
      <c r="M100" s="1147"/>
      <c r="N100" s="1638">
        <v>8.4970898392287705E-2</v>
      </c>
      <c r="O100" s="1639"/>
      <c r="P100" s="1640">
        <v>6.5827126764701052E-2</v>
      </c>
      <c r="Q100" s="1641"/>
      <c r="R100" s="8"/>
      <c r="S100" s="8"/>
      <c r="T100" s="8"/>
      <c r="U100" s="8"/>
      <c r="V100" s="714"/>
      <c r="W100" s="714"/>
      <c r="X100" s="714"/>
      <c r="Y100" s="714"/>
      <c r="Z100" s="714"/>
      <c r="AA100" s="714"/>
      <c r="AB100" s="714"/>
      <c r="AC100" s="714"/>
      <c r="AD100" s="714"/>
      <c r="AE100" s="714"/>
      <c r="AF100" s="714"/>
      <c r="AG100" s="714"/>
      <c r="AH100" s="714"/>
      <c r="AI100" s="714"/>
      <c r="AJ100" s="714"/>
      <c r="AK100" s="714"/>
      <c r="AL100" s="714"/>
      <c r="AM100" s="714"/>
      <c r="AN100" s="714"/>
      <c r="AO100" s="714"/>
      <c r="AP100" s="715"/>
      <c r="AQ100" s="716"/>
      <c r="AR100" s="708"/>
      <c r="AS100" s="708"/>
    </row>
    <row r="101" spans="1:45" s="712" customFormat="1" ht="12.75" customHeight="1" x14ac:dyDescent="0.25">
      <c r="A101" s="711"/>
      <c r="D101" s="8" t="s">
        <v>485</v>
      </c>
      <c r="F101" s="11"/>
      <c r="G101" s="11"/>
      <c r="H101" s="11"/>
      <c r="I101" s="11"/>
      <c r="J101" s="1146" t="s">
        <v>435</v>
      </c>
      <c r="K101" s="1146"/>
      <c r="L101" s="1146"/>
      <c r="M101" s="1147"/>
      <c r="N101" s="1536">
        <v>7.8740991317972825E-2</v>
      </c>
      <c r="O101" s="2034"/>
      <c r="P101" s="1541">
        <v>6.1001055713028871E-2</v>
      </c>
      <c r="Q101" s="2035"/>
      <c r="R101" s="8"/>
      <c r="S101" s="8"/>
      <c r="T101" s="8"/>
      <c r="U101" s="8"/>
      <c r="V101" s="714"/>
      <c r="W101" s="714"/>
      <c r="X101" s="714"/>
      <c r="Y101" s="714"/>
      <c r="Z101" s="714"/>
      <c r="AA101" s="714"/>
      <c r="AB101" s="714"/>
      <c r="AC101" s="714"/>
      <c r="AD101" s="714"/>
      <c r="AE101" s="714"/>
      <c r="AF101" s="714"/>
      <c r="AG101" s="714"/>
      <c r="AH101" s="714"/>
      <c r="AI101" s="714"/>
      <c r="AJ101" s="714"/>
      <c r="AK101" s="714"/>
      <c r="AL101" s="714"/>
      <c r="AM101" s="714"/>
      <c r="AN101" s="714"/>
      <c r="AO101" s="714"/>
      <c r="AP101" s="715"/>
      <c r="AQ101" s="716"/>
      <c r="AR101" s="708"/>
      <c r="AS101" s="708"/>
    </row>
    <row r="102" spans="1:45" s="712" customFormat="1" ht="12.75" customHeight="1" x14ac:dyDescent="0.25">
      <c r="A102" s="711"/>
      <c r="D102" s="8" t="s">
        <v>521</v>
      </c>
      <c r="F102" s="11"/>
      <c r="G102" s="11"/>
      <c r="H102" s="11"/>
      <c r="I102" s="11"/>
      <c r="J102" s="1146" t="s">
        <v>435</v>
      </c>
      <c r="K102" s="1146"/>
      <c r="L102" s="1146"/>
      <c r="M102" s="1147"/>
      <c r="N102" s="2029">
        <v>6.2299070743148839E-3</v>
      </c>
      <c r="O102" s="2036"/>
      <c r="P102" s="2031">
        <v>4.8260710516721782E-3</v>
      </c>
      <c r="Q102" s="2033"/>
      <c r="R102" s="8"/>
      <c r="S102" s="8"/>
      <c r="T102" s="8"/>
      <c r="U102" s="8"/>
      <c r="V102" s="714"/>
      <c r="W102" s="714"/>
      <c r="X102" s="714"/>
      <c r="Y102" s="714"/>
      <c r="Z102" s="714"/>
      <c r="AA102" s="714"/>
      <c r="AB102" s="714"/>
      <c r="AC102" s="714"/>
      <c r="AD102" s="714"/>
      <c r="AE102" s="714"/>
      <c r="AF102" s="714"/>
      <c r="AG102" s="714"/>
      <c r="AH102" s="714"/>
      <c r="AI102" s="714"/>
      <c r="AJ102" s="714"/>
      <c r="AK102" s="714"/>
      <c r="AL102" s="714"/>
      <c r="AM102" s="714"/>
      <c r="AN102" s="714"/>
      <c r="AO102" s="714"/>
      <c r="AP102" s="715"/>
      <c r="AQ102" s="716"/>
      <c r="AR102" s="708"/>
      <c r="AS102" s="708"/>
    </row>
    <row r="103" spans="1:45" s="712" customFormat="1" ht="12.75" customHeight="1" x14ac:dyDescent="0.25">
      <c r="A103" s="711"/>
      <c r="B103" s="8"/>
      <c r="C103" s="8"/>
      <c r="D103" s="8"/>
      <c r="E103" s="8"/>
      <c r="F103" s="8"/>
      <c r="G103" s="8"/>
      <c r="H103" s="8"/>
      <c r="I103" s="11"/>
      <c r="J103" s="1147"/>
      <c r="K103" s="1147"/>
      <c r="L103" s="1147"/>
      <c r="M103" s="1147"/>
      <c r="N103" s="1208"/>
      <c r="O103" s="1208"/>
      <c r="P103" s="40"/>
      <c r="Q103" s="8"/>
      <c r="R103" s="8"/>
      <c r="S103" s="8"/>
      <c r="T103" s="8"/>
      <c r="U103" s="8"/>
      <c r="V103" s="714"/>
      <c r="W103" s="714"/>
      <c r="X103" s="714"/>
      <c r="Y103" s="714"/>
      <c r="Z103" s="714"/>
      <c r="AA103" s="714"/>
      <c r="AB103" s="714"/>
      <c r="AC103" s="714"/>
      <c r="AD103" s="714"/>
      <c r="AE103" s="714"/>
      <c r="AF103" s="714"/>
      <c r="AG103" s="714"/>
      <c r="AH103" s="714"/>
      <c r="AI103" s="714"/>
      <c r="AJ103" s="714"/>
      <c r="AK103" s="714"/>
      <c r="AL103" s="714"/>
      <c r="AM103" s="714"/>
      <c r="AN103" s="714"/>
      <c r="AO103" s="714"/>
      <c r="AP103" s="715"/>
      <c r="AQ103" s="716"/>
      <c r="AR103" s="708"/>
      <c r="AS103" s="708"/>
    </row>
    <row r="104" spans="1:45" s="712" customFormat="1" ht="12.75" customHeight="1" x14ac:dyDescent="0.25">
      <c r="A104" s="711"/>
      <c r="B104" s="8"/>
      <c r="C104" s="8"/>
      <c r="D104" s="8"/>
      <c r="E104" s="8"/>
      <c r="F104" s="8"/>
      <c r="G104" s="8"/>
      <c r="H104" s="8"/>
      <c r="I104" s="11"/>
      <c r="J104" s="1147"/>
      <c r="K104" s="1147"/>
      <c r="L104" s="1147"/>
      <c r="M104" s="1147"/>
      <c r="N104" s="1208"/>
      <c r="O104" s="1208"/>
      <c r="P104" s="40"/>
      <c r="Q104" s="8"/>
      <c r="R104" s="8"/>
      <c r="S104" s="8"/>
      <c r="T104" s="8"/>
      <c r="U104" s="8"/>
      <c r="V104" s="714"/>
      <c r="W104" s="714"/>
      <c r="X104" s="714"/>
      <c r="Y104" s="714"/>
      <c r="Z104" s="714"/>
      <c r="AA104" s="714"/>
      <c r="AB104" s="714"/>
      <c r="AC104" s="714"/>
      <c r="AD104" s="714"/>
      <c r="AE104" s="714"/>
      <c r="AF104" s="714"/>
      <c r="AG104" s="714"/>
      <c r="AH104" s="714"/>
      <c r="AI104" s="714"/>
      <c r="AJ104" s="714"/>
      <c r="AK104" s="714"/>
      <c r="AL104" s="714"/>
      <c r="AM104" s="714"/>
      <c r="AN104" s="714"/>
      <c r="AO104" s="714"/>
      <c r="AP104" s="715"/>
      <c r="AQ104" s="716"/>
      <c r="AR104" s="708"/>
      <c r="AS104" s="708"/>
    </row>
    <row r="105" spans="1:45" s="712" customFormat="1" ht="12.75" customHeight="1" x14ac:dyDescent="0.25">
      <c r="A105" s="711"/>
      <c r="B105" s="8"/>
      <c r="C105" s="8"/>
      <c r="D105" s="8"/>
      <c r="E105" s="8"/>
      <c r="F105" s="8"/>
      <c r="G105" s="8"/>
      <c r="H105" s="8"/>
      <c r="I105" s="8"/>
      <c r="J105" s="1147"/>
      <c r="K105" s="1147"/>
      <c r="L105" s="1147"/>
      <c r="M105" s="1147"/>
      <c r="N105" s="1574" t="s">
        <v>483</v>
      </c>
      <c r="O105" s="1575"/>
      <c r="P105" s="1575"/>
      <c r="Q105" s="1576"/>
      <c r="R105" s="8"/>
      <c r="S105" s="8"/>
      <c r="T105" s="8"/>
      <c r="U105" s="8"/>
      <c r="V105" s="714"/>
      <c r="W105" s="714"/>
      <c r="X105" s="714"/>
      <c r="Y105" s="714"/>
      <c r="Z105" s="714"/>
      <c r="AA105" s="714"/>
      <c r="AB105" s="714"/>
      <c r="AC105" s="714"/>
      <c r="AD105" s="714"/>
      <c r="AE105" s="714"/>
      <c r="AF105" s="714"/>
      <c r="AG105" s="714"/>
      <c r="AH105" s="714"/>
      <c r="AI105" s="714"/>
      <c r="AJ105" s="714"/>
      <c r="AK105" s="714"/>
      <c r="AL105" s="714"/>
      <c r="AM105" s="714"/>
      <c r="AN105" s="714"/>
      <c r="AO105" s="714"/>
      <c r="AP105" s="715"/>
      <c r="AQ105" s="716"/>
      <c r="AR105" s="708"/>
      <c r="AS105" s="708"/>
    </row>
    <row r="106" spans="1:45" s="712" customFormat="1" ht="12.75" customHeight="1" x14ac:dyDescent="0.25">
      <c r="A106" s="711"/>
      <c r="B106" s="8"/>
      <c r="C106" s="11"/>
      <c r="D106" s="11"/>
      <c r="E106" s="11"/>
      <c r="F106" s="11"/>
      <c r="G106" s="11"/>
      <c r="H106" s="11"/>
      <c r="I106" s="8"/>
      <c r="J106" s="1147"/>
      <c r="K106" s="1147"/>
      <c r="L106" s="1147"/>
      <c r="M106" s="1147"/>
      <c r="N106" s="1577" t="s">
        <v>201</v>
      </c>
      <c r="O106" s="1578"/>
      <c r="P106" s="1579" t="s">
        <v>202</v>
      </c>
      <c r="Q106" s="1580"/>
      <c r="R106" s="8"/>
      <c r="S106" s="8"/>
      <c r="T106" s="8"/>
      <c r="U106" s="8"/>
      <c r="V106" s="714"/>
      <c r="W106" s="714"/>
      <c r="X106" s="714"/>
      <c r="Y106" s="714"/>
      <c r="Z106" s="714"/>
      <c r="AA106" s="714"/>
      <c r="AB106" s="714"/>
      <c r="AC106" s="714"/>
      <c r="AD106" s="714"/>
      <c r="AE106" s="714"/>
      <c r="AF106" s="714"/>
      <c r="AG106" s="714"/>
      <c r="AH106" s="714"/>
      <c r="AI106" s="714"/>
      <c r="AJ106" s="714"/>
      <c r="AK106" s="714"/>
      <c r="AL106" s="714"/>
      <c r="AM106" s="714"/>
      <c r="AN106" s="714"/>
      <c r="AO106" s="714"/>
      <c r="AP106" s="715"/>
      <c r="AQ106" s="716"/>
      <c r="AR106" s="708"/>
      <c r="AS106" s="708"/>
    </row>
    <row r="107" spans="1:45" s="712" customFormat="1" ht="12.75" customHeight="1" x14ac:dyDescent="0.25">
      <c r="A107" s="711"/>
      <c r="B107" s="8"/>
      <c r="C107" s="11" t="s">
        <v>146</v>
      </c>
      <c r="D107" s="11"/>
      <c r="E107" s="11"/>
      <c r="F107" s="11"/>
      <c r="G107" s="11"/>
      <c r="H107" s="11"/>
      <c r="I107" s="8"/>
      <c r="J107" s="1147"/>
      <c r="K107" s="1147"/>
      <c r="L107" s="1147"/>
      <c r="M107" s="1147"/>
      <c r="N107" s="1587"/>
      <c r="O107" s="1588"/>
      <c r="P107" s="1583"/>
      <c r="Q107" s="1584"/>
      <c r="R107" s="8"/>
      <c r="S107" s="8"/>
      <c r="T107" s="8"/>
      <c r="U107" s="8"/>
      <c r="V107" s="714"/>
      <c r="W107" s="714"/>
      <c r="X107" s="714"/>
      <c r="Y107" s="714"/>
      <c r="Z107" s="714"/>
      <c r="AA107" s="714"/>
      <c r="AB107" s="714"/>
      <c r="AC107" s="714"/>
      <c r="AD107" s="714"/>
      <c r="AE107" s="714"/>
      <c r="AF107" s="714"/>
      <c r="AG107" s="714"/>
      <c r="AH107" s="714"/>
      <c r="AI107" s="714"/>
      <c r="AJ107" s="714"/>
      <c r="AK107" s="714"/>
      <c r="AL107" s="714"/>
      <c r="AM107" s="714"/>
      <c r="AN107" s="714"/>
      <c r="AO107" s="714"/>
      <c r="AP107" s="715"/>
      <c r="AQ107" s="716"/>
      <c r="AR107" s="708"/>
      <c r="AS107" s="708"/>
    </row>
    <row r="108" spans="1:45" s="712" customFormat="1" ht="12.75" customHeight="1" x14ac:dyDescent="0.25">
      <c r="A108" s="711"/>
      <c r="B108" s="8"/>
      <c r="C108" s="11"/>
      <c r="D108" s="11" t="s">
        <v>246</v>
      </c>
      <c r="E108" s="11"/>
      <c r="F108" s="11"/>
      <c r="G108" s="11"/>
      <c r="H108" s="11"/>
      <c r="I108" s="8"/>
      <c r="J108" s="1147"/>
      <c r="K108" s="1147"/>
      <c r="L108" s="1147"/>
      <c r="M108" s="1147"/>
      <c r="N108" s="1585">
        <v>1.9540168642770761</v>
      </c>
      <c r="O108" s="1586"/>
      <c r="P108" s="1581">
        <v>3.5376293202884299</v>
      </c>
      <c r="Q108" s="1582"/>
      <c r="R108" s="8"/>
      <c r="S108" s="8"/>
      <c r="T108" s="8"/>
      <c r="U108" s="8"/>
      <c r="V108" s="714"/>
      <c r="W108" s="714"/>
      <c r="X108" s="714"/>
      <c r="Y108" s="714"/>
      <c r="Z108" s="714"/>
      <c r="AA108" s="714"/>
      <c r="AB108" s="714"/>
      <c r="AC108" s="714"/>
      <c r="AD108" s="714"/>
      <c r="AE108" s="714"/>
      <c r="AF108" s="714"/>
      <c r="AG108" s="714"/>
      <c r="AH108" s="714"/>
      <c r="AI108" s="714"/>
      <c r="AJ108" s="714"/>
      <c r="AK108" s="714"/>
      <c r="AL108" s="714"/>
      <c r="AM108" s="714"/>
      <c r="AN108" s="714"/>
      <c r="AO108" s="714"/>
      <c r="AP108" s="715"/>
      <c r="AQ108" s="716"/>
      <c r="AR108" s="708"/>
      <c r="AS108" s="708"/>
    </row>
    <row r="109" spans="1:45" s="712" customFormat="1" ht="12.75" customHeight="1" x14ac:dyDescent="0.25">
      <c r="A109" s="711"/>
      <c r="B109" s="8"/>
      <c r="C109" s="8"/>
      <c r="D109" s="8" t="s">
        <v>490</v>
      </c>
      <c r="E109" s="8"/>
      <c r="F109" s="8"/>
      <c r="G109" s="8"/>
      <c r="H109" s="8"/>
      <c r="I109" s="8"/>
      <c r="J109" s="1146" t="s">
        <v>437</v>
      </c>
      <c r="K109" s="1146"/>
      <c r="L109" s="1146"/>
      <c r="M109" s="1146"/>
      <c r="N109" s="1547">
        <v>802938394.16058385</v>
      </c>
      <c r="O109" s="1548"/>
      <c r="P109" s="1572">
        <v>802938394.16058385</v>
      </c>
      <c r="Q109" s="1573"/>
      <c r="R109" s="8"/>
      <c r="S109" s="8"/>
      <c r="T109" s="8"/>
      <c r="U109" s="8"/>
      <c r="V109" s="714"/>
      <c r="W109" s="714"/>
      <c r="X109" s="714"/>
      <c r="Y109" s="714"/>
      <c r="Z109" s="714"/>
      <c r="AA109" s="714"/>
      <c r="AB109" s="714"/>
      <c r="AC109" s="714"/>
      <c r="AD109" s="714"/>
      <c r="AE109" s="714"/>
      <c r="AF109" s="714"/>
      <c r="AG109" s="714"/>
      <c r="AH109" s="714"/>
      <c r="AI109" s="714"/>
      <c r="AJ109" s="714"/>
      <c r="AK109" s="714"/>
      <c r="AL109" s="714"/>
      <c r="AM109" s="714"/>
      <c r="AN109" s="714"/>
      <c r="AO109" s="714"/>
      <c r="AP109" s="715"/>
      <c r="AQ109" s="716"/>
      <c r="AR109" s="708"/>
      <c r="AS109" s="708"/>
    </row>
    <row r="110" spans="1:45" s="712" customFormat="1" ht="12.75" customHeight="1" x14ac:dyDescent="0.25">
      <c r="A110" s="711"/>
      <c r="B110" s="8"/>
      <c r="C110" s="8"/>
      <c r="D110" s="1145" t="s">
        <v>563</v>
      </c>
      <c r="E110" s="8"/>
      <c r="F110" s="8"/>
      <c r="G110" s="8"/>
      <c r="H110" s="8"/>
      <c r="I110" s="8"/>
      <c r="J110" s="1146" t="s">
        <v>437</v>
      </c>
      <c r="K110" s="1146"/>
      <c r="L110" s="1146"/>
      <c r="M110" s="1146"/>
      <c r="N110" s="1547">
        <v>410140754.62935531</v>
      </c>
      <c r="O110" s="1548"/>
      <c r="P110" s="1572">
        <v>101790632.73221382</v>
      </c>
      <c r="Q110" s="1573"/>
      <c r="R110" s="8"/>
      <c r="S110" s="8"/>
      <c r="T110" s="8"/>
      <c r="U110" s="8"/>
      <c r="V110" s="714"/>
      <c r="W110" s="714"/>
      <c r="X110" s="714"/>
      <c r="Y110" s="714"/>
      <c r="Z110" s="714"/>
      <c r="AA110" s="714"/>
      <c r="AB110" s="714"/>
      <c r="AC110" s="714"/>
      <c r="AD110" s="714"/>
      <c r="AE110" s="714"/>
      <c r="AF110" s="714"/>
      <c r="AG110" s="714"/>
      <c r="AH110" s="714"/>
      <c r="AI110" s="714"/>
      <c r="AJ110" s="714"/>
      <c r="AK110" s="714"/>
      <c r="AL110" s="714"/>
      <c r="AM110" s="714"/>
      <c r="AN110" s="714"/>
      <c r="AO110" s="714"/>
      <c r="AP110" s="715"/>
      <c r="AQ110" s="716"/>
      <c r="AR110" s="708"/>
      <c r="AS110" s="708"/>
    </row>
    <row r="111" spans="1:45" s="712" customFormat="1" ht="12.75" customHeight="1" x14ac:dyDescent="0.25">
      <c r="A111" s="711"/>
      <c r="B111" s="8"/>
      <c r="C111" s="8"/>
      <c r="D111" s="8" t="s">
        <v>307</v>
      </c>
      <c r="E111" s="8"/>
      <c r="F111" s="8"/>
      <c r="G111" s="8"/>
      <c r="H111" s="8"/>
      <c r="I111" s="8"/>
      <c r="J111" s="1146" t="s">
        <v>437</v>
      </c>
      <c r="K111" s="1146"/>
      <c r="L111" s="1146"/>
      <c r="M111" s="1146"/>
      <c r="N111" s="1547">
        <v>0</v>
      </c>
      <c r="O111" s="1548"/>
      <c r="P111" s="1572">
        <v>120791341.18432425</v>
      </c>
      <c r="Q111" s="1573"/>
      <c r="R111" s="8"/>
      <c r="S111" s="8"/>
      <c r="T111" s="8"/>
      <c r="U111" s="8"/>
      <c r="V111" s="714"/>
      <c r="W111" s="714"/>
      <c r="X111" s="714"/>
      <c r="Y111" s="714"/>
      <c r="Z111" s="714"/>
      <c r="AA111" s="714"/>
      <c r="AB111" s="714"/>
      <c r="AC111" s="714"/>
      <c r="AD111" s="714"/>
      <c r="AE111" s="714"/>
      <c r="AF111" s="714"/>
      <c r="AG111" s="714"/>
      <c r="AH111" s="714"/>
      <c r="AI111" s="714"/>
      <c r="AJ111" s="714"/>
      <c r="AK111" s="714"/>
      <c r="AL111" s="714"/>
      <c r="AM111" s="714"/>
      <c r="AN111" s="714"/>
      <c r="AO111" s="714"/>
      <c r="AP111" s="715"/>
      <c r="AQ111" s="716"/>
      <c r="AR111" s="708"/>
      <c r="AS111" s="708"/>
    </row>
    <row r="112" spans="1:45" s="712" customFormat="1" ht="12.75" customHeight="1" x14ac:dyDescent="0.25">
      <c r="A112" s="711"/>
      <c r="B112" s="8"/>
      <c r="C112" s="8"/>
      <c r="D112" s="8" t="s">
        <v>306</v>
      </c>
      <c r="E112" s="8"/>
      <c r="F112" s="8"/>
      <c r="G112" s="8"/>
      <c r="H112" s="8"/>
      <c r="I112" s="8"/>
      <c r="J112" s="1146" t="s">
        <v>437</v>
      </c>
      <c r="K112" s="1146"/>
      <c r="L112" s="1146"/>
      <c r="M112" s="1146"/>
      <c r="N112" s="1547">
        <v>776064.38062053395</v>
      </c>
      <c r="O112" s="1548"/>
      <c r="P112" s="1572">
        <v>4388780.0727800559</v>
      </c>
      <c r="Q112" s="1573"/>
      <c r="R112" s="8"/>
      <c r="S112" s="8"/>
      <c r="T112" s="8"/>
      <c r="U112" s="8"/>
      <c r="V112" s="714"/>
      <c r="W112" s="714"/>
      <c r="X112" s="714"/>
      <c r="Y112" s="714"/>
      <c r="Z112" s="714"/>
      <c r="AA112" s="714"/>
      <c r="AB112" s="714"/>
      <c r="AC112" s="714"/>
      <c r="AD112" s="714"/>
      <c r="AE112" s="714"/>
      <c r="AF112" s="714"/>
      <c r="AG112" s="714"/>
      <c r="AH112" s="714"/>
      <c r="AI112" s="714"/>
      <c r="AJ112" s="714"/>
      <c r="AK112" s="714"/>
      <c r="AL112" s="714"/>
      <c r="AM112" s="714"/>
      <c r="AN112" s="714"/>
      <c r="AO112" s="714"/>
      <c r="AP112" s="715"/>
      <c r="AQ112" s="716"/>
      <c r="AR112" s="708"/>
      <c r="AS112" s="708"/>
    </row>
    <row r="113" spans="1:45" s="712" customFormat="1" ht="12.75" customHeight="1" x14ac:dyDescent="0.25">
      <c r="A113" s="711"/>
      <c r="B113" s="8"/>
      <c r="C113" s="8"/>
      <c r="D113" s="8"/>
      <c r="E113" s="8"/>
      <c r="F113" s="8"/>
      <c r="G113" s="8"/>
      <c r="H113" s="8"/>
      <c r="I113" s="8"/>
      <c r="J113" s="1146"/>
      <c r="K113" s="1146"/>
      <c r="L113" s="1146"/>
      <c r="M113" s="1146"/>
      <c r="N113" s="1417"/>
      <c r="O113" s="1415"/>
      <c r="P113" s="692"/>
      <c r="Q113" s="1416"/>
      <c r="R113" s="8"/>
      <c r="S113" s="8"/>
      <c r="T113" s="8"/>
      <c r="U113" s="8"/>
      <c r="V113" s="714"/>
      <c r="W113" s="714"/>
      <c r="X113" s="714"/>
      <c r="Y113" s="714"/>
      <c r="Z113" s="714"/>
      <c r="AA113" s="714"/>
      <c r="AB113" s="714"/>
      <c r="AC113" s="714"/>
      <c r="AD113" s="714"/>
      <c r="AE113" s="714"/>
      <c r="AF113" s="714"/>
      <c r="AG113" s="714"/>
      <c r="AH113" s="714"/>
      <c r="AI113" s="714"/>
      <c r="AJ113" s="714"/>
      <c r="AK113" s="714"/>
      <c r="AL113" s="714"/>
      <c r="AM113" s="714"/>
      <c r="AN113" s="714"/>
      <c r="AO113" s="714"/>
      <c r="AP113" s="715"/>
      <c r="AQ113" s="716"/>
      <c r="AR113" s="708"/>
      <c r="AS113" s="708"/>
    </row>
    <row r="114" spans="1:45" s="712" customFormat="1" ht="12.75" customHeight="1" x14ac:dyDescent="0.25">
      <c r="A114" s="711"/>
      <c r="B114" s="8"/>
      <c r="C114" s="11" t="s">
        <v>147</v>
      </c>
      <c r="D114" s="8"/>
      <c r="E114" s="8"/>
      <c r="F114" s="8"/>
      <c r="G114" s="8"/>
      <c r="H114" s="8"/>
      <c r="I114" s="8"/>
      <c r="J114" s="1146"/>
      <c r="K114" s="1146"/>
      <c r="L114" s="1146"/>
      <c r="M114" s="1146"/>
      <c r="N114" s="1417"/>
      <c r="O114" s="1415"/>
      <c r="P114" s="692"/>
      <c r="Q114" s="1416"/>
      <c r="R114" s="8"/>
      <c r="S114" s="8"/>
      <c r="T114" s="8"/>
      <c r="U114" s="8"/>
      <c r="V114" s="714"/>
      <c r="W114" s="714"/>
      <c r="X114" s="714"/>
      <c r="Y114" s="714"/>
      <c r="Z114" s="714"/>
      <c r="AA114" s="714"/>
      <c r="AB114" s="714"/>
      <c r="AC114" s="714"/>
      <c r="AD114" s="714"/>
      <c r="AE114" s="714"/>
      <c r="AF114" s="714"/>
      <c r="AG114" s="714"/>
      <c r="AH114" s="714"/>
      <c r="AI114" s="714"/>
      <c r="AJ114" s="714"/>
      <c r="AK114" s="714"/>
      <c r="AL114" s="714"/>
      <c r="AM114" s="714"/>
      <c r="AN114" s="714"/>
      <c r="AO114" s="714"/>
      <c r="AP114" s="715"/>
      <c r="AQ114" s="716"/>
      <c r="AR114" s="708"/>
      <c r="AS114" s="708"/>
    </row>
    <row r="115" spans="1:45" s="712" customFormat="1" ht="12.75" customHeight="1" x14ac:dyDescent="0.25">
      <c r="A115" s="711"/>
      <c r="B115" s="8"/>
      <c r="C115" s="8"/>
      <c r="D115" s="11" t="s">
        <v>246</v>
      </c>
      <c r="E115" s="11"/>
      <c r="F115" s="11"/>
      <c r="G115" s="11"/>
      <c r="H115" s="11"/>
      <c r="I115" s="8"/>
      <c r="J115" s="1147"/>
      <c r="K115" s="1147"/>
      <c r="L115" s="1147"/>
      <c r="M115" s="1147"/>
      <c r="N115" s="1598"/>
      <c r="O115" s="1590"/>
      <c r="P115" s="1581">
        <v>2.4632515035181095</v>
      </c>
      <c r="Q115" s="1582"/>
      <c r="R115" s="8"/>
      <c r="S115" s="8"/>
      <c r="T115" s="8"/>
      <c r="U115" s="8"/>
      <c r="V115" s="714"/>
      <c r="W115" s="714"/>
      <c r="X115" s="714"/>
      <c r="Y115" s="714"/>
      <c r="Z115" s="714"/>
      <c r="AA115" s="714"/>
      <c r="AB115" s="714"/>
      <c r="AC115" s="714"/>
      <c r="AD115" s="714"/>
      <c r="AE115" s="714"/>
      <c r="AF115" s="714"/>
      <c r="AG115" s="714"/>
      <c r="AH115" s="714"/>
      <c r="AI115" s="714"/>
      <c r="AJ115" s="714"/>
      <c r="AK115" s="714"/>
      <c r="AL115" s="714"/>
      <c r="AM115" s="714"/>
      <c r="AN115" s="714"/>
      <c r="AO115" s="714"/>
      <c r="AP115" s="715"/>
      <c r="AQ115" s="716"/>
      <c r="AR115" s="708"/>
      <c r="AS115" s="708"/>
    </row>
    <row r="116" spans="1:45" s="712" customFormat="1" ht="12.75" customHeight="1" x14ac:dyDescent="0.25">
      <c r="A116" s="711"/>
      <c r="B116" s="8"/>
      <c r="C116" s="8"/>
      <c r="D116" s="8" t="s">
        <v>307</v>
      </c>
      <c r="E116" s="8"/>
      <c r="F116" s="8"/>
      <c r="G116" s="8"/>
      <c r="H116" s="8"/>
      <c r="I116" s="8"/>
      <c r="J116" s="1146" t="s">
        <v>437</v>
      </c>
      <c r="K116" s="1146"/>
      <c r="L116" s="1146"/>
      <c r="M116" s="1146"/>
      <c r="N116" s="1547">
        <v>0</v>
      </c>
      <c r="O116" s="1548"/>
      <c r="P116" s="1572">
        <v>120791341.18432425</v>
      </c>
      <c r="Q116" s="1573"/>
      <c r="R116" s="8"/>
      <c r="S116" s="8"/>
      <c r="T116" s="8"/>
      <c r="U116" s="8"/>
      <c r="V116" s="714"/>
      <c r="W116" s="714"/>
      <c r="X116" s="714"/>
      <c r="Y116" s="714"/>
      <c r="Z116" s="714"/>
      <c r="AA116" s="714"/>
      <c r="AB116" s="714"/>
      <c r="AC116" s="714"/>
      <c r="AD116" s="714"/>
      <c r="AE116" s="714"/>
      <c r="AF116" s="714"/>
      <c r="AG116" s="714"/>
      <c r="AH116" s="714"/>
      <c r="AI116" s="714"/>
      <c r="AJ116" s="714"/>
      <c r="AK116" s="714"/>
      <c r="AL116" s="714"/>
      <c r="AM116" s="714"/>
      <c r="AN116" s="714"/>
      <c r="AO116" s="714"/>
      <c r="AP116" s="715"/>
      <c r="AQ116" s="716"/>
      <c r="AR116" s="708"/>
      <c r="AS116" s="708"/>
    </row>
    <row r="117" spans="1:45" s="712" customFormat="1" ht="12.75" customHeight="1" x14ac:dyDescent="0.25">
      <c r="A117" s="711"/>
      <c r="B117" s="8"/>
      <c r="C117" s="8"/>
      <c r="D117" s="8" t="s">
        <v>306</v>
      </c>
      <c r="E117" s="8"/>
      <c r="F117" s="8"/>
      <c r="G117" s="8"/>
      <c r="H117" s="8"/>
      <c r="I117" s="8"/>
      <c r="J117" s="1146" t="s">
        <v>437</v>
      </c>
      <c r="K117" s="1146"/>
      <c r="L117" s="1146"/>
      <c r="M117" s="1146"/>
      <c r="N117" s="1547">
        <v>776064.38062053395</v>
      </c>
      <c r="O117" s="1548"/>
      <c r="P117" s="1572">
        <v>4388780.0727800559</v>
      </c>
      <c r="Q117" s="1573"/>
      <c r="R117" s="8"/>
      <c r="S117" s="8"/>
      <c r="T117" s="8"/>
      <c r="U117" s="8"/>
      <c r="V117" s="714"/>
      <c r="W117" s="714"/>
      <c r="X117" s="714"/>
      <c r="Y117" s="714"/>
      <c r="Z117" s="714"/>
      <c r="AA117" s="714"/>
      <c r="AB117" s="714"/>
      <c r="AC117" s="714"/>
      <c r="AD117" s="714"/>
      <c r="AE117" s="714"/>
      <c r="AF117" s="714"/>
      <c r="AG117" s="714"/>
      <c r="AH117" s="714"/>
      <c r="AI117" s="714"/>
      <c r="AJ117" s="714"/>
      <c r="AK117" s="714"/>
      <c r="AL117" s="714"/>
      <c r="AM117" s="714"/>
      <c r="AN117" s="714"/>
      <c r="AO117" s="714"/>
      <c r="AP117" s="715"/>
      <c r="AQ117" s="716"/>
      <c r="AR117" s="708"/>
      <c r="AS117" s="708"/>
    </row>
    <row r="118" spans="1:45" s="712" customFormat="1" ht="12.75" customHeight="1" x14ac:dyDescent="0.25">
      <c r="A118" s="711"/>
      <c r="B118" s="8"/>
      <c r="C118" s="8"/>
      <c r="D118" s="1557" t="s">
        <v>564</v>
      </c>
      <c r="E118" s="1557"/>
      <c r="F118" s="1557"/>
      <c r="G118" s="1557"/>
      <c r="H118" s="1557"/>
      <c r="I118" s="1557"/>
      <c r="J118" s="1146" t="s">
        <v>437</v>
      </c>
      <c r="K118" s="1146"/>
      <c r="L118" s="1146"/>
      <c r="M118" s="1146"/>
      <c r="N118" s="1547">
        <v>410140754.62935531</v>
      </c>
      <c r="O118" s="1548"/>
      <c r="P118" s="1572">
        <v>101790632.73221382</v>
      </c>
      <c r="Q118" s="1573"/>
      <c r="R118" s="29"/>
      <c r="S118" s="8"/>
      <c r="T118" s="8"/>
      <c r="U118" s="8"/>
      <c r="V118" s="714"/>
      <c r="W118" s="714"/>
      <c r="X118" s="714"/>
      <c r="Y118" s="714"/>
      <c r="Z118" s="714"/>
      <c r="AA118" s="714"/>
      <c r="AB118" s="714"/>
      <c r="AC118" s="714"/>
      <c r="AD118" s="714"/>
      <c r="AE118" s="714"/>
      <c r="AF118" s="714"/>
      <c r="AG118" s="714"/>
      <c r="AH118" s="714"/>
      <c r="AI118" s="714"/>
      <c r="AJ118" s="714"/>
      <c r="AK118" s="714"/>
      <c r="AL118" s="714"/>
      <c r="AM118" s="714"/>
      <c r="AN118" s="714"/>
      <c r="AO118" s="714"/>
      <c r="AP118" s="715"/>
      <c r="AQ118" s="716"/>
      <c r="AR118" s="708"/>
      <c r="AS118" s="708"/>
    </row>
    <row r="119" spans="1:45" s="712" customFormat="1" ht="12.75" customHeight="1" x14ac:dyDescent="0.25">
      <c r="A119" s="711"/>
      <c r="B119" s="8"/>
      <c r="C119" s="8"/>
      <c r="D119" s="1557" t="s">
        <v>565</v>
      </c>
      <c r="E119" s="1557"/>
      <c r="F119" s="1557"/>
      <c r="G119" s="1557"/>
      <c r="H119" s="1557"/>
      <c r="I119" s="1557"/>
      <c r="J119" s="1146" t="s">
        <v>437</v>
      </c>
      <c r="K119" s="1146"/>
      <c r="L119" s="1146"/>
      <c r="M119" s="1146"/>
      <c r="N119" s="1598"/>
      <c r="O119" s="1590"/>
      <c r="P119" s="1572">
        <v>308350121.89714146</v>
      </c>
      <c r="Q119" s="1573"/>
      <c r="R119" s="8"/>
      <c r="S119" s="8"/>
      <c r="T119" s="8"/>
      <c r="U119" s="8"/>
      <c r="V119" s="714"/>
      <c r="W119" s="714"/>
      <c r="X119" s="714"/>
      <c r="Y119" s="714"/>
      <c r="Z119" s="714"/>
      <c r="AA119" s="714"/>
      <c r="AB119" s="714"/>
      <c r="AC119" s="714"/>
      <c r="AD119" s="714"/>
      <c r="AE119" s="714"/>
      <c r="AF119" s="714"/>
      <c r="AG119" s="714"/>
      <c r="AH119" s="714"/>
      <c r="AI119" s="714"/>
      <c r="AJ119" s="714"/>
      <c r="AK119" s="714"/>
      <c r="AL119" s="714"/>
      <c r="AM119" s="714"/>
      <c r="AN119" s="714"/>
      <c r="AO119" s="714"/>
      <c r="AP119" s="715"/>
      <c r="AQ119" s="716"/>
      <c r="AR119" s="708"/>
      <c r="AS119" s="708"/>
    </row>
    <row r="120" spans="1:45" s="712" customFormat="1" ht="12.75" customHeight="1" x14ac:dyDescent="0.25">
      <c r="A120" s="711"/>
      <c r="B120" s="8"/>
      <c r="C120" s="8"/>
      <c r="D120" s="8"/>
      <c r="E120" s="8"/>
      <c r="F120" s="8"/>
      <c r="G120" s="8"/>
      <c r="H120" s="8"/>
      <c r="I120" s="8"/>
      <c r="J120" s="1146"/>
      <c r="K120" s="1146"/>
      <c r="L120" s="1146"/>
      <c r="M120" s="1146"/>
      <c r="N120" s="1417"/>
      <c r="O120" s="1415"/>
      <c r="P120" s="692"/>
      <c r="Q120" s="1416"/>
      <c r="R120" s="8"/>
      <c r="S120" s="8"/>
      <c r="T120" s="8"/>
      <c r="U120" s="8"/>
      <c r="V120" s="714"/>
      <c r="W120" s="714"/>
      <c r="X120" s="714"/>
      <c r="Y120" s="714"/>
      <c r="Z120" s="714"/>
      <c r="AA120" s="714"/>
      <c r="AB120" s="714"/>
      <c r="AC120" s="714"/>
      <c r="AD120" s="714"/>
      <c r="AE120" s="714"/>
      <c r="AF120" s="714"/>
      <c r="AG120" s="714"/>
      <c r="AH120" s="714"/>
      <c r="AI120" s="714"/>
      <c r="AJ120" s="714"/>
      <c r="AK120" s="714"/>
      <c r="AL120" s="714"/>
      <c r="AM120" s="714"/>
      <c r="AN120" s="714"/>
      <c r="AO120" s="714"/>
      <c r="AP120" s="715"/>
      <c r="AQ120" s="716"/>
      <c r="AR120" s="708"/>
      <c r="AS120" s="708"/>
    </row>
    <row r="121" spans="1:45" s="712" customFormat="1" ht="12.75" customHeight="1" x14ac:dyDescent="0.25">
      <c r="A121" s="711"/>
      <c r="B121" s="8"/>
      <c r="C121" s="11" t="s">
        <v>187</v>
      </c>
      <c r="D121" s="11"/>
      <c r="E121" s="11"/>
      <c r="F121" s="11"/>
      <c r="G121" s="11"/>
      <c r="H121" s="11"/>
      <c r="I121" s="8"/>
      <c r="J121" s="748"/>
      <c r="K121" s="748"/>
      <c r="L121" s="748"/>
      <c r="M121" s="748"/>
      <c r="N121" s="1611"/>
      <c r="O121" s="1612"/>
      <c r="P121" s="1603"/>
      <c r="Q121" s="1604"/>
      <c r="R121" s="8"/>
      <c r="S121" s="8"/>
      <c r="T121" s="8"/>
      <c r="U121" s="8"/>
      <c r="V121" s="714"/>
      <c r="W121" s="714"/>
      <c r="X121" s="714"/>
      <c r="Y121" s="714"/>
      <c r="Z121" s="714"/>
      <c r="AA121" s="714"/>
      <c r="AB121" s="714"/>
      <c r="AC121" s="714"/>
      <c r="AD121" s="714"/>
      <c r="AE121" s="714"/>
      <c r="AF121" s="714"/>
      <c r="AG121" s="714"/>
      <c r="AH121" s="714"/>
      <c r="AI121" s="714"/>
      <c r="AJ121" s="714"/>
      <c r="AK121" s="714"/>
      <c r="AL121" s="714"/>
      <c r="AM121" s="714"/>
      <c r="AN121" s="714"/>
      <c r="AO121" s="714"/>
      <c r="AP121" s="715"/>
      <c r="AQ121" s="716"/>
      <c r="AR121" s="708"/>
      <c r="AS121" s="708"/>
    </row>
    <row r="122" spans="1:45" s="712" customFormat="1" ht="12.75" customHeight="1" x14ac:dyDescent="0.25">
      <c r="A122" s="711"/>
      <c r="B122" s="8"/>
      <c r="C122" s="8"/>
      <c r="D122" s="8" t="s">
        <v>491</v>
      </c>
      <c r="E122" s="8"/>
      <c r="F122" s="8"/>
      <c r="G122" s="8"/>
      <c r="H122" s="8"/>
      <c r="I122" s="8"/>
      <c r="J122" s="1146" t="s">
        <v>435</v>
      </c>
      <c r="K122" s="1146"/>
      <c r="L122" s="1146"/>
      <c r="M122" s="1146"/>
      <c r="N122" s="1609">
        <v>8.4970898392287705E-2</v>
      </c>
      <c r="O122" s="1610"/>
      <c r="P122" s="1605">
        <v>6.5827126764701052E-2</v>
      </c>
      <c r="Q122" s="1606"/>
      <c r="R122" s="8"/>
      <c r="S122" s="8"/>
      <c r="T122" s="8"/>
      <c r="U122" s="8"/>
      <c r="V122" s="714"/>
      <c r="W122" s="714"/>
      <c r="X122" s="714"/>
      <c r="Y122" s="714"/>
      <c r="Z122" s="714"/>
      <c r="AA122" s="714"/>
      <c r="AB122" s="714"/>
      <c r="AC122" s="714"/>
      <c r="AD122" s="714"/>
      <c r="AE122" s="714"/>
      <c r="AF122" s="714"/>
      <c r="AG122" s="714"/>
      <c r="AH122" s="714"/>
      <c r="AI122" s="714"/>
      <c r="AJ122" s="714"/>
      <c r="AK122" s="714"/>
      <c r="AL122" s="714"/>
      <c r="AM122" s="714"/>
      <c r="AN122" s="714"/>
      <c r="AO122" s="714"/>
      <c r="AP122" s="715"/>
      <c r="AQ122" s="716"/>
      <c r="AR122" s="708"/>
      <c r="AS122" s="708"/>
    </row>
    <row r="123" spans="1:45" s="712" customFormat="1" ht="12.75" customHeight="1" x14ac:dyDescent="0.25">
      <c r="A123" s="711"/>
      <c r="B123" s="8"/>
      <c r="C123" s="8"/>
      <c r="D123" s="8" t="s">
        <v>492</v>
      </c>
      <c r="E123" s="8"/>
      <c r="F123" s="8"/>
      <c r="G123" s="8"/>
      <c r="H123" s="8"/>
      <c r="I123" s="8"/>
      <c r="J123" s="1146" t="s">
        <v>16</v>
      </c>
      <c r="K123" s="1146"/>
      <c r="L123" s="1146"/>
      <c r="M123" s="1146"/>
      <c r="N123" s="698"/>
      <c r="O123" s="1415"/>
      <c r="P123" s="1599">
        <v>-0.22529797836436927</v>
      </c>
      <c r="Q123" s="1600"/>
      <c r="R123" s="8"/>
      <c r="S123" s="8"/>
      <c r="T123" s="8"/>
      <c r="U123" s="8"/>
      <c r="V123" s="714"/>
      <c r="W123" s="714"/>
      <c r="X123" s="714"/>
      <c r="Y123" s="714"/>
      <c r="Z123" s="714"/>
      <c r="AA123" s="714"/>
      <c r="AB123" s="714"/>
      <c r="AC123" s="714"/>
      <c r="AD123" s="714"/>
      <c r="AE123" s="714"/>
      <c r="AF123" s="714"/>
      <c r="AG123" s="714"/>
      <c r="AH123" s="714"/>
      <c r="AI123" s="714"/>
      <c r="AJ123" s="714"/>
      <c r="AK123" s="714"/>
      <c r="AL123" s="714"/>
      <c r="AM123" s="714"/>
      <c r="AN123" s="714"/>
      <c r="AO123" s="714"/>
      <c r="AP123" s="715"/>
      <c r="AQ123" s="716"/>
      <c r="AR123" s="708"/>
      <c r="AS123" s="708"/>
    </row>
    <row r="124" spans="1:45" s="712" customFormat="1" ht="12.75" customHeight="1" x14ac:dyDescent="0.25">
      <c r="A124" s="711"/>
      <c r="B124" s="8"/>
      <c r="C124" s="8"/>
      <c r="D124" s="8" t="s">
        <v>277</v>
      </c>
      <c r="E124" s="8"/>
      <c r="F124" s="8"/>
      <c r="G124" s="8"/>
      <c r="H124" s="8"/>
      <c r="I124" s="8"/>
      <c r="J124" s="1146" t="s">
        <v>435</v>
      </c>
      <c r="K124" s="1146"/>
      <c r="L124" s="1146"/>
      <c r="M124" s="1146"/>
      <c r="N124" s="1609">
        <v>5.9507503425933327E-2</v>
      </c>
      <c r="O124" s="1610"/>
      <c r="P124" s="1607">
        <v>5.9507503425933327E-2</v>
      </c>
      <c r="Q124" s="1608"/>
      <c r="R124" s="8"/>
      <c r="S124" s="8"/>
      <c r="T124" s="8"/>
      <c r="U124" s="8"/>
      <c r="V124" s="714"/>
      <c r="W124" s="714"/>
      <c r="X124" s="714"/>
      <c r="Y124" s="714"/>
      <c r="Z124" s="714"/>
      <c r="AA124" s="714"/>
      <c r="AB124" s="714"/>
      <c r="AC124" s="714"/>
      <c r="AD124" s="714"/>
      <c r="AE124" s="714"/>
      <c r="AF124" s="714"/>
      <c r="AG124" s="714"/>
      <c r="AH124" s="714"/>
      <c r="AI124" s="714"/>
      <c r="AJ124" s="714"/>
      <c r="AK124" s="714"/>
      <c r="AL124" s="714"/>
      <c r="AM124" s="714"/>
      <c r="AN124" s="714"/>
      <c r="AO124" s="714"/>
      <c r="AP124" s="715"/>
      <c r="AQ124" s="716"/>
      <c r="AR124" s="708"/>
      <c r="AS124" s="708"/>
    </row>
    <row r="125" spans="1:45" s="712" customFormat="1" ht="12.75" customHeight="1" x14ac:dyDescent="0.25">
      <c r="A125" s="711"/>
      <c r="B125" s="8"/>
      <c r="C125" s="8"/>
      <c r="D125" s="8" t="s">
        <v>308</v>
      </c>
      <c r="E125" s="8"/>
      <c r="F125" s="8"/>
      <c r="G125" s="8"/>
      <c r="H125" s="8"/>
      <c r="I125" s="8"/>
      <c r="J125" s="1146" t="s">
        <v>435</v>
      </c>
      <c r="K125" s="1146"/>
      <c r="L125" s="1146"/>
      <c r="M125" s="1146"/>
      <c r="N125" s="1609">
        <v>2.5463394966354379E-2</v>
      </c>
      <c r="O125" s="1610"/>
      <c r="P125" s="1607">
        <v>6.3196233387677256E-3</v>
      </c>
      <c r="Q125" s="1608"/>
      <c r="R125" s="8"/>
      <c r="S125" s="8"/>
      <c r="T125" s="8"/>
      <c r="U125" s="8"/>
      <c r="V125" s="714"/>
      <c r="W125" s="714"/>
      <c r="X125" s="714"/>
      <c r="Y125" s="714"/>
      <c r="Z125" s="714"/>
      <c r="AA125" s="714"/>
      <c r="AB125" s="714"/>
      <c r="AC125" s="714"/>
      <c r="AD125" s="714"/>
      <c r="AE125" s="714"/>
      <c r="AF125" s="714"/>
      <c r="AG125" s="714"/>
      <c r="AH125" s="714"/>
      <c r="AI125" s="714"/>
      <c r="AJ125" s="714"/>
      <c r="AK125" s="714"/>
      <c r="AL125" s="714"/>
      <c r="AM125" s="714"/>
      <c r="AN125" s="714"/>
      <c r="AO125" s="714"/>
      <c r="AP125" s="715"/>
      <c r="AQ125" s="716"/>
      <c r="AR125" s="708"/>
      <c r="AS125" s="708"/>
    </row>
    <row r="126" spans="1:45" s="712" customFormat="1" ht="12.75" customHeight="1" x14ac:dyDescent="0.25">
      <c r="A126" s="711"/>
      <c r="B126" s="8"/>
      <c r="C126" s="8"/>
      <c r="D126" s="8"/>
      <c r="E126" s="8"/>
      <c r="F126" s="8"/>
      <c r="G126" s="8"/>
      <c r="H126" s="8"/>
      <c r="I126" s="8"/>
      <c r="J126" s="1146"/>
      <c r="K126" s="1146"/>
      <c r="L126" s="1146"/>
      <c r="M126" s="1146"/>
      <c r="N126" s="698"/>
      <c r="O126" s="753"/>
      <c r="P126" s="1418"/>
      <c r="Q126" s="1419"/>
      <c r="R126" s="8"/>
      <c r="S126" s="8"/>
      <c r="T126" s="8"/>
      <c r="U126" s="8"/>
      <c r="V126" s="714"/>
      <c r="W126" s="714"/>
      <c r="X126" s="714"/>
      <c r="Y126" s="714"/>
      <c r="Z126" s="714"/>
      <c r="AA126" s="714"/>
      <c r="AB126" s="714"/>
      <c r="AC126" s="714"/>
      <c r="AD126" s="714"/>
      <c r="AE126" s="714"/>
      <c r="AF126" s="714"/>
      <c r="AG126" s="714"/>
      <c r="AH126" s="714"/>
      <c r="AI126" s="714"/>
      <c r="AJ126" s="714"/>
      <c r="AK126" s="714"/>
      <c r="AL126" s="714"/>
      <c r="AM126" s="714"/>
      <c r="AN126" s="714"/>
      <c r="AO126" s="714"/>
      <c r="AP126" s="715"/>
      <c r="AQ126" s="716"/>
      <c r="AR126" s="708"/>
      <c r="AS126" s="708"/>
    </row>
    <row r="127" spans="1:45" s="712" customFormat="1" ht="12.75" customHeight="1" x14ac:dyDescent="0.25">
      <c r="A127" s="711"/>
      <c r="B127" s="8"/>
      <c r="C127" s="11" t="s">
        <v>148</v>
      </c>
      <c r="D127" s="11"/>
      <c r="E127" s="11"/>
      <c r="F127" s="11"/>
      <c r="G127" s="11"/>
      <c r="H127" s="11"/>
      <c r="I127" s="8"/>
      <c r="J127" s="748"/>
      <c r="K127" s="748"/>
      <c r="L127" s="748"/>
      <c r="M127" s="748"/>
      <c r="N127" s="1611"/>
      <c r="O127" s="1612"/>
      <c r="P127" s="1603"/>
      <c r="Q127" s="1604"/>
      <c r="R127" s="8"/>
      <c r="S127" s="8"/>
      <c r="T127" s="8"/>
      <c r="U127" s="8"/>
      <c r="V127" s="714"/>
      <c r="W127" s="714"/>
      <c r="X127" s="714"/>
      <c r="Y127" s="714"/>
      <c r="Z127" s="714"/>
      <c r="AA127" s="714"/>
      <c r="AB127" s="714"/>
      <c r="AC127" s="714"/>
      <c r="AD127" s="714"/>
      <c r="AE127" s="714"/>
      <c r="AF127" s="714"/>
      <c r="AG127" s="714"/>
      <c r="AH127" s="714"/>
      <c r="AI127" s="714"/>
      <c r="AJ127" s="714"/>
      <c r="AK127" s="714"/>
      <c r="AL127" s="714"/>
      <c r="AM127" s="714"/>
      <c r="AN127" s="714"/>
      <c r="AO127" s="714"/>
      <c r="AP127" s="715"/>
      <c r="AQ127" s="716"/>
      <c r="AR127" s="708"/>
      <c r="AS127" s="708"/>
    </row>
    <row r="128" spans="1:45" s="708" customFormat="1" ht="12.75" customHeight="1" x14ac:dyDescent="0.25">
      <c r="A128" s="1504"/>
      <c r="B128" s="1504"/>
      <c r="C128" s="1505"/>
      <c r="D128" s="1504"/>
      <c r="E128" s="1506" t="s">
        <v>689</v>
      </c>
      <c r="F128" s="1504"/>
      <c r="G128" s="1504"/>
      <c r="H128" s="1504"/>
      <c r="I128" s="1504"/>
      <c r="J128" s="1507" t="s">
        <v>438</v>
      </c>
      <c r="K128" s="1508"/>
      <c r="L128" s="1508"/>
      <c r="M128" s="1508"/>
      <c r="N128" s="1989">
        <v>32.596331944341067</v>
      </c>
      <c r="O128" s="1990"/>
      <c r="P128" s="1991">
        <v>8.0899086860125209</v>
      </c>
      <c r="Q128" s="1992"/>
      <c r="R128" s="1504"/>
      <c r="S128" s="1504"/>
      <c r="T128" s="1504"/>
      <c r="U128" s="1504"/>
      <c r="V128" s="713"/>
      <c r="W128" s="713"/>
      <c r="X128" s="713"/>
      <c r="Y128" s="713"/>
      <c r="Z128" s="713"/>
      <c r="AA128" s="713"/>
      <c r="AB128" s="713"/>
      <c r="AC128" s="713"/>
      <c r="AD128" s="713"/>
      <c r="AE128" s="713"/>
      <c r="AF128" s="713"/>
      <c r="AG128" s="713"/>
      <c r="AH128" s="713"/>
      <c r="AI128" s="713"/>
      <c r="AJ128" s="713"/>
      <c r="AK128" s="713"/>
      <c r="AL128" s="713"/>
      <c r="AM128" s="713"/>
      <c r="AN128" s="713"/>
      <c r="AO128" s="713"/>
      <c r="AP128" s="713"/>
    </row>
    <row r="129" spans="1:45" s="708" customFormat="1" ht="12.75" customHeight="1" x14ac:dyDescent="0.25">
      <c r="A129" s="1504"/>
      <c r="B129" s="1504"/>
      <c r="C129" s="1505"/>
      <c r="D129" s="1504"/>
      <c r="E129" s="1506" t="s">
        <v>690</v>
      </c>
      <c r="F129" s="1504"/>
      <c r="G129" s="1504"/>
      <c r="H129" s="1504"/>
      <c r="I129" s="1504"/>
      <c r="J129" s="1507" t="s">
        <v>438</v>
      </c>
      <c r="K129" s="1508"/>
      <c r="L129" s="1508"/>
      <c r="M129" s="1508"/>
      <c r="N129" s="1989">
        <v>0</v>
      </c>
      <c r="O129" s="1990"/>
      <c r="P129" s="1991">
        <v>9.6000083113042045</v>
      </c>
      <c r="Q129" s="1992"/>
      <c r="R129" s="1504"/>
      <c r="S129" s="1504"/>
      <c r="T129" s="1504"/>
      <c r="U129" s="1504"/>
      <c r="V129" s="713"/>
      <c r="W129" s="713"/>
      <c r="X129" s="713"/>
      <c r="Y129" s="713"/>
      <c r="Z129" s="713"/>
      <c r="AA129" s="713"/>
      <c r="AB129" s="713"/>
      <c r="AC129" s="713"/>
      <c r="AD129" s="713"/>
      <c r="AE129" s="713"/>
      <c r="AF129" s="713"/>
      <c r="AG129" s="713"/>
      <c r="AH129" s="713"/>
      <c r="AI129" s="713"/>
      <c r="AJ129" s="713"/>
      <c r="AK129" s="713"/>
      <c r="AL129" s="713"/>
      <c r="AM129" s="713"/>
      <c r="AN129" s="713"/>
      <c r="AO129" s="713"/>
      <c r="AP129" s="713"/>
    </row>
    <row r="130" spans="1:45" s="708" customFormat="1" ht="12.75" customHeight="1" x14ac:dyDescent="0.25">
      <c r="A130" s="1504"/>
      <c r="B130" s="1504"/>
      <c r="C130" s="1505"/>
      <c r="D130" s="1504"/>
      <c r="E130" s="1506" t="s">
        <v>691</v>
      </c>
      <c r="F130" s="1504"/>
      <c r="G130" s="1504"/>
      <c r="H130" s="1504"/>
      <c r="I130" s="1504"/>
      <c r="J130" s="1507" t="s">
        <v>438</v>
      </c>
      <c r="K130" s="1508"/>
      <c r="L130" s="1508"/>
      <c r="M130" s="1508"/>
      <c r="N130" s="1989">
        <v>6.1678464954664586E-2</v>
      </c>
      <c r="O130" s="1990"/>
      <c r="P130" s="1991">
        <v>0.34880252807924406</v>
      </c>
      <c r="Q130" s="1992"/>
      <c r="R130" s="1504"/>
      <c r="S130" s="1504"/>
      <c r="T130" s="1504"/>
      <c r="U130" s="1504"/>
      <c r="V130" s="713"/>
      <c r="W130" s="713"/>
      <c r="X130" s="713"/>
      <c r="Y130" s="713"/>
      <c r="Z130" s="713"/>
      <c r="AA130" s="713"/>
      <c r="AB130" s="713"/>
      <c r="AC130" s="713"/>
      <c r="AD130" s="713"/>
      <c r="AE130" s="713"/>
      <c r="AF130" s="713"/>
      <c r="AG130" s="713"/>
      <c r="AH130" s="713"/>
      <c r="AI130" s="713"/>
      <c r="AJ130" s="713"/>
      <c r="AK130" s="713"/>
      <c r="AL130" s="713"/>
      <c r="AM130" s="713"/>
      <c r="AN130" s="713"/>
      <c r="AO130" s="713"/>
      <c r="AP130" s="713"/>
    </row>
    <row r="131" spans="1:45" s="712" customFormat="1" ht="12.75" customHeight="1" x14ac:dyDescent="0.25">
      <c r="A131" s="711"/>
      <c r="B131" s="1504"/>
      <c r="C131" s="1504"/>
      <c r="D131" s="1505" t="s">
        <v>692</v>
      </c>
      <c r="E131" s="1505"/>
      <c r="F131" s="1505"/>
      <c r="G131" s="1505"/>
      <c r="H131" s="1505"/>
      <c r="I131" s="1505"/>
      <c r="J131" s="1508" t="s">
        <v>438</v>
      </c>
      <c r="K131" s="1507"/>
      <c r="L131" s="1507"/>
      <c r="M131" s="1507"/>
      <c r="N131" s="2010">
        <v>32.658010409295734</v>
      </c>
      <c r="O131" s="2011"/>
      <c r="P131" s="2012">
        <v>18.038719525395969</v>
      </c>
      <c r="Q131" s="2013"/>
      <c r="R131" s="1504"/>
      <c r="S131" s="1504"/>
      <c r="T131" s="1504"/>
      <c r="U131" s="1504"/>
      <c r="V131" s="713"/>
      <c r="W131" s="713"/>
      <c r="X131" s="713"/>
      <c r="Y131" s="713"/>
      <c r="Z131" s="713"/>
      <c r="AA131" s="713"/>
      <c r="AB131" s="713"/>
      <c r="AC131" s="713"/>
      <c r="AD131" s="713"/>
      <c r="AE131" s="713"/>
      <c r="AF131" s="713"/>
      <c r="AG131" s="713"/>
      <c r="AH131" s="713"/>
      <c r="AI131" s="713"/>
      <c r="AJ131" s="713"/>
      <c r="AK131" s="713"/>
      <c r="AL131" s="713"/>
      <c r="AM131" s="713"/>
      <c r="AN131" s="713"/>
      <c r="AO131" s="713"/>
      <c r="AP131" s="722"/>
      <c r="AQ131" s="708"/>
      <c r="AR131" s="708"/>
      <c r="AS131" s="708"/>
    </row>
    <row r="132" spans="1:45" s="712" customFormat="1" ht="12.75" customHeight="1" x14ac:dyDescent="0.25">
      <c r="A132" s="711"/>
      <c r="B132" s="1504"/>
      <c r="C132" s="1504"/>
      <c r="D132" s="1504" t="s">
        <v>309</v>
      </c>
      <c r="E132" s="1504"/>
      <c r="F132" s="1504"/>
      <c r="G132" s="1504"/>
      <c r="H132" s="1504"/>
      <c r="I132" s="1504"/>
      <c r="J132" s="1507" t="s">
        <v>16</v>
      </c>
      <c r="K132" s="1507"/>
      <c r="L132" s="1507"/>
      <c r="M132" s="1507"/>
      <c r="N132" s="1510"/>
      <c r="O132" s="1511"/>
      <c r="P132" s="2002">
        <v>-0.44764793386612889</v>
      </c>
      <c r="Q132" s="2003"/>
      <c r="R132" s="1504"/>
      <c r="S132" s="1504"/>
      <c r="T132" s="1504"/>
      <c r="U132" s="1504"/>
      <c r="V132" s="713"/>
      <c r="W132" s="713"/>
      <c r="X132" s="713"/>
      <c r="Y132" s="713"/>
      <c r="Z132" s="713"/>
      <c r="AA132" s="713"/>
      <c r="AB132" s="713"/>
      <c r="AC132" s="713"/>
      <c r="AD132" s="713"/>
      <c r="AE132" s="713"/>
      <c r="AF132" s="713"/>
      <c r="AG132" s="713"/>
      <c r="AH132" s="713"/>
      <c r="AI132" s="713"/>
      <c r="AJ132" s="713"/>
      <c r="AK132" s="713"/>
      <c r="AL132" s="713"/>
      <c r="AM132" s="713"/>
      <c r="AN132" s="713"/>
      <c r="AO132" s="713"/>
      <c r="AP132" s="722"/>
      <c r="AQ132" s="708"/>
      <c r="AR132" s="708"/>
      <c r="AS132" s="708"/>
    </row>
    <row r="133" spans="1:45" s="712" customFormat="1" ht="12.75" customHeight="1" x14ac:dyDescent="0.25">
      <c r="A133" s="711"/>
      <c r="B133" s="8"/>
      <c r="C133" s="8"/>
      <c r="D133" s="1557" t="s">
        <v>566</v>
      </c>
      <c r="E133" s="1557"/>
      <c r="F133" s="1557"/>
      <c r="G133" s="1557"/>
      <c r="H133" s="1557"/>
      <c r="I133" s="1557"/>
      <c r="J133" s="1146" t="s">
        <v>368</v>
      </c>
      <c r="K133" s="1146"/>
      <c r="L133" s="1146"/>
      <c r="M133" s="1146"/>
      <c r="N133" s="1613">
        <v>12.58242048</v>
      </c>
      <c r="O133" s="1614"/>
      <c r="P133" s="1596">
        <v>12.58242048</v>
      </c>
      <c r="Q133" s="1597"/>
      <c r="R133" s="8"/>
      <c r="S133" s="8"/>
      <c r="T133" s="8"/>
      <c r="U133" s="8"/>
      <c r="V133" s="714"/>
      <c r="W133" s="714"/>
      <c r="X133" s="714"/>
      <c r="Y133" s="714"/>
      <c r="Z133" s="714"/>
      <c r="AA133" s="714"/>
      <c r="AB133" s="714"/>
      <c r="AC133" s="714"/>
      <c r="AD133" s="714"/>
      <c r="AE133" s="714"/>
      <c r="AF133" s="714"/>
      <c r="AG133" s="714"/>
      <c r="AH133" s="714"/>
      <c r="AI133" s="714"/>
      <c r="AJ133" s="714"/>
      <c r="AK133" s="714"/>
      <c r="AL133" s="714"/>
      <c r="AM133" s="714"/>
      <c r="AN133" s="714"/>
      <c r="AO133" s="714"/>
      <c r="AP133" s="715"/>
      <c r="AQ133" s="716"/>
      <c r="AR133" s="708"/>
      <c r="AS133" s="708"/>
    </row>
    <row r="134" spans="1:45" s="712" customFormat="1" ht="12.75" customHeight="1" x14ac:dyDescent="0.25">
      <c r="A134" s="711"/>
      <c r="B134" s="8"/>
      <c r="C134" s="8"/>
      <c r="D134" s="1158"/>
      <c r="E134" s="1158"/>
      <c r="F134" s="1158"/>
      <c r="G134" s="1158"/>
      <c r="H134" s="1158"/>
      <c r="I134" s="1158"/>
      <c r="J134" s="1156"/>
      <c r="K134" s="1156"/>
      <c r="L134" s="1156"/>
      <c r="M134" s="1156"/>
      <c r="N134" s="1191"/>
      <c r="O134" s="1191"/>
      <c r="P134" s="1192"/>
      <c r="Q134" s="1192"/>
      <c r="R134" s="8"/>
      <c r="S134" s="8"/>
      <c r="T134" s="8"/>
      <c r="U134" s="8"/>
      <c r="V134" s="714"/>
      <c r="W134" s="714"/>
      <c r="X134" s="714"/>
      <c r="Y134" s="714"/>
      <c r="Z134" s="714"/>
      <c r="AA134" s="714"/>
      <c r="AB134" s="714"/>
      <c r="AC134" s="714"/>
      <c r="AD134" s="714"/>
      <c r="AE134" s="714"/>
      <c r="AF134" s="714"/>
      <c r="AG134" s="714"/>
      <c r="AH134" s="714"/>
      <c r="AI134" s="714"/>
      <c r="AJ134" s="714"/>
      <c r="AK134" s="714"/>
      <c r="AL134" s="714"/>
      <c r="AM134" s="714"/>
      <c r="AN134" s="714"/>
      <c r="AO134" s="714"/>
      <c r="AP134" s="715"/>
      <c r="AQ134" s="716"/>
      <c r="AR134" s="708"/>
      <c r="AS134" s="708"/>
    </row>
    <row r="135" spans="1:45" s="712" customFormat="1" ht="12.75" customHeight="1" x14ac:dyDescent="0.25">
      <c r="A135" s="711"/>
      <c r="B135" s="8"/>
      <c r="C135" s="8"/>
      <c r="D135" s="1195"/>
      <c r="E135" s="1195"/>
      <c r="F135" s="1195"/>
      <c r="G135" s="1195"/>
      <c r="H135" s="1195"/>
      <c r="I135" s="1195"/>
      <c r="J135" s="1193"/>
      <c r="K135" s="1193"/>
      <c r="L135" s="1193"/>
      <c r="M135" s="1193"/>
      <c r="N135" s="1191"/>
      <c r="O135" s="1191"/>
      <c r="P135" s="1192"/>
      <c r="Q135" s="1192"/>
      <c r="R135" s="8"/>
      <c r="S135" s="8"/>
      <c r="T135" s="8"/>
      <c r="U135" s="8"/>
      <c r="V135" s="714"/>
      <c r="W135" s="714"/>
      <c r="X135" s="714"/>
      <c r="Y135" s="714"/>
      <c r="Z135" s="714"/>
      <c r="AA135" s="714"/>
      <c r="AB135" s="714"/>
      <c r="AC135" s="714"/>
      <c r="AD135" s="714"/>
      <c r="AE135" s="714"/>
      <c r="AF135" s="714"/>
      <c r="AG135" s="714"/>
      <c r="AH135" s="714"/>
      <c r="AI135" s="714"/>
      <c r="AJ135" s="714"/>
      <c r="AK135" s="714"/>
      <c r="AL135" s="714"/>
      <c r="AM135" s="714"/>
      <c r="AN135" s="714"/>
      <c r="AO135" s="714"/>
      <c r="AP135" s="715"/>
      <c r="AQ135" s="716"/>
      <c r="AR135" s="708"/>
      <c r="AS135" s="708"/>
    </row>
    <row r="136" spans="1:45" s="712" customFormat="1" ht="12.75" customHeight="1" x14ac:dyDescent="0.25">
      <c r="A136" s="711"/>
      <c r="B136" s="8"/>
      <c r="C136" s="8"/>
      <c r="D136" s="1195"/>
      <c r="E136" s="1195"/>
      <c r="F136" s="1195"/>
      <c r="G136" s="1195"/>
      <c r="H136" s="1195"/>
      <c r="I136" s="1195"/>
      <c r="J136" s="1193"/>
      <c r="K136" s="1193"/>
      <c r="L136" s="1193"/>
      <c r="M136" s="1193"/>
      <c r="N136" s="1191"/>
      <c r="O136" s="1191"/>
      <c r="P136" s="1192"/>
      <c r="Q136" s="1192"/>
      <c r="R136" s="8"/>
      <c r="S136" s="8"/>
      <c r="T136" s="8"/>
      <c r="U136" s="8"/>
      <c r="V136" s="714"/>
      <c r="W136" s="714"/>
      <c r="X136" s="714"/>
      <c r="Y136" s="714"/>
      <c r="Z136" s="714"/>
      <c r="AA136" s="714"/>
      <c r="AB136" s="714"/>
      <c r="AC136" s="714"/>
      <c r="AD136" s="714"/>
      <c r="AE136" s="714"/>
      <c r="AF136" s="714"/>
      <c r="AG136" s="714"/>
      <c r="AH136" s="714"/>
      <c r="AI136" s="714"/>
      <c r="AJ136" s="714"/>
      <c r="AK136" s="714"/>
      <c r="AL136" s="714"/>
      <c r="AM136" s="714"/>
      <c r="AN136" s="714"/>
      <c r="AO136" s="714"/>
      <c r="AP136" s="715"/>
      <c r="AQ136" s="716"/>
      <c r="AR136" s="708"/>
      <c r="AS136" s="708"/>
    </row>
    <row r="137" spans="1:45" s="712" customFormat="1" ht="12.75" customHeight="1" x14ac:dyDescent="0.25">
      <c r="A137" s="711"/>
      <c r="B137" s="52" t="s">
        <v>616</v>
      </c>
      <c r="C137" s="21"/>
      <c r="D137" s="21"/>
      <c r="E137" s="21"/>
      <c r="F137" s="21"/>
      <c r="G137" s="21"/>
      <c r="H137" s="21"/>
      <c r="I137" s="21"/>
      <c r="J137" s="22"/>
      <c r="K137" s="22"/>
      <c r="L137" s="22"/>
      <c r="M137" s="22"/>
      <c r="N137" s="22"/>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715"/>
      <c r="AQ137" s="716"/>
      <c r="AR137" s="708"/>
      <c r="AS137" s="708"/>
    </row>
    <row r="138" spans="1:45" s="712" customFormat="1" ht="12.75" customHeight="1" x14ac:dyDescent="0.25">
      <c r="A138" s="711"/>
      <c r="B138" s="8"/>
      <c r="C138" s="8"/>
      <c r="D138" s="1195"/>
      <c r="E138" s="1195"/>
      <c r="F138" s="1195"/>
      <c r="G138" s="1195"/>
      <c r="H138" s="1195"/>
      <c r="I138" s="1195"/>
      <c r="J138" s="1193"/>
      <c r="K138" s="1193"/>
      <c r="L138" s="1193"/>
      <c r="M138" s="1193"/>
      <c r="N138" s="1191"/>
      <c r="O138" s="1191"/>
      <c r="P138" s="1192"/>
      <c r="Q138" s="1192"/>
      <c r="R138" s="8"/>
      <c r="S138" s="8"/>
      <c r="T138" s="8"/>
      <c r="U138" s="8"/>
      <c r="V138" s="714"/>
      <c r="W138" s="714"/>
      <c r="X138" s="714"/>
      <c r="Y138" s="714"/>
      <c r="Z138" s="714"/>
      <c r="AA138" s="714"/>
      <c r="AB138" s="714"/>
      <c r="AC138" s="714"/>
      <c r="AD138" s="714"/>
      <c r="AE138" s="714"/>
      <c r="AF138" s="714"/>
      <c r="AG138" s="714"/>
      <c r="AH138" s="714"/>
      <c r="AI138" s="714"/>
      <c r="AJ138" s="714"/>
      <c r="AK138" s="714"/>
      <c r="AL138" s="714"/>
      <c r="AM138" s="714"/>
      <c r="AN138" s="714"/>
      <c r="AO138" s="714"/>
      <c r="AP138" s="715"/>
      <c r="AQ138" s="716"/>
      <c r="AR138" s="708"/>
      <c r="AS138" s="708"/>
    </row>
    <row r="139" spans="1:45" s="712" customFormat="1" ht="12.75" customHeight="1" x14ac:dyDescent="0.25">
      <c r="A139" s="711"/>
      <c r="B139" s="8"/>
      <c r="C139" s="1993"/>
      <c r="D139" s="1994"/>
      <c r="E139" s="1994"/>
      <c r="F139" s="1994"/>
      <c r="G139" s="1994"/>
      <c r="H139" s="1994"/>
      <c r="I139" s="1994"/>
      <c r="J139" s="1994"/>
      <c r="K139" s="1994"/>
      <c r="L139" s="1994"/>
      <c r="M139" s="1994"/>
      <c r="N139" s="1994"/>
      <c r="O139" s="1994"/>
      <c r="P139" s="1994"/>
      <c r="Q139" s="1995"/>
      <c r="R139" s="8"/>
      <c r="S139" s="8"/>
      <c r="T139" s="8"/>
      <c r="U139" s="8"/>
      <c r="V139" s="714"/>
      <c r="W139" s="714"/>
      <c r="X139" s="714"/>
      <c r="Y139" s="714"/>
      <c r="Z139" s="714"/>
      <c r="AA139" s="714"/>
      <c r="AB139" s="714"/>
      <c r="AC139" s="714"/>
      <c r="AD139" s="714"/>
      <c r="AE139" s="714"/>
      <c r="AF139" s="714"/>
      <c r="AG139" s="714"/>
      <c r="AH139" s="714"/>
      <c r="AI139" s="714"/>
      <c r="AJ139" s="714"/>
      <c r="AK139" s="714"/>
      <c r="AL139" s="714"/>
      <c r="AM139" s="714"/>
      <c r="AN139" s="714"/>
      <c r="AO139" s="714"/>
      <c r="AP139" s="715"/>
      <c r="AQ139" s="716"/>
      <c r="AR139" s="708"/>
      <c r="AS139" s="708"/>
    </row>
    <row r="140" spans="1:45" s="712" customFormat="1" ht="12.75" customHeight="1" x14ac:dyDescent="0.25">
      <c r="A140" s="711"/>
      <c r="B140" s="8"/>
      <c r="C140" s="1996"/>
      <c r="D140" s="1997"/>
      <c r="E140" s="1997"/>
      <c r="F140" s="1997"/>
      <c r="G140" s="1997"/>
      <c r="H140" s="1997"/>
      <c r="I140" s="1997"/>
      <c r="J140" s="1997"/>
      <c r="K140" s="1997"/>
      <c r="L140" s="1997"/>
      <c r="M140" s="1997"/>
      <c r="N140" s="1997"/>
      <c r="O140" s="1997"/>
      <c r="P140" s="1997"/>
      <c r="Q140" s="1998"/>
      <c r="R140" s="8"/>
      <c r="S140" s="8"/>
      <c r="T140" s="8"/>
      <c r="U140" s="8"/>
      <c r="V140" s="714"/>
      <c r="W140" s="714"/>
      <c r="X140" s="714"/>
      <c r="Y140" s="714"/>
      <c r="Z140" s="714"/>
      <c r="AA140" s="714"/>
      <c r="AB140" s="714"/>
      <c r="AC140" s="714"/>
      <c r="AD140" s="714"/>
      <c r="AE140" s="714"/>
      <c r="AF140" s="714"/>
      <c r="AG140" s="714"/>
      <c r="AH140" s="714"/>
      <c r="AI140" s="714"/>
      <c r="AJ140" s="714"/>
      <c r="AK140" s="714"/>
      <c r="AL140" s="714"/>
      <c r="AM140" s="714"/>
      <c r="AN140" s="714"/>
      <c r="AO140" s="714"/>
      <c r="AP140" s="715"/>
      <c r="AQ140" s="716"/>
      <c r="AR140" s="708"/>
      <c r="AS140" s="708"/>
    </row>
    <row r="141" spans="1:45" s="712" customFormat="1" ht="12.75" customHeight="1" x14ac:dyDescent="0.25">
      <c r="A141" s="711"/>
      <c r="B141" s="8"/>
      <c r="C141" s="1996"/>
      <c r="D141" s="1997"/>
      <c r="E141" s="1997"/>
      <c r="F141" s="1997"/>
      <c r="G141" s="1997"/>
      <c r="H141" s="1997"/>
      <c r="I141" s="1997"/>
      <c r="J141" s="1997"/>
      <c r="K141" s="1997"/>
      <c r="L141" s="1997"/>
      <c r="M141" s="1997"/>
      <c r="N141" s="1997"/>
      <c r="O141" s="1997"/>
      <c r="P141" s="1997"/>
      <c r="Q141" s="1998"/>
      <c r="R141" s="8"/>
      <c r="S141" s="8"/>
      <c r="T141" s="8"/>
      <c r="U141" s="8"/>
      <c r="V141" s="714"/>
      <c r="W141" s="714"/>
      <c r="X141" s="714"/>
      <c r="Y141" s="714"/>
      <c r="Z141" s="714"/>
      <c r="AA141" s="714"/>
      <c r="AB141" s="714"/>
      <c r="AC141" s="714"/>
      <c r="AD141" s="714"/>
      <c r="AE141" s="714"/>
      <c r="AF141" s="714"/>
      <c r="AG141" s="714"/>
      <c r="AH141" s="714"/>
      <c r="AI141" s="714"/>
      <c r="AJ141" s="714"/>
      <c r="AK141" s="714"/>
      <c r="AL141" s="714"/>
      <c r="AM141" s="714"/>
      <c r="AN141" s="714"/>
      <c r="AO141" s="714"/>
      <c r="AP141" s="715"/>
      <c r="AQ141" s="716"/>
      <c r="AR141" s="708"/>
      <c r="AS141" s="708"/>
    </row>
    <row r="142" spans="1:45" s="712" customFormat="1" ht="12.75" customHeight="1" x14ac:dyDescent="0.25">
      <c r="A142" s="711"/>
      <c r="B142" s="8"/>
      <c r="C142" s="1996"/>
      <c r="D142" s="1997"/>
      <c r="E142" s="1997"/>
      <c r="F142" s="1997"/>
      <c r="G142" s="1997"/>
      <c r="H142" s="1997"/>
      <c r="I142" s="1997"/>
      <c r="J142" s="1997"/>
      <c r="K142" s="1997"/>
      <c r="L142" s="1997"/>
      <c r="M142" s="1997"/>
      <c r="N142" s="1997"/>
      <c r="O142" s="1997"/>
      <c r="P142" s="1997"/>
      <c r="Q142" s="1998"/>
      <c r="R142" s="8"/>
      <c r="S142" s="8"/>
      <c r="T142" s="8"/>
      <c r="U142" s="8"/>
      <c r="V142" s="714"/>
      <c r="W142" s="714"/>
      <c r="X142" s="714"/>
      <c r="Y142" s="714"/>
      <c r="Z142" s="714"/>
      <c r="AA142" s="714"/>
      <c r="AB142" s="714"/>
      <c r="AC142" s="714"/>
      <c r="AD142" s="714"/>
      <c r="AE142" s="714"/>
      <c r="AF142" s="714"/>
      <c r="AG142" s="714"/>
      <c r="AH142" s="714"/>
      <c r="AI142" s="714"/>
      <c r="AJ142" s="714"/>
      <c r="AK142" s="714"/>
      <c r="AL142" s="714"/>
      <c r="AM142" s="714"/>
      <c r="AN142" s="714"/>
      <c r="AO142" s="714"/>
      <c r="AP142" s="715"/>
      <c r="AQ142" s="716"/>
      <c r="AR142" s="708"/>
      <c r="AS142" s="708"/>
    </row>
    <row r="143" spans="1:45" s="712" customFormat="1" ht="12.75" customHeight="1" x14ac:dyDescent="0.25">
      <c r="A143" s="711"/>
      <c r="B143" s="8"/>
      <c r="C143" s="1996"/>
      <c r="D143" s="1997"/>
      <c r="E143" s="1997"/>
      <c r="F143" s="1997"/>
      <c r="G143" s="1997"/>
      <c r="H143" s="1997"/>
      <c r="I143" s="1997"/>
      <c r="J143" s="1997"/>
      <c r="K143" s="1997"/>
      <c r="L143" s="1997"/>
      <c r="M143" s="1997"/>
      <c r="N143" s="1997"/>
      <c r="O143" s="1997"/>
      <c r="P143" s="1997"/>
      <c r="Q143" s="1998"/>
      <c r="R143" s="8"/>
      <c r="S143" s="8"/>
      <c r="T143" s="8"/>
      <c r="U143" s="8"/>
      <c r="V143" s="714"/>
      <c r="W143" s="714"/>
      <c r="X143" s="714"/>
      <c r="Y143" s="714"/>
      <c r="Z143" s="714"/>
      <c r="AA143" s="714"/>
      <c r="AB143" s="714"/>
      <c r="AC143" s="714"/>
      <c r="AD143" s="714"/>
      <c r="AE143" s="714"/>
      <c r="AF143" s="714"/>
      <c r="AG143" s="714"/>
      <c r="AH143" s="714"/>
      <c r="AI143" s="714"/>
      <c r="AJ143" s="714"/>
      <c r="AK143" s="714"/>
      <c r="AL143" s="714"/>
      <c r="AM143" s="714"/>
      <c r="AN143" s="714"/>
      <c r="AO143" s="714"/>
      <c r="AP143" s="715"/>
      <c r="AQ143" s="716"/>
      <c r="AR143" s="708"/>
      <c r="AS143" s="708"/>
    </row>
    <row r="144" spans="1:45" s="712" customFormat="1" ht="12.75" customHeight="1" x14ac:dyDescent="0.25">
      <c r="A144" s="711"/>
      <c r="B144" s="8"/>
      <c r="C144" s="1996"/>
      <c r="D144" s="1997"/>
      <c r="E144" s="1997"/>
      <c r="F144" s="1997"/>
      <c r="G144" s="1997"/>
      <c r="H144" s="1997"/>
      <c r="I144" s="1997"/>
      <c r="J144" s="1997"/>
      <c r="K144" s="1997"/>
      <c r="L144" s="1997"/>
      <c r="M144" s="1997"/>
      <c r="N144" s="1997"/>
      <c r="O144" s="1997"/>
      <c r="P144" s="1997"/>
      <c r="Q144" s="1998"/>
      <c r="R144" s="8"/>
      <c r="S144" s="8"/>
      <c r="T144" s="8"/>
      <c r="U144" s="8"/>
      <c r="V144" s="714"/>
      <c r="W144" s="714"/>
      <c r="X144" s="714"/>
      <c r="Y144" s="714"/>
      <c r="Z144" s="714"/>
      <c r="AA144" s="714"/>
      <c r="AB144" s="714"/>
      <c r="AC144" s="714"/>
      <c r="AD144" s="714"/>
      <c r="AE144" s="714"/>
      <c r="AF144" s="714"/>
      <c r="AG144" s="714"/>
      <c r="AH144" s="714"/>
      <c r="AI144" s="714"/>
      <c r="AJ144" s="714"/>
      <c r="AK144" s="714"/>
      <c r="AL144" s="714"/>
      <c r="AM144" s="714"/>
      <c r="AN144" s="714"/>
      <c r="AO144" s="714"/>
      <c r="AP144" s="715"/>
      <c r="AQ144" s="716"/>
      <c r="AR144" s="708"/>
      <c r="AS144" s="708"/>
    </row>
    <row r="145" spans="1:45" s="712" customFormat="1" ht="12.75" customHeight="1" x14ac:dyDescent="0.25">
      <c r="A145" s="711"/>
      <c r="B145" s="8"/>
      <c r="C145" s="1999"/>
      <c r="D145" s="2000"/>
      <c r="E145" s="2000"/>
      <c r="F145" s="2000"/>
      <c r="G145" s="2000"/>
      <c r="H145" s="2000"/>
      <c r="I145" s="2000"/>
      <c r="J145" s="2000"/>
      <c r="K145" s="2000"/>
      <c r="L145" s="2000"/>
      <c r="M145" s="2000"/>
      <c r="N145" s="2000"/>
      <c r="O145" s="2000"/>
      <c r="P145" s="2000"/>
      <c r="Q145" s="2001"/>
      <c r="R145" s="8"/>
      <c r="S145" s="8"/>
      <c r="T145" s="8"/>
      <c r="U145" s="8"/>
      <c r="V145" s="714"/>
      <c r="W145" s="714"/>
      <c r="X145" s="714"/>
      <c r="Y145" s="714"/>
      <c r="Z145" s="714"/>
      <c r="AA145" s="714"/>
      <c r="AB145" s="714"/>
      <c r="AC145" s="714"/>
      <c r="AD145" s="714"/>
      <c r="AE145" s="714"/>
      <c r="AF145" s="714"/>
      <c r="AG145" s="714"/>
      <c r="AH145" s="714"/>
      <c r="AI145" s="714"/>
      <c r="AJ145" s="714"/>
      <c r="AK145" s="714"/>
      <c r="AL145" s="714"/>
      <c r="AM145" s="714"/>
      <c r="AN145" s="714"/>
      <c r="AO145" s="714"/>
      <c r="AP145" s="715"/>
      <c r="AQ145" s="716"/>
      <c r="AR145" s="708"/>
      <c r="AS145" s="708"/>
    </row>
    <row r="146" spans="1:45" s="712" customFormat="1" ht="12.75" customHeight="1" x14ac:dyDescent="0.25">
      <c r="A146" s="711"/>
      <c r="B146" s="8"/>
      <c r="C146" s="8"/>
      <c r="D146" s="1195"/>
      <c r="E146" s="1195"/>
      <c r="F146" s="1195"/>
      <c r="G146" s="1195"/>
      <c r="H146" s="1195"/>
      <c r="I146" s="1195"/>
      <c r="J146" s="1193"/>
      <c r="K146" s="1193"/>
      <c r="L146" s="1193"/>
      <c r="M146" s="1193"/>
      <c r="N146" s="1191"/>
      <c r="O146" s="1191"/>
      <c r="P146" s="1192"/>
      <c r="Q146" s="1192"/>
      <c r="R146" s="8"/>
      <c r="S146" s="8"/>
      <c r="T146" s="8"/>
      <c r="U146" s="8"/>
      <c r="V146" s="714"/>
      <c r="W146" s="714"/>
      <c r="X146" s="714"/>
      <c r="Y146" s="714"/>
      <c r="Z146" s="714"/>
      <c r="AA146" s="714"/>
      <c r="AB146" s="714"/>
      <c r="AC146" s="714"/>
      <c r="AD146" s="714"/>
      <c r="AE146" s="714"/>
      <c r="AF146" s="714"/>
      <c r="AG146" s="714"/>
      <c r="AH146" s="714"/>
      <c r="AI146" s="714"/>
      <c r="AJ146" s="714"/>
      <c r="AK146" s="714"/>
      <c r="AL146" s="714"/>
      <c r="AM146" s="714"/>
      <c r="AN146" s="714"/>
      <c r="AO146" s="714"/>
      <c r="AP146" s="715"/>
      <c r="AQ146" s="716"/>
      <c r="AR146" s="708"/>
      <c r="AS146" s="708"/>
    </row>
    <row r="147" spans="1:45" s="712" customFormat="1" ht="12.75" customHeight="1" x14ac:dyDescent="0.25">
      <c r="A147" s="711"/>
      <c r="B147" s="8"/>
      <c r="C147" s="8"/>
      <c r="D147" s="1195"/>
      <c r="E147" s="1195"/>
      <c r="F147" s="1195"/>
      <c r="G147" s="1195"/>
      <c r="H147" s="1195"/>
      <c r="I147" s="1195"/>
      <c r="J147" s="1193"/>
      <c r="K147" s="1193"/>
      <c r="L147" s="1193"/>
      <c r="M147" s="1193"/>
      <c r="N147" s="1191"/>
      <c r="O147" s="1191"/>
      <c r="P147" s="1192"/>
      <c r="Q147" s="1192"/>
      <c r="R147" s="8"/>
      <c r="S147" s="8"/>
      <c r="T147" s="8"/>
      <c r="U147" s="8"/>
      <c r="V147" s="714"/>
      <c r="W147" s="714"/>
      <c r="X147" s="714"/>
      <c r="Y147" s="714"/>
      <c r="Z147" s="714"/>
      <c r="AA147" s="714"/>
      <c r="AB147" s="714"/>
      <c r="AC147" s="714"/>
      <c r="AD147" s="714"/>
      <c r="AE147" s="714"/>
      <c r="AF147" s="714"/>
      <c r="AG147" s="714"/>
      <c r="AH147" s="714"/>
      <c r="AI147" s="714"/>
      <c r="AJ147" s="714"/>
      <c r="AK147" s="714"/>
      <c r="AL147" s="714"/>
      <c r="AM147" s="714"/>
      <c r="AN147" s="714"/>
      <c r="AO147" s="714"/>
      <c r="AP147" s="715"/>
      <c r="AQ147" s="716"/>
      <c r="AR147" s="708"/>
      <c r="AS147" s="708"/>
    </row>
    <row r="148" spans="1:45" s="712" customFormat="1" ht="12.75" customHeight="1" x14ac:dyDescent="0.25">
      <c r="A148" s="711"/>
      <c r="B148" s="708"/>
      <c r="C148" s="708"/>
      <c r="F148" s="713"/>
      <c r="G148" s="713"/>
      <c r="H148" s="713"/>
      <c r="I148" s="713"/>
      <c r="J148" s="714"/>
      <c r="K148" s="714"/>
      <c r="L148" s="714"/>
      <c r="M148" s="714"/>
      <c r="N148" s="714"/>
      <c r="O148" s="714"/>
      <c r="P148" s="714"/>
      <c r="Q148" s="714"/>
      <c r="R148" s="714"/>
      <c r="S148" s="714"/>
      <c r="T148" s="714"/>
      <c r="U148" s="714"/>
      <c r="V148" s="714"/>
      <c r="W148" s="714"/>
      <c r="X148" s="714"/>
      <c r="Y148" s="714"/>
      <c r="Z148" s="714"/>
      <c r="AA148" s="714"/>
      <c r="AB148" s="714"/>
      <c r="AC148" s="714"/>
      <c r="AD148" s="714"/>
      <c r="AE148" s="714"/>
      <c r="AF148" s="714"/>
      <c r="AG148" s="714"/>
      <c r="AH148" s="714"/>
      <c r="AI148" s="714"/>
      <c r="AJ148" s="714"/>
      <c r="AK148" s="714"/>
      <c r="AL148" s="714"/>
      <c r="AM148" s="714"/>
      <c r="AN148" s="714"/>
      <c r="AO148" s="714"/>
      <c r="AP148" s="715"/>
      <c r="AQ148" s="716"/>
      <c r="AR148" s="708"/>
      <c r="AS148" s="708"/>
    </row>
    <row r="149" spans="1:45" s="712" customFormat="1" ht="12.75" customHeight="1" x14ac:dyDescent="0.25">
      <c r="A149" s="44" t="s">
        <v>636</v>
      </c>
      <c r="B149" s="44"/>
      <c r="C149" s="44"/>
      <c r="D149" s="44"/>
      <c r="E149" s="44"/>
      <c r="F149" s="44"/>
      <c r="G149" s="44"/>
      <c r="H149" s="44"/>
      <c r="I149" s="44"/>
      <c r="J149" s="45"/>
      <c r="K149" s="45"/>
      <c r="L149" s="45"/>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715"/>
      <c r="AQ149" s="716"/>
      <c r="AR149" s="708"/>
      <c r="AS149" s="708"/>
    </row>
    <row r="150" spans="1:45" s="712" customFormat="1" ht="12.75" customHeight="1" x14ac:dyDescent="0.25">
      <c r="A150" s="711"/>
      <c r="B150" s="708"/>
      <c r="C150" s="708"/>
      <c r="F150" s="713"/>
      <c r="G150" s="713"/>
      <c r="H150" s="713"/>
      <c r="I150" s="713"/>
      <c r="J150" s="714"/>
      <c r="K150" s="714"/>
      <c r="L150" s="714"/>
      <c r="M150" s="714"/>
      <c r="N150" s="714"/>
      <c r="O150" s="714"/>
      <c r="P150" s="714"/>
      <c r="Q150" s="714"/>
      <c r="R150" s="714"/>
      <c r="S150" s="714"/>
      <c r="T150" s="714"/>
      <c r="U150" s="714"/>
      <c r="V150" s="714"/>
      <c r="W150" s="714"/>
      <c r="X150" s="714"/>
      <c r="Y150" s="714"/>
      <c r="Z150" s="714"/>
      <c r="AA150" s="714"/>
      <c r="AB150" s="714"/>
      <c r="AC150" s="714"/>
      <c r="AD150" s="714"/>
      <c r="AE150" s="714"/>
      <c r="AF150" s="714"/>
      <c r="AG150" s="714"/>
      <c r="AH150" s="714"/>
      <c r="AI150" s="714"/>
      <c r="AJ150" s="714"/>
      <c r="AK150" s="714"/>
      <c r="AL150" s="714"/>
      <c r="AM150" s="714"/>
      <c r="AN150" s="714"/>
      <c r="AO150" s="714"/>
      <c r="AP150" s="715"/>
      <c r="AQ150" s="716"/>
      <c r="AR150" s="708"/>
      <c r="AS150" s="708"/>
    </row>
    <row r="151" spans="1:45" s="712" customFormat="1" ht="12.75" customHeight="1" x14ac:dyDescent="0.25">
      <c r="A151" s="711"/>
      <c r="B151" s="55" t="s">
        <v>550</v>
      </c>
      <c r="C151" s="55"/>
      <c r="D151" s="81"/>
      <c r="E151" s="81"/>
      <c r="F151" s="81"/>
      <c r="G151" s="81"/>
      <c r="H151" s="81"/>
      <c r="I151" s="81"/>
      <c r="J151" s="81"/>
      <c r="K151" s="81"/>
      <c r="L151" s="81"/>
      <c r="M151" s="81"/>
      <c r="N151" s="81"/>
      <c r="O151" s="55"/>
      <c r="P151" s="55"/>
      <c r="Q151" s="55"/>
      <c r="R151" s="797"/>
      <c r="S151" s="797"/>
      <c r="T151" s="797"/>
      <c r="U151" s="797"/>
      <c r="V151" s="797"/>
      <c r="W151" s="797"/>
      <c r="X151" s="797"/>
      <c r="Y151" s="797"/>
      <c r="Z151" s="797"/>
      <c r="AA151" s="797"/>
      <c r="AB151" s="797"/>
      <c r="AC151" s="797"/>
      <c r="AD151" s="797"/>
      <c r="AE151" s="797"/>
      <c r="AF151" s="797"/>
      <c r="AG151" s="797"/>
      <c r="AH151" s="797"/>
      <c r="AI151" s="797"/>
      <c r="AJ151" s="797"/>
      <c r="AK151" s="797"/>
      <c r="AL151" s="797"/>
      <c r="AM151" s="797"/>
      <c r="AN151" s="797"/>
      <c r="AO151" s="797"/>
      <c r="AP151" s="715"/>
      <c r="AQ151" s="716"/>
      <c r="AR151" s="708"/>
      <c r="AS151" s="708"/>
    </row>
    <row r="152" spans="1:45" s="712" customFormat="1" ht="12.75" customHeight="1" x14ac:dyDescent="0.25">
      <c r="A152" s="711"/>
      <c r="B152" s="708"/>
      <c r="C152" s="708"/>
      <c r="F152" s="713"/>
      <c r="G152" s="713"/>
      <c r="H152" s="713"/>
      <c r="I152" s="713"/>
      <c r="J152" s="714"/>
      <c r="K152" s="714"/>
      <c r="L152" s="714"/>
      <c r="M152" s="714"/>
      <c r="N152" s="714"/>
      <c r="O152" s="714"/>
      <c r="P152" s="714"/>
      <c r="Q152" s="714"/>
      <c r="R152" s="714"/>
      <c r="S152" s="714"/>
      <c r="T152" s="714"/>
      <c r="U152" s="714"/>
      <c r="V152" s="714"/>
      <c r="W152" s="714"/>
      <c r="X152" s="714"/>
      <c r="Y152" s="714"/>
      <c r="Z152" s="714"/>
      <c r="AA152" s="714"/>
      <c r="AB152" s="714"/>
      <c r="AC152" s="714"/>
      <c r="AD152" s="714"/>
      <c r="AE152" s="714"/>
      <c r="AF152" s="714"/>
      <c r="AG152" s="714"/>
      <c r="AH152" s="714"/>
      <c r="AI152" s="714"/>
      <c r="AJ152" s="714"/>
      <c r="AK152" s="714"/>
      <c r="AL152" s="714"/>
      <c r="AM152" s="714"/>
      <c r="AN152" s="714"/>
      <c r="AO152" s="714"/>
      <c r="AP152" s="715"/>
      <c r="AQ152" s="716"/>
      <c r="AR152" s="708"/>
      <c r="AS152" s="708"/>
    </row>
    <row r="153" spans="1:45" s="712" customFormat="1" ht="12.75" customHeight="1" x14ac:dyDescent="0.25">
      <c r="A153" s="711"/>
      <c r="B153" s="708"/>
      <c r="C153" s="708" t="s">
        <v>575</v>
      </c>
      <c r="F153" s="713"/>
      <c r="G153" s="713"/>
      <c r="I153" s="713"/>
      <c r="J153" s="714"/>
      <c r="K153" s="714"/>
      <c r="L153" s="714"/>
      <c r="M153" s="714"/>
      <c r="N153" s="714"/>
      <c r="O153" s="2022" t="s">
        <v>574</v>
      </c>
      <c r="P153" s="2023"/>
      <c r="Q153" s="714"/>
      <c r="R153" s="714"/>
      <c r="S153" s="714"/>
      <c r="T153" s="714"/>
      <c r="U153" s="714"/>
      <c r="V153" s="714"/>
      <c r="W153" s="714"/>
      <c r="X153" s="714"/>
      <c r="Y153" s="714"/>
      <c r="Z153" s="714"/>
      <c r="AA153" s="714"/>
      <c r="AB153" s="714"/>
      <c r="AC153" s="714"/>
      <c r="AD153" s="714"/>
      <c r="AE153" s="714"/>
      <c r="AF153" s="714"/>
      <c r="AG153" s="714"/>
      <c r="AH153" s="714"/>
      <c r="AI153" s="714"/>
      <c r="AJ153" s="714"/>
      <c r="AK153" s="714"/>
      <c r="AL153" s="714"/>
      <c r="AM153" s="714"/>
      <c r="AN153" s="714"/>
      <c r="AO153" s="714"/>
      <c r="AP153" s="715"/>
      <c r="AQ153" s="716"/>
      <c r="AR153" s="708"/>
      <c r="AS153" s="708"/>
    </row>
    <row r="154" spans="1:45" s="712" customFormat="1" ht="12.75" customHeight="1" x14ac:dyDescent="0.25">
      <c r="A154" s="711"/>
      <c r="B154" s="708"/>
      <c r="C154" s="708"/>
      <c r="D154" s="708" t="s">
        <v>549</v>
      </c>
      <c r="F154" s="713"/>
      <c r="G154" s="713"/>
      <c r="I154" s="713"/>
      <c r="J154" s="68" t="s">
        <v>16</v>
      </c>
      <c r="K154" s="68"/>
      <c r="L154" s="68"/>
      <c r="M154" s="714"/>
      <c r="N154" s="714"/>
      <c r="O154" s="2004">
        <v>0</v>
      </c>
      <c r="P154" s="2005"/>
      <c r="Q154" s="714"/>
      <c r="R154" s="714"/>
      <c r="S154" s="714"/>
      <c r="T154" s="714"/>
      <c r="U154" s="714"/>
      <c r="V154" s="714"/>
      <c r="W154" s="714"/>
      <c r="X154" s="714"/>
      <c r="Y154" s="714"/>
      <c r="Z154" s="714"/>
      <c r="AA154" s="714"/>
      <c r="AB154" s="714"/>
      <c r="AC154" s="714"/>
      <c r="AD154" s="714"/>
      <c r="AE154" s="714"/>
      <c r="AF154" s="714"/>
      <c r="AG154" s="714"/>
      <c r="AH154" s="714"/>
      <c r="AI154" s="714"/>
      <c r="AJ154" s="714"/>
      <c r="AK154" s="714"/>
      <c r="AL154" s="714"/>
      <c r="AM154" s="714"/>
      <c r="AN154" s="714"/>
      <c r="AO154" s="714"/>
      <c r="AP154" s="715"/>
      <c r="AQ154" s="716"/>
      <c r="AR154" s="708"/>
      <c r="AS154" s="708"/>
    </row>
    <row r="155" spans="1:45" s="712" customFormat="1" ht="12.75" customHeight="1" x14ac:dyDescent="0.25">
      <c r="A155" s="711"/>
      <c r="B155" s="708"/>
      <c r="C155" s="708"/>
      <c r="D155" s="708" t="s">
        <v>576</v>
      </c>
      <c r="F155" s="713"/>
      <c r="G155" s="713"/>
      <c r="I155" s="713"/>
      <c r="J155" s="68" t="s">
        <v>16</v>
      </c>
      <c r="K155" s="68"/>
      <c r="L155" s="68"/>
      <c r="M155" s="714"/>
      <c r="N155" s="714"/>
      <c r="O155" s="2024" t="s">
        <v>612</v>
      </c>
      <c r="P155" s="2025"/>
      <c r="Q155" s="714"/>
      <c r="R155" s="714"/>
      <c r="S155" s="714"/>
      <c r="T155" s="714"/>
      <c r="U155" s="714"/>
      <c r="V155" s="714"/>
      <c r="W155" s="714"/>
      <c r="X155" s="714"/>
      <c r="Y155" s="714"/>
      <c r="Z155" s="714"/>
      <c r="AA155" s="714"/>
      <c r="AB155" s="714"/>
      <c r="AC155" s="714"/>
      <c r="AD155" s="714"/>
      <c r="AE155" s="714"/>
      <c r="AF155" s="714"/>
      <c r="AG155" s="714"/>
      <c r="AH155" s="714"/>
      <c r="AI155" s="714"/>
      <c r="AJ155" s="714"/>
      <c r="AK155" s="714"/>
      <c r="AL155" s="714"/>
      <c r="AM155" s="714"/>
      <c r="AN155" s="714"/>
      <c r="AO155" s="714"/>
      <c r="AP155" s="715"/>
      <c r="AQ155" s="716"/>
      <c r="AR155" s="708"/>
      <c r="AS155" s="708"/>
    </row>
    <row r="156" spans="1:45" s="712" customFormat="1" ht="12.75" customHeight="1" x14ac:dyDescent="0.25">
      <c r="A156" s="711"/>
      <c r="B156" s="708"/>
      <c r="C156" s="708"/>
      <c r="D156" s="708" t="s">
        <v>579</v>
      </c>
      <c r="F156" s="713"/>
      <c r="G156" s="713"/>
      <c r="H156" s="713"/>
      <c r="I156" s="713"/>
      <c r="J156" s="68" t="s">
        <v>16</v>
      </c>
      <c r="K156" s="714"/>
      <c r="L156" s="714"/>
      <c r="M156" s="714"/>
      <c r="N156" s="714"/>
      <c r="O156" s="2006">
        <v>-0.2</v>
      </c>
      <c r="P156" s="2007"/>
      <c r="Q156" s="714"/>
      <c r="R156" s="714"/>
      <c r="S156" s="714"/>
      <c r="T156" s="714"/>
      <c r="U156" s="714"/>
      <c r="V156" s="714"/>
      <c r="W156" s="714"/>
      <c r="X156" s="714"/>
      <c r="Y156" s="714"/>
      <c r="Z156" s="714"/>
      <c r="AA156" s="714"/>
      <c r="AB156" s="714"/>
      <c r="AC156" s="714"/>
      <c r="AD156" s="714"/>
      <c r="AE156" s="714"/>
      <c r="AF156" s="714"/>
      <c r="AG156" s="714"/>
      <c r="AH156" s="714"/>
      <c r="AI156" s="714"/>
      <c r="AJ156" s="714"/>
      <c r="AK156" s="714"/>
      <c r="AL156" s="714"/>
      <c r="AM156" s="714"/>
      <c r="AN156" s="714"/>
      <c r="AO156" s="714"/>
      <c r="AP156" s="715"/>
      <c r="AQ156" s="716"/>
      <c r="AR156" s="708"/>
      <c r="AS156" s="708"/>
    </row>
    <row r="157" spans="1:45" s="712" customFormat="1" ht="12.75" customHeight="1" x14ac:dyDescent="0.25">
      <c r="A157" s="711"/>
      <c r="B157" s="708"/>
      <c r="C157" s="708"/>
      <c r="F157" s="713"/>
      <c r="G157" s="713"/>
      <c r="H157" s="713"/>
      <c r="I157" s="713"/>
      <c r="J157" s="714"/>
      <c r="K157" s="714"/>
      <c r="L157" s="714"/>
      <c r="M157" s="714"/>
      <c r="N157" s="714"/>
      <c r="O157" s="714"/>
      <c r="P157" s="714"/>
      <c r="Q157" s="714"/>
      <c r="R157" s="714"/>
      <c r="S157" s="714"/>
      <c r="T157" s="714"/>
      <c r="U157" s="714"/>
      <c r="V157" s="714"/>
      <c r="W157" s="714"/>
      <c r="X157" s="714"/>
      <c r="Y157" s="714"/>
      <c r="Z157" s="714"/>
      <c r="AA157" s="714"/>
      <c r="AB157" s="714"/>
      <c r="AC157" s="714"/>
      <c r="AD157" s="714"/>
      <c r="AE157" s="714"/>
      <c r="AF157" s="714"/>
      <c r="AG157" s="714"/>
      <c r="AH157" s="714"/>
      <c r="AI157" s="714"/>
      <c r="AJ157" s="714"/>
      <c r="AK157" s="714"/>
      <c r="AL157" s="714"/>
      <c r="AM157" s="714"/>
      <c r="AN157" s="714"/>
      <c r="AO157" s="714"/>
      <c r="AP157" s="715"/>
      <c r="AQ157" s="716"/>
      <c r="AR157" s="708"/>
      <c r="AS157" s="708"/>
    </row>
    <row r="158" spans="1:45" s="712" customFormat="1" ht="12.75" customHeight="1" x14ac:dyDescent="0.25">
      <c r="A158" s="711"/>
      <c r="B158" s="52" t="s">
        <v>617</v>
      </c>
      <c r="C158" s="21"/>
      <c r="D158" s="21"/>
      <c r="E158" s="21"/>
      <c r="F158" s="21"/>
      <c r="G158" s="21"/>
      <c r="H158" s="21"/>
      <c r="I158" s="21"/>
      <c r="J158" s="22"/>
      <c r="K158" s="22"/>
      <c r="L158" s="22"/>
      <c r="M158" s="22"/>
      <c r="N158" s="22"/>
      <c r="O158" s="21"/>
      <c r="P158" s="21"/>
      <c r="Q158" s="21"/>
      <c r="R158" s="21"/>
      <c r="S158" s="21"/>
      <c r="T158" s="21"/>
      <c r="U158" s="21"/>
      <c r="V158" s="714"/>
      <c r="W158" s="714"/>
      <c r="X158" s="714"/>
      <c r="Y158" s="714"/>
      <c r="Z158" s="714"/>
      <c r="AA158" s="714"/>
      <c r="AB158" s="714"/>
      <c r="AC158" s="714"/>
      <c r="AD158" s="714"/>
      <c r="AE158" s="714"/>
      <c r="AF158" s="714"/>
      <c r="AG158" s="714"/>
      <c r="AH158" s="714"/>
      <c r="AI158" s="714"/>
      <c r="AJ158" s="714"/>
      <c r="AK158" s="714"/>
      <c r="AL158" s="714"/>
      <c r="AM158" s="714"/>
      <c r="AN158" s="714"/>
      <c r="AO158" s="714"/>
      <c r="AP158" s="715"/>
      <c r="AQ158" s="716"/>
      <c r="AR158" s="708"/>
      <c r="AS158" s="708"/>
    </row>
    <row r="159" spans="1:45" s="712" customFormat="1" ht="12.75" customHeight="1" x14ac:dyDescent="0.25">
      <c r="A159" s="711"/>
      <c r="B159" s="8"/>
      <c r="C159" s="8"/>
      <c r="D159" s="8"/>
      <c r="E159" s="8"/>
      <c r="F159" s="8"/>
      <c r="G159" s="8"/>
      <c r="H159" s="8"/>
      <c r="I159" s="11"/>
      <c r="J159" s="1157"/>
      <c r="K159" s="1157"/>
      <c r="L159" s="1157"/>
      <c r="M159" s="1157"/>
      <c r="N159" s="1157"/>
      <c r="O159" s="1157"/>
      <c r="P159" s="40"/>
      <c r="Q159" s="8"/>
      <c r="R159" s="8"/>
      <c r="S159" s="8"/>
      <c r="T159" s="8"/>
      <c r="U159" s="8"/>
      <c r="V159" s="714"/>
      <c r="W159" s="714"/>
      <c r="X159" s="714"/>
      <c r="Y159" s="714"/>
      <c r="Z159" s="714"/>
      <c r="AA159" s="714"/>
      <c r="AB159" s="714"/>
      <c r="AC159" s="714"/>
      <c r="AD159" s="714"/>
      <c r="AE159" s="714"/>
      <c r="AF159" s="714"/>
      <c r="AG159" s="714"/>
      <c r="AH159" s="714"/>
      <c r="AI159" s="714"/>
      <c r="AJ159" s="714"/>
      <c r="AK159" s="714"/>
      <c r="AL159" s="714"/>
      <c r="AM159" s="714"/>
      <c r="AN159" s="714"/>
      <c r="AO159" s="714"/>
      <c r="AP159" s="715"/>
      <c r="AQ159" s="716"/>
      <c r="AR159" s="708"/>
      <c r="AS159" s="708"/>
    </row>
    <row r="160" spans="1:45" s="712" customFormat="1" ht="12.75" customHeight="1" x14ac:dyDescent="0.25">
      <c r="A160" s="711"/>
      <c r="B160" s="8"/>
      <c r="C160" s="8"/>
      <c r="D160" s="8"/>
      <c r="E160" s="8"/>
      <c r="F160" s="8"/>
      <c r="G160" s="8"/>
      <c r="H160" s="8"/>
      <c r="I160" s="11"/>
      <c r="J160" s="1157"/>
      <c r="K160" s="1157"/>
      <c r="L160" s="1157"/>
      <c r="M160" s="1157"/>
      <c r="N160" s="1157"/>
      <c r="O160" s="1157"/>
      <c r="P160" s="40"/>
      <c r="Q160" s="8"/>
      <c r="R160" s="8"/>
      <c r="S160" s="8"/>
      <c r="T160" s="8"/>
      <c r="U160" s="8"/>
      <c r="V160" s="714"/>
      <c r="W160" s="714"/>
      <c r="X160" s="714"/>
      <c r="Y160" s="714"/>
      <c r="Z160" s="714"/>
      <c r="AA160" s="714"/>
      <c r="AB160" s="714"/>
      <c r="AC160" s="714"/>
      <c r="AD160" s="714"/>
      <c r="AE160" s="714"/>
      <c r="AF160" s="714"/>
      <c r="AG160" s="714"/>
      <c r="AH160" s="714"/>
      <c r="AI160" s="714"/>
      <c r="AJ160" s="714"/>
      <c r="AK160" s="714"/>
      <c r="AL160" s="714"/>
      <c r="AM160" s="714"/>
      <c r="AN160" s="714"/>
      <c r="AO160" s="714"/>
      <c r="AP160" s="715"/>
      <c r="AQ160" s="716"/>
      <c r="AR160" s="708"/>
      <c r="AS160" s="708"/>
    </row>
    <row r="161" spans="1:45" s="712" customFormat="1" ht="12.75" customHeight="1" x14ac:dyDescent="0.25">
      <c r="A161" s="711"/>
      <c r="B161" s="8"/>
      <c r="C161" s="8"/>
      <c r="D161" s="8"/>
      <c r="E161" s="8"/>
      <c r="F161" s="8"/>
      <c r="G161" s="8"/>
      <c r="H161" s="8"/>
      <c r="I161" s="8"/>
      <c r="J161" s="1156"/>
      <c r="K161" s="1156"/>
      <c r="L161" s="1156"/>
      <c r="M161" s="1156"/>
      <c r="N161" s="1621" t="s">
        <v>574</v>
      </c>
      <c r="O161" s="1622"/>
      <c r="P161" s="1622"/>
      <c r="Q161" s="1623"/>
      <c r="R161" s="8"/>
      <c r="S161" s="8"/>
      <c r="T161" s="8"/>
      <c r="U161" s="8"/>
      <c r="V161" s="714"/>
      <c r="W161" s="714"/>
      <c r="X161" s="714"/>
      <c r="Y161" s="714"/>
      <c r="Z161" s="714"/>
      <c r="AA161" s="714"/>
      <c r="AB161" s="714"/>
      <c r="AC161" s="714"/>
      <c r="AD161" s="714"/>
      <c r="AE161" s="714"/>
      <c r="AF161" s="714"/>
      <c r="AG161" s="714"/>
      <c r="AH161" s="714"/>
      <c r="AI161" s="714"/>
      <c r="AJ161" s="714"/>
      <c r="AK161" s="714"/>
      <c r="AL161" s="714"/>
      <c r="AM161" s="714"/>
      <c r="AN161" s="714"/>
      <c r="AO161" s="714"/>
      <c r="AP161" s="715"/>
      <c r="AQ161" s="716"/>
      <c r="AR161" s="708"/>
      <c r="AS161" s="708"/>
    </row>
    <row r="162" spans="1:45" s="712" customFormat="1" ht="12.75" customHeight="1" x14ac:dyDescent="0.25">
      <c r="A162" s="711"/>
      <c r="B162" s="8"/>
      <c r="C162" s="8"/>
      <c r="D162" s="8"/>
      <c r="E162" s="8"/>
      <c r="F162" s="8"/>
      <c r="G162" s="8"/>
      <c r="H162" s="8"/>
      <c r="I162" s="8"/>
      <c r="J162" s="1156"/>
      <c r="K162" s="1156"/>
      <c r="L162" s="1156"/>
      <c r="M162" s="1156"/>
      <c r="N162" s="1577" t="s">
        <v>201</v>
      </c>
      <c r="O162" s="1578"/>
      <c r="P162" s="1579" t="s">
        <v>202</v>
      </c>
      <c r="Q162" s="1580"/>
      <c r="R162" s="8"/>
      <c r="S162" s="8"/>
      <c r="T162" s="8"/>
      <c r="U162" s="8"/>
      <c r="V162" s="714"/>
      <c r="W162" s="714"/>
      <c r="X162" s="714"/>
      <c r="Y162" s="714"/>
      <c r="Z162" s="714"/>
      <c r="AA162" s="714"/>
      <c r="AB162" s="714"/>
      <c r="AC162" s="714"/>
      <c r="AD162" s="714"/>
      <c r="AE162" s="714"/>
      <c r="AF162" s="714"/>
      <c r="AG162" s="714"/>
      <c r="AH162" s="714"/>
      <c r="AI162" s="714"/>
      <c r="AJ162" s="714"/>
      <c r="AK162" s="714"/>
      <c r="AL162" s="714"/>
      <c r="AM162" s="714"/>
      <c r="AN162" s="714"/>
      <c r="AO162" s="714"/>
      <c r="AP162" s="715"/>
      <c r="AQ162" s="716"/>
      <c r="AR162" s="708"/>
      <c r="AS162" s="708"/>
    </row>
    <row r="163" spans="1:45" s="712" customFormat="1" ht="12.75" customHeight="1" x14ac:dyDescent="0.25">
      <c r="A163" s="711"/>
      <c r="C163" s="11" t="s">
        <v>580</v>
      </c>
      <c r="E163" s="11"/>
      <c r="F163" s="11"/>
      <c r="G163" s="11"/>
      <c r="H163" s="11"/>
      <c r="I163" s="11"/>
      <c r="J163" s="1157" t="s">
        <v>435</v>
      </c>
      <c r="K163" s="1157"/>
      <c r="L163" s="1157"/>
      <c r="M163" s="1157"/>
      <c r="N163" s="2014">
        <v>6.8444517110738318E-2</v>
      </c>
      <c r="O163" s="2015"/>
      <c r="P163" s="2016">
        <v>6.8444517110738318E-2</v>
      </c>
      <c r="Q163" s="2017"/>
      <c r="R163" s="8"/>
      <c r="S163" s="8"/>
      <c r="T163" s="8"/>
      <c r="U163" s="8"/>
      <c r="V163" s="714"/>
      <c r="W163" s="714"/>
      <c r="X163" s="714"/>
      <c r="Y163" s="714"/>
      <c r="Z163" s="714"/>
      <c r="AA163" s="714"/>
      <c r="AB163" s="714"/>
      <c r="AC163" s="714"/>
      <c r="AD163" s="714"/>
      <c r="AE163" s="714"/>
      <c r="AF163" s="714"/>
      <c r="AG163" s="714"/>
      <c r="AH163" s="714"/>
      <c r="AI163" s="714"/>
      <c r="AJ163" s="714"/>
      <c r="AK163" s="714"/>
      <c r="AL163" s="714"/>
      <c r="AM163" s="714"/>
      <c r="AN163" s="714"/>
      <c r="AO163" s="714"/>
      <c r="AP163" s="715"/>
      <c r="AQ163" s="716"/>
      <c r="AR163" s="708"/>
      <c r="AS163" s="708"/>
    </row>
    <row r="164" spans="1:45" s="712" customFormat="1" ht="12.75" customHeight="1" x14ac:dyDescent="0.25">
      <c r="A164" s="711"/>
      <c r="B164" s="8"/>
      <c r="C164" s="8"/>
      <c r="D164" s="8"/>
      <c r="E164" s="8"/>
      <c r="F164" s="8"/>
      <c r="G164" s="8"/>
      <c r="H164" s="8"/>
      <c r="I164" s="11"/>
      <c r="J164" s="1157"/>
      <c r="K164" s="1157"/>
      <c r="L164" s="1157"/>
      <c r="M164" s="1157"/>
      <c r="N164" s="1208"/>
      <c r="O164" s="1208"/>
      <c r="P164" s="40"/>
      <c r="Q164" s="8"/>
      <c r="R164" s="8"/>
      <c r="S164" s="8"/>
      <c r="T164" s="8"/>
      <c r="U164" s="8"/>
      <c r="V164" s="714"/>
      <c r="W164" s="714"/>
      <c r="X164" s="714"/>
      <c r="Y164" s="714"/>
      <c r="Z164" s="714"/>
      <c r="AA164" s="714"/>
      <c r="AB164" s="714"/>
      <c r="AC164" s="714"/>
      <c r="AD164" s="714"/>
      <c r="AE164" s="714"/>
      <c r="AF164" s="714"/>
      <c r="AG164" s="714"/>
      <c r="AH164" s="714"/>
      <c r="AI164" s="714"/>
      <c r="AJ164" s="714"/>
      <c r="AK164" s="714"/>
      <c r="AL164" s="714"/>
      <c r="AM164" s="714"/>
      <c r="AN164" s="714"/>
      <c r="AO164" s="714"/>
      <c r="AP164" s="715"/>
      <c r="AQ164" s="716"/>
      <c r="AR164" s="708"/>
      <c r="AS164" s="708"/>
    </row>
    <row r="165" spans="1:45" s="712" customFormat="1" ht="12.75" customHeight="1" x14ac:dyDescent="0.25">
      <c r="A165" s="711"/>
      <c r="B165" s="8"/>
      <c r="C165" s="8"/>
      <c r="D165" s="8"/>
      <c r="E165" s="8"/>
      <c r="F165" s="8"/>
      <c r="G165" s="8"/>
      <c r="H165" s="8"/>
      <c r="I165" s="11"/>
      <c r="J165" s="1157"/>
      <c r="K165" s="1157"/>
      <c r="L165" s="1157"/>
      <c r="M165" s="1157"/>
      <c r="N165" s="1208"/>
      <c r="O165" s="1208"/>
      <c r="P165" s="40"/>
      <c r="Q165" s="8"/>
      <c r="R165" s="8"/>
      <c r="S165" s="8"/>
      <c r="T165" s="8"/>
      <c r="U165" s="8"/>
      <c r="V165" s="714"/>
      <c r="W165" s="714"/>
      <c r="X165" s="714"/>
      <c r="Y165" s="714"/>
      <c r="Z165" s="714"/>
      <c r="AA165" s="714"/>
      <c r="AB165" s="714"/>
      <c r="AC165" s="714"/>
      <c r="AD165" s="714"/>
      <c r="AE165" s="714"/>
      <c r="AF165" s="714"/>
      <c r="AG165" s="714"/>
      <c r="AH165" s="714"/>
      <c r="AI165" s="714"/>
      <c r="AJ165" s="714"/>
      <c r="AK165" s="714"/>
      <c r="AL165" s="714"/>
      <c r="AM165" s="714"/>
      <c r="AN165" s="714"/>
      <c r="AO165" s="714"/>
      <c r="AP165" s="715"/>
      <c r="AQ165" s="716"/>
      <c r="AR165" s="708"/>
      <c r="AS165" s="708"/>
    </row>
    <row r="166" spans="1:45" s="712" customFormat="1" ht="12.75" customHeight="1" x14ac:dyDescent="0.25">
      <c r="A166" s="711"/>
      <c r="B166" s="8"/>
      <c r="C166" s="8"/>
      <c r="D166" s="8"/>
      <c r="E166" s="8"/>
      <c r="F166" s="8"/>
      <c r="G166" s="8"/>
      <c r="H166" s="8"/>
      <c r="I166" s="8"/>
      <c r="J166" s="1157"/>
      <c r="K166" s="1157"/>
      <c r="L166" s="1157"/>
      <c r="M166" s="1157"/>
      <c r="N166" s="1574" t="s">
        <v>483</v>
      </c>
      <c r="O166" s="1575"/>
      <c r="P166" s="1575"/>
      <c r="Q166" s="1576"/>
      <c r="R166" s="8"/>
      <c r="S166" s="8"/>
      <c r="T166" s="8"/>
      <c r="U166" s="8"/>
      <c r="V166" s="714"/>
      <c r="W166" s="714"/>
      <c r="X166" s="714"/>
      <c r="Y166" s="714"/>
      <c r="Z166" s="714"/>
      <c r="AA166" s="714"/>
      <c r="AB166" s="714"/>
      <c r="AC166" s="714"/>
      <c r="AD166" s="714"/>
      <c r="AE166" s="714"/>
      <c r="AF166" s="714"/>
      <c r="AG166" s="714"/>
      <c r="AH166" s="714"/>
      <c r="AI166" s="714"/>
      <c r="AJ166" s="714"/>
      <c r="AK166" s="714"/>
      <c r="AL166" s="714"/>
      <c r="AM166" s="714"/>
      <c r="AN166" s="714"/>
      <c r="AO166" s="714"/>
      <c r="AP166" s="715"/>
      <c r="AQ166" s="716"/>
      <c r="AR166" s="708"/>
      <c r="AS166" s="708"/>
    </row>
    <row r="167" spans="1:45" s="712" customFormat="1" ht="12.75" customHeight="1" x14ac:dyDescent="0.25">
      <c r="A167" s="711"/>
      <c r="B167" s="8"/>
      <c r="C167" s="11"/>
      <c r="D167" s="11"/>
      <c r="E167" s="11"/>
      <c r="F167" s="11"/>
      <c r="G167" s="11"/>
      <c r="H167" s="11"/>
      <c r="I167" s="8"/>
      <c r="J167" s="1157"/>
      <c r="K167" s="1157"/>
      <c r="L167" s="1157"/>
      <c r="M167" s="1157"/>
      <c r="N167" s="1577" t="s">
        <v>201</v>
      </c>
      <c r="O167" s="1578"/>
      <c r="P167" s="1579" t="s">
        <v>202</v>
      </c>
      <c r="Q167" s="1580"/>
      <c r="R167" s="8"/>
      <c r="S167" s="8"/>
      <c r="T167" s="8"/>
      <c r="U167" s="8"/>
      <c r="V167" s="714"/>
      <c r="W167" s="714"/>
      <c r="X167" s="714"/>
      <c r="Y167" s="714"/>
      <c r="Z167" s="714"/>
      <c r="AA167" s="714"/>
      <c r="AB167" s="714"/>
      <c r="AC167" s="714"/>
      <c r="AD167" s="714"/>
      <c r="AE167" s="714"/>
      <c r="AF167" s="714"/>
      <c r="AG167" s="714"/>
      <c r="AH167" s="714"/>
      <c r="AI167" s="714"/>
      <c r="AJ167" s="714"/>
      <c r="AK167" s="714"/>
      <c r="AL167" s="714"/>
      <c r="AM167" s="714"/>
      <c r="AN167" s="714"/>
      <c r="AO167" s="714"/>
      <c r="AP167" s="715"/>
      <c r="AQ167" s="716"/>
      <c r="AR167" s="708"/>
      <c r="AS167" s="708"/>
    </row>
    <row r="168" spans="1:45" s="712" customFormat="1" ht="12.75" customHeight="1" x14ac:dyDescent="0.25">
      <c r="A168" s="711"/>
      <c r="B168" s="8"/>
      <c r="C168" s="11" t="s">
        <v>146</v>
      </c>
      <c r="D168" s="11"/>
      <c r="E168" s="11"/>
      <c r="F168" s="11"/>
      <c r="G168" s="11"/>
      <c r="H168" s="11"/>
      <c r="I168" s="8"/>
      <c r="J168" s="1157"/>
      <c r="K168" s="1157"/>
      <c r="L168" s="1157"/>
      <c r="M168" s="1157"/>
      <c r="N168" s="2018"/>
      <c r="O168" s="2019"/>
      <c r="P168" s="2020"/>
      <c r="Q168" s="2021"/>
      <c r="R168" s="8"/>
      <c r="S168" s="8"/>
      <c r="T168" s="8"/>
      <c r="U168" s="8"/>
      <c r="V168" s="714"/>
      <c r="W168" s="714"/>
      <c r="X168" s="714"/>
      <c r="Y168" s="714"/>
      <c r="Z168" s="714"/>
      <c r="AA168" s="714"/>
      <c r="AB168" s="714"/>
      <c r="AC168" s="714"/>
      <c r="AD168" s="714"/>
      <c r="AE168" s="714"/>
      <c r="AF168" s="714"/>
      <c r="AG168" s="714"/>
      <c r="AH168" s="714"/>
      <c r="AI168" s="714"/>
      <c r="AJ168" s="714"/>
      <c r="AK168" s="714"/>
      <c r="AL168" s="714"/>
      <c r="AM168" s="714"/>
      <c r="AN168" s="714"/>
      <c r="AO168" s="714"/>
      <c r="AP168" s="715"/>
      <c r="AQ168" s="716"/>
      <c r="AR168" s="708"/>
      <c r="AS168" s="708"/>
    </row>
    <row r="169" spans="1:45" s="712" customFormat="1" ht="12.75" customHeight="1" x14ac:dyDescent="0.25">
      <c r="A169" s="711"/>
      <c r="B169" s="8"/>
      <c r="C169" s="11"/>
      <c r="D169" s="11" t="s">
        <v>246</v>
      </c>
      <c r="E169" s="11"/>
      <c r="F169" s="11"/>
      <c r="G169" s="11"/>
      <c r="H169" s="11"/>
      <c r="I169" s="8"/>
      <c r="J169" s="1157"/>
      <c r="K169" s="1157"/>
      <c r="L169" s="1157"/>
      <c r="M169" s="1157"/>
      <c r="N169" s="1585">
        <v>1.9022924456884105</v>
      </c>
      <c r="O169" s="1586"/>
      <c r="P169" s="1581">
        <v>3.3788939108143472</v>
      </c>
      <c r="Q169" s="1582"/>
      <c r="R169" s="8"/>
      <c r="S169" s="8"/>
      <c r="T169" s="8"/>
      <c r="U169" s="8"/>
      <c r="V169" s="714"/>
      <c r="W169" s="714"/>
      <c r="X169" s="714"/>
      <c r="Y169" s="714"/>
      <c r="Z169" s="714"/>
      <c r="AA169" s="714"/>
      <c r="AB169" s="714"/>
      <c r="AC169" s="714"/>
      <c r="AD169" s="714"/>
      <c r="AE169" s="714"/>
      <c r="AF169" s="714"/>
      <c r="AG169" s="714"/>
      <c r="AH169" s="714"/>
      <c r="AI169" s="714"/>
      <c r="AJ169" s="714"/>
      <c r="AK169" s="714"/>
      <c r="AL169" s="714"/>
      <c r="AM169" s="714"/>
      <c r="AN169" s="714"/>
      <c r="AO169" s="714"/>
      <c r="AP169" s="715"/>
      <c r="AQ169" s="716"/>
      <c r="AR169" s="708"/>
      <c r="AS169" s="708"/>
    </row>
    <row r="170" spans="1:45" s="712" customFormat="1" ht="12.75" customHeight="1" x14ac:dyDescent="0.25">
      <c r="A170" s="711"/>
      <c r="B170" s="8"/>
      <c r="C170" s="8"/>
      <c r="D170" s="8" t="s">
        <v>490</v>
      </c>
      <c r="E170" s="8"/>
      <c r="F170" s="8"/>
      <c r="G170" s="8"/>
      <c r="H170" s="8"/>
      <c r="I170" s="8"/>
      <c r="J170" s="1146" t="s">
        <v>437</v>
      </c>
      <c r="K170" s="1146"/>
      <c r="L170" s="1146"/>
      <c r="M170" s="1146"/>
      <c r="N170" s="1547">
        <v>934558832.11678815</v>
      </c>
      <c r="O170" s="1548"/>
      <c r="P170" s="1572">
        <v>934558832.11678815</v>
      </c>
      <c r="Q170" s="1573"/>
      <c r="R170" s="8"/>
      <c r="S170" s="8"/>
      <c r="T170" s="8"/>
      <c r="U170" s="8"/>
      <c r="V170" s="714"/>
      <c r="W170" s="714"/>
      <c r="X170" s="714"/>
      <c r="Y170" s="714"/>
      <c r="Z170" s="714"/>
      <c r="AA170" s="714"/>
      <c r="AB170" s="714"/>
      <c r="AC170" s="714"/>
      <c r="AD170" s="714"/>
      <c r="AE170" s="714"/>
      <c r="AF170" s="714"/>
      <c r="AG170" s="714"/>
      <c r="AH170" s="714"/>
      <c r="AI170" s="714"/>
      <c r="AJ170" s="714"/>
      <c r="AK170" s="714"/>
      <c r="AL170" s="714"/>
      <c r="AM170" s="714"/>
      <c r="AN170" s="714"/>
      <c r="AO170" s="714"/>
      <c r="AP170" s="715"/>
      <c r="AQ170" s="716"/>
      <c r="AR170" s="708"/>
      <c r="AS170" s="708"/>
    </row>
    <row r="171" spans="1:45" s="712" customFormat="1" ht="12.75" customHeight="1" x14ac:dyDescent="0.25">
      <c r="A171" s="711"/>
      <c r="B171" s="8"/>
      <c r="C171" s="8"/>
      <c r="D171" s="1145" t="s">
        <v>563</v>
      </c>
      <c r="E171" s="8"/>
      <c r="F171" s="8"/>
      <c r="G171" s="8"/>
      <c r="H171" s="8"/>
      <c r="I171" s="8"/>
      <c r="J171" s="1146" t="s">
        <v>437</v>
      </c>
      <c r="K171" s="1146"/>
      <c r="L171" s="1146"/>
      <c r="M171" s="1146"/>
      <c r="N171" s="1547">
        <v>490504250.71235436</v>
      </c>
      <c r="O171" s="1548"/>
      <c r="P171" s="1572">
        <v>131607926.40454295</v>
      </c>
      <c r="Q171" s="1573"/>
      <c r="R171" s="8"/>
      <c r="S171" s="8"/>
      <c r="T171" s="8"/>
      <c r="U171" s="8"/>
      <c r="V171" s="714"/>
      <c r="W171" s="714"/>
      <c r="X171" s="714"/>
      <c r="Y171" s="714"/>
      <c r="Z171" s="714"/>
      <c r="AA171" s="714"/>
      <c r="AB171" s="714"/>
      <c r="AC171" s="714"/>
      <c r="AD171" s="714"/>
      <c r="AE171" s="714"/>
      <c r="AF171" s="714"/>
      <c r="AG171" s="714"/>
      <c r="AH171" s="714"/>
      <c r="AI171" s="714"/>
      <c r="AJ171" s="714"/>
      <c r="AK171" s="714"/>
      <c r="AL171" s="714"/>
      <c r="AM171" s="714"/>
      <c r="AN171" s="714"/>
      <c r="AO171" s="714"/>
      <c r="AP171" s="715"/>
      <c r="AQ171" s="716"/>
      <c r="AR171" s="708"/>
      <c r="AS171" s="708"/>
    </row>
    <row r="172" spans="1:45" s="712" customFormat="1" ht="12.75" customHeight="1" x14ac:dyDescent="0.25">
      <c r="A172" s="711"/>
      <c r="B172" s="8"/>
      <c r="C172" s="8"/>
      <c r="D172" s="8" t="s">
        <v>307</v>
      </c>
      <c r="E172" s="8"/>
      <c r="F172" s="8"/>
      <c r="G172" s="8"/>
      <c r="H172" s="8"/>
      <c r="I172" s="8"/>
      <c r="J172" s="1146" t="s">
        <v>437</v>
      </c>
      <c r="K172" s="1146"/>
      <c r="L172" s="1146"/>
      <c r="M172" s="1146"/>
      <c r="N172" s="1547">
        <v>0</v>
      </c>
      <c r="O172" s="1548"/>
      <c r="P172" s="1572">
        <v>140590501.28486151</v>
      </c>
      <c r="Q172" s="1573"/>
      <c r="R172" s="8"/>
      <c r="S172" s="8"/>
      <c r="T172" s="8"/>
      <c r="U172" s="8"/>
      <c r="V172" s="714"/>
      <c r="W172" s="714"/>
      <c r="X172" s="714"/>
      <c r="Y172" s="714"/>
      <c r="Z172" s="714"/>
      <c r="AA172" s="714"/>
      <c r="AB172" s="714"/>
      <c r="AC172" s="714"/>
      <c r="AD172" s="714"/>
      <c r="AE172" s="714"/>
      <c r="AF172" s="714"/>
      <c r="AG172" s="714"/>
      <c r="AH172" s="714"/>
      <c r="AI172" s="714"/>
      <c r="AJ172" s="714"/>
      <c r="AK172" s="714"/>
      <c r="AL172" s="714"/>
      <c r="AM172" s="714"/>
      <c r="AN172" s="714"/>
      <c r="AO172" s="714"/>
      <c r="AP172" s="715"/>
      <c r="AQ172" s="716"/>
      <c r="AR172" s="708"/>
      <c r="AS172" s="708"/>
    </row>
    <row r="173" spans="1:45" s="712" customFormat="1" ht="12.75" customHeight="1" x14ac:dyDescent="0.25">
      <c r="A173" s="711"/>
      <c r="B173" s="8"/>
      <c r="C173" s="8"/>
      <c r="D173" s="8" t="s">
        <v>306</v>
      </c>
      <c r="E173" s="8"/>
      <c r="F173" s="8"/>
      <c r="G173" s="8"/>
      <c r="H173" s="8"/>
      <c r="I173" s="8"/>
      <c r="J173" s="1146" t="s">
        <v>437</v>
      </c>
      <c r="K173" s="1146"/>
      <c r="L173" s="1146"/>
      <c r="M173" s="1146"/>
      <c r="N173" s="1547">
        <v>776064.38062053395</v>
      </c>
      <c r="O173" s="1548"/>
      <c r="P173" s="1572">
        <v>4388780.0727800559</v>
      </c>
      <c r="Q173" s="1573"/>
      <c r="R173" s="8"/>
      <c r="S173" s="8"/>
      <c r="T173" s="8"/>
      <c r="U173" s="8"/>
      <c r="V173" s="714"/>
      <c r="W173" s="714"/>
      <c r="X173" s="714"/>
      <c r="Y173" s="714"/>
      <c r="Z173" s="714"/>
      <c r="AA173" s="714"/>
      <c r="AB173" s="714"/>
      <c r="AC173" s="714"/>
      <c r="AD173" s="714"/>
      <c r="AE173" s="714"/>
      <c r="AF173" s="714"/>
      <c r="AG173" s="714"/>
      <c r="AH173" s="714"/>
      <c r="AI173" s="714"/>
      <c r="AJ173" s="714"/>
      <c r="AK173" s="714"/>
      <c r="AL173" s="714"/>
      <c r="AM173" s="714"/>
      <c r="AN173" s="714"/>
      <c r="AO173" s="714"/>
      <c r="AP173" s="715"/>
      <c r="AQ173" s="716"/>
      <c r="AR173" s="708"/>
      <c r="AS173" s="708"/>
    </row>
    <row r="174" spans="1:45" s="712" customFormat="1" ht="12.75" customHeight="1" x14ac:dyDescent="0.25">
      <c r="A174" s="711"/>
      <c r="B174" s="8"/>
      <c r="C174" s="8"/>
      <c r="D174" s="8"/>
      <c r="E174" s="8"/>
      <c r="F174" s="8"/>
      <c r="G174" s="8"/>
      <c r="H174" s="8"/>
      <c r="I174" s="8"/>
      <c r="J174" s="1146"/>
      <c r="K174" s="1146"/>
      <c r="L174" s="1146"/>
      <c r="M174" s="1146"/>
      <c r="N174" s="1422"/>
      <c r="O174" s="1420"/>
      <c r="P174" s="692"/>
      <c r="Q174" s="1421"/>
      <c r="R174" s="8"/>
      <c r="S174" s="8"/>
      <c r="T174" s="8"/>
      <c r="U174" s="8"/>
      <c r="V174" s="714"/>
      <c r="W174" s="714"/>
      <c r="X174" s="714"/>
      <c r="Y174" s="714"/>
      <c r="Z174" s="714"/>
      <c r="AA174" s="714"/>
      <c r="AB174" s="714"/>
      <c r="AC174" s="714"/>
      <c r="AD174" s="714"/>
      <c r="AE174" s="714"/>
      <c r="AF174" s="714"/>
      <c r="AG174" s="714"/>
      <c r="AH174" s="714"/>
      <c r="AI174" s="714"/>
      <c r="AJ174" s="714"/>
      <c r="AK174" s="714"/>
      <c r="AL174" s="714"/>
      <c r="AM174" s="714"/>
      <c r="AN174" s="714"/>
      <c r="AO174" s="714"/>
      <c r="AP174" s="715"/>
      <c r="AQ174" s="716"/>
      <c r="AR174" s="708"/>
      <c r="AS174" s="708"/>
    </row>
    <row r="175" spans="1:45" s="712" customFormat="1" ht="12.75" customHeight="1" x14ac:dyDescent="0.25">
      <c r="A175" s="711"/>
      <c r="B175" s="8"/>
      <c r="C175" s="11" t="s">
        <v>147</v>
      </c>
      <c r="D175" s="8"/>
      <c r="E175" s="8"/>
      <c r="F175" s="8"/>
      <c r="G175" s="8"/>
      <c r="H175" s="8"/>
      <c r="I175" s="8"/>
      <c r="J175" s="1146"/>
      <c r="K175" s="1146"/>
      <c r="L175" s="1146"/>
      <c r="M175" s="1146"/>
      <c r="N175" s="1422"/>
      <c r="O175" s="1420"/>
      <c r="P175" s="692"/>
      <c r="Q175" s="1421"/>
      <c r="R175" s="8"/>
      <c r="S175" s="8"/>
      <c r="T175" s="8"/>
      <c r="U175" s="8"/>
      <c r="V175" s="714"/>
      <c r="W175" s="714"/>
      <c r="X175" s="714"/>
      <c r="Y175" s="714"/>
      <c r="Z175" s="714"/>
      <c r="AA175" s="714"/>
      <c r="AB175" s="714"/>
      <c r="AC175" s="714"/>
      <c r="AD175" s="714"/>
      <c r="AE175" s="714"/>
      <c r="AF175" s="714"/>
      <c r="AG175" s="714"/>
      <c r="AH175" s="714"/>
      <c r="AI175" s="714"/>
      <c r="AJ175" s="714"/>
      <c r="AK175" s="714"/>
      <c r="AL175" s="714"/>
      <c r="AM175" s="714"/>
      <c r="AN175" s="714"/>
      <c r="AO175" s="714"/>
      <c r="AP175" s="715"/>
      <c r="AQ175" s="716"/>
      <c r="AR175" s="708"/>
      <c r="AS175" s="708"/>
    </row>
    <row r="176" spans="1:45" s="712" customFormat="1" ht="12.75" customHeight="1" x14ac:dyDescent="0.25">
      <c r="A176" s="711"/>
      <c r="B176" s="8"/>
      <c r="C176" s="8"/>
      <c r="D176" s="11" t="s">
        <v>246</v>
      </c>
      <c r="E176" s="11"/>
      <c r="F176" s="11"/>
      <c r="G176" s="11"/>
      <c r="H176" s="11"/>
      <c r="I176" s="8"/>
      <c r="J176" s="1147"/>
      <c r="K176" s="1147"/>
      <c r="L176" s="1147"/>
      <c r="M176" s="1147"/>
      <c r="N176" s="1598"/>
      <c r="O176" s="1590"/>
      <c r="P176" s="1581">
        <v>2.4755007815390493</v>
      </c>
      <c r="Q176" s="1582"/>
      <c r="R176" s="8"/>
      <c r="S176" s="8"/>
      <c r="T176" s="8"/>
      <c r="U176" s="8"/>
      <c r="V176" s="714"/>
      <c r="W176" s="714"/>
      <c r="X176" s="714"/>
      <c r="Y176" s="714"/>
      <c r="Z176" s="714"/>
      <c r="AA176" s="714"/>
      <c r="AB176" s="714"/>
      <c r="AC176" s="714"/>
      <c r="AD176" s="714"/>
      <c r="AE176" s="714"/>
      <c r="AF176" s="714"/>
      <c r="AG176" s="714"/>
      <c r="AH176" s="714"/>
      <c r="AI176" s="714"/>
      <c r="AJ176" s="714"/>
      <c r="AK176" s="714"/>
      <c r="AL176" s="714"/>
      <c r="AM176" s="714"/>
      <c r="AN176" s="714"/>
      <c r="AO176" s="714"/>
      <c r="AP176" s="715"/>
      <c r="AQ176" s="716"/>
      <c r="AR176" s="708"/>
      <c r="AS176" s="708"/>
    </row>
    <row r="177" spans="1:45" s="712" customFormat="1" ht="12.75" customHeight="1" x14ac:dyDescent="0.25">
      <c r="A177" s="711"/>
      <c r="B177" s="8"/>
      <c r="C177" s="8"/>
      <c r="D177" s="8" t="s">
        <v>307</v>
      </c>
      <c r="E177" s="8"/>
      <c r="F177" s="8"/>
      <c r="G177" s="8"/>
      <c r="H177" s="8"/>
      <c r="I177" s="8"/>
      <c r="J177" s="1146" t="s">
        <v>437</v>
      </c>
      <c r="K177" s="1146"/>
      <c r="L177" s="1146"/>
      <c r="M177" s="1146"/>
      <c r="N177" s="1547">
        <v>0</v>
      </c>
      <c r="O177" s="1548"/>
      <c r="P177" s="1572">
        <v>140590501.28486151</v>
      </c>
      <c r="Q177" s="1573"/>
      <c r="R177" s="8"/>
      <c r="S177" s="8"/>
      <c r="T177" s="8"/>
      <c r="U177" s="8"/>
      <c r="V177" s="714"/>
      <c r="W177" s="714"/>
      <c r="X177" s="714"/>
      <c r="Y177" s="714"/>
      <c r="Z177" s="714"/>
      <c r="AA177" s="714"/>
      <c r="AB177" s="714"/>
      <c r="AC177" s="714"/>
      <c r="AD177" s="714"/>
      <c r="AE177" s="714"/>
      <c r="AF177" s="714"/>
      <c r="AG177" s="714"/>
      <c r="AH177" s="714"/>
      <c r="AI177" s="714"/>
      <c r="AJ177" s="714"/>
      <c r="AK177" s="714"/>
      <c r="AL177" s="714"/>
      <c r="AM177" s="714"/>
      <c r="AN177" s="714"/>
      <c r="AO177" s="714"/>
      <c r="AP177" s="715"/>
      <c r="AQ177" s="716"/>
      <c r="AR177" s="708"/>
      <c r="AS177" s="708"/>
    </row>
    <row r="178" spans="1:45" s="712" customFormat="1" ht="12.75" customHeight="1" x14ac:dyDescent="0.25">
      <c r="A178" s="711"/>
      <c r="B178" s="8"/>
      <c r="C178" s="8"/>
      <c r="D178" s="8" t="s">
        <v>306</v>
      </c>
      <c r="E178" s="8"/>
      <c r="F178" s="8"/>
      <c r="G178" s="8"/>
      <c r="H178" s="8"/>
      <c r="I178" s="8"/>
      <c r="J178" s="1146" t="s">
        <v>437</v>
      </c>
      <c r="K178" s="1146"/>
      <c r="L178" s="1146"/>
      <c r="M178" s="1146"/>
      <c r="N178" s="1547">
        <v>776064.38062053395</v>
      </c>
      <c r="O178" s="1548"/>
      <c r="P178" s="1572">
        <v>4388780.0727800559</v>
      </c>
      <c r="Q178" s="1573"/>
      <c r="R178" s="8"/>
      <c r="S178" s="8"/>
      <c r="T178" s="8"/>
      <c r="U178" s="8"/>
      <c r="V178" s="714"/>
      <c r="W178" s="714"/>
      <c r="X178" s="714"/>
      <c r="Y178" s="714"/>
      <c r="Z178" s="714"/>
      <c r="AA178" s="714"/>
      <c r="AB178" s="714"/>
      <c r="AC178" s="714"/>
      <c r="AD178" s="714"/>
      <c r="AE178" s="714"/>
      <c r="AF178" s="714"/>
      <c r="AG178" s="714"/>
      <c r="AH178" s="714"/>
      <c r="AI178" s="714"/>
      <c r="AJ178" s="714"/>
      <c r="AK178" s="714"/>
      <c r="AL178" s="714"/>
      <c r="AM178" s="714"/>
      <c r="AN178" s="714"/>
      <c r="AO178" s="714"/>
      <c r="AP178" s="715"/>
      <c r="AQ178" s="716"/>
      <c r="AR178" s="708"/>
      <c r="AS178" s="708"/>
    </row>
    <row r="179" spans="1:45" s="712" customFormat="1" ht="12.75" customHeight="1" x14ac:dyDescent="0.25">
      <c r="A179" s="711"/>
      <c r="B179" s="8"/>
      <c r="C179" s="8"/>
      <c r="D179" s="1557" t="s">
        <v>564</v>
      </c>
      <c r="E179" s="1557"/>
      <c r="F179" s="1557"/>
      <c r="G179" s="1557"/>
      <c r="H179" s="1557"/>
      <c r="I179" s="1557"/>
      <c r="J179" s="1146" t="s">
        <v>437</v>
      </c>
      <c r="K179" s="1146"/>
      <c r="L179" s="1146"/>
      <c r="M179" s="1146"/>
      <c r="N179" s="1547">
        <v>490504250.71235436</v>
      </c>
      <c r="O179" s="1548"/>
      <c r="P179" s="1572">
        <v>131607926.40454295</v>
      </c>
      <c r="Q179" s="1573"/>
      <c r="R179" s="29"/>
      <c r="S179" s="8"/>
      <c r="T179" s="8"/>
      <c r="U179" s="8"/>
      <c r="V179" s="714"/>
      <c r="W179" s="714"/>
      <c r="X179" s="714"/>
      <c r="Y179" s="714"/>
      <c r="Z179" s="714"/>
      <c r="AA179" s="714"/>
      <c r="AB179" s="714"/>
      <c r="AC179" s="714"/>
      <c r="AD179" s="714"/>
      <c r="AE179" s="714"/>
      <c r="AF179" s="714"/>
      <c r="AG179" s="714"/>
      <c r="AH179" s="714"/>
      <c r="AI179" s="714"/>
      <c r="AJ179" s="714"/>
      <c r="AK179" s="714"/>
      <c r="AL179" s="714"/>
      <c r="AM179" s="714"/>
      <c r="AN179" s="714"/>
      <c r="AO179" s="714"/>
      <c r="AP179" s="715"/>
      <c r="AQ179" s="716"/>
      <c r="AR179" s="708"/>
      <c r="AS179" s="708"/>
    </row>
    <row r="180" spans="1:45" s="712" customFormat="1" ht="12.75" customHeight="1" x14ac:dyDescent="0.25">
      <c r="A180" s="711"/>
      <c r="B180" s="8"/>
      <c r="C180" s="8"/>
      <c r="D180" s="1557" t="s">
        <v>565</v>
      </c>
      <c r="E180" s="1557"/>
      <c r="F180" s="1557"/>
      <c r="G180" s="1557"/>
      <c r="H180" s="1557"/>
      <c r="I180" s="1557"/>
      <c r="J180" s="1146" t="s">
        <v>437</v>
      </c>
      <c r="K180" s="1146"/>
      <c r="L180" s="1146"/>
      <c r="M180" s="1146"/>
      <c r="N180" s="1598"/>
      <c r="O180" s="1590"/>
      <c r="P180" s="1572">
        <v>358896324.30781138</v>
      </c>
      <c r="Q180" s="1573"/>
      <c r="R180" s="8"/>
      <c r="S180" s="8"/>
      <c r="T180" s="8"/>
      <c r="U180" s="8"/>
      <c r="V180" s="714"/>
      <c r="W180" s="714"/>
      <c r="X180" s="714"/>
      <c r="Y180" s="714"/>
      <c r="Z180" s="714"/>
      <c r="AA180" s="714"/>
      <c r="AB180" s="714"/>
      <c r="AC180" s="714"/>
      <c r="AD180" s="714"/>
      <c r="AE180" s="714"/>
      <c r="AF180" s="714"/>
      <c r="AG180" s="714"/>
      <c r="AH180" s="714"/>
      <c r="AI180" s="714"/>
      <c r="AJ180" s="714"/>
      <c r="AK180" s="714"/>
      <c r="AL180" s="714"/>
      <c r="AM180" s="714"/>
      <c r="AN180" s="714"/>
      <c r="AO180" s="714"/>
      <c r="AP180" s="715"/>
      <c r="AQ180" s="716"/>
      <c r="AR180" s="708"/>
      <c r="AS180" s="708"/>
    </row>
    <row r="181" spans="1:45" s="712" customFormat="1" ht="12.75" customHeight="1" x14ac:dyDescent="0.25">
      <c r="A181" s="711"/>
      <c r="B181" s="8"/>
      <c r="C181" s="8"/>
      <c r="D181" s="8"/>
      <c r="E181" s="8"/>
      <c r="F181" s="8"/>
      <c r="G181" s="8"/>
      <c r="H181" s="8"/>
      <c r="I181" s="8"/>
      <c r="J181" s="1146"/>
      <c r="K181" s="1146"/>
      <c r="L181" s="1146"/>
      <c r="M181" s="1146"/>
      <c r="N181" s="1422"/>
      <c r="O181" s="1420"/>
      <c r="P181" s="692"/>
      <c r="Q181" s="1421"/>
      <c r="R181" s="8"/>
      <c r="S181" s="8"/>
      <c r="T181" s="8"/>
      <c r="U181" s="8"/>
      <c r="V181" s="714"/>
      <c r="W181" s="714"/>
      <c r="X181" s="714"/>
      <c r="Y181" s="714"/>
      <c r="Z181" s="714"/>
      <c r="AA181" s="714"/>
      <c r="AB181" s="714"/>
      <c r="AC181" s="714"/>
      <c r="AD181" s="714"/>
      <c r="AE181" s="714"/>
      <c r="AF181" s="714"/>
      <c r="AG181" s="714"/>
      <c r="AH181" s="714"/>
      <c r="AI181" s="714"/>
      <c r="AJ181" s="714"/>
      <c r="AK181" s="714"/>
      <c r="AL181" s="714"/>
      <c r="AM181" s="714"/>
      <c r="AN181" s="714"/>
      <c r="AO181" s="714"/>
      <c r="AP181" s="715"/>
      <c r="AQ181" s="716"/>
      <c r="AR181" s="708"/>
      <c r="AS181" s="708"/>
    </row>
    <row r="182" spans="1:45" s="712" customFormat="1" ht="12.75" customHeight="1" x14ac:dyDescent="0.25">
      <c r="A182" s="711"/>
      <c r="B182" s="8"/>
      <c r="C182" s="11" t="s">
        <v>187</v>
      </c>
      <c r="D182" s="11"/>
      <c r="E182" s="11"/>
      <c r="F182" s="11"/>
      <c r="G182" s="11"/>
      <c r="H182" s="11"/>
      <c r="I182" s="8"/>
      <c r="J182" s="748"/>
      <c r="K182" s="748"/>
      <c r="L182" s="748"/>
      <c r="M182" s="748"/>
      <c r="N182" s="1611"/>
      <c r="O182" s="1612"/>
      <c r="P182" s="1603"/>
      <c r="Q182" s="1604"/>
      <c r="R182" s="8"/>
      <c r="S182" s="8"/>
      <c r="T182" s="8"/>
      <c r="U182" s="8"/>
      <c r="V182" s="714"/>
      <c r="W182" s="714"/>
      <c r="X182" s="714"/>
      <c r="Y182" s="714"/>
      <c r="Z182" s="714"/>
      <c r="AA182" s="714"/>
      <c r="AB182" s="714"/>
      <c r="AC182" s="714"/>
      <c r="AD182" s="714"/>
      <c r="AE182" s="714"/>
      <c r="AF182" s="714"/>
      <c r="AG182" s="714"/>
      <c r="AH182" s="714"/>
      <c r="AI182" s="714"/>
      <c r="AJ182" s="714"/>
      <c r="AK182" s="714"/>
      <c r="AL182" s="714"/>
      <c r="AM182" s="714"/>
      <c r="AN182" s="714"/>
      <c r="AO182" s="714"/>
      <c r="AP182" s="715"/>
      <c r="AQ182" s="716"/>
      <c r="AR182" s="708"/>
      <c r="AS182" s="708"/>
    </row>
    <row r="183" spans="1:45" s="712" customFormat="1" ht="12.75" customHeight="1" x14ac:dyDescent="0.25">
      <c r="A183" s="711"/>
      <c r="B183" s="8"/>
      <c r="C183" s="8"/>
      <c r="D183" s="8" t="s">
        <v>491</v>
      </c>
      <c r="E183" s="8"/>
      <c r="F183" s="8"/>
      <c r="G183" s="8"/>
      <c r="H183" s="8"/>
      <c r="I183" s="8"/>
      <c r="J183" s="1146" t="s">
        <v>435</v>
      </c>
      <c r="K183" s="1146"/>
      <c r="L183" s="1146"/>
      <c r="M183" s="1146"/>
      <c r="N183" s="1609">
        <v>9.8897241760966093E-2</v>
      </c>
      <c r="O183" s="1610"/>
      <c r="P183" s="1605">
        <v>7.6615333038968239E-2</v>
      </c>
      <c r="Q183" s="1606"/>
      <c r="R183" s="8"/>
      <c r="S183" s="8"/>
      <c r="T183" s="8"/>
      <c r="U183" s="8"/>
      <c r="V183" s="714"/>
      <c r="W183" s="714"/>
      <c r="X183" s="714"/>
      <c r="Y183" s="714"/>
      <c r="Z183" s="714"/>
      <c r="AA183" s="714"/>
      <c r="AB183" s="714"/>
      <c r="AC183" s="714"/>
      <c r="AD183" s="714"/>
      <c r="AE183" s="714"/>
      <c r="AF183" s="714"/>
      <c r="AG183" s="714"/>
      <c r="AH183" s="714"/>
      <c r="AI183" s="714"/>
      <c r="AJ183" s="714"/>
      <c r="AK183" s="714"/>
      <c r="AL183" s="714"/>
      <c r="AM183" s="714"/>
      <c r="AN183" s="714"/>
      <c r="AO183" s="714"/>
      <c r="AP183" s="715"/>
      <c r="AQ183" s="716"/>
      <c r="AR183" s="708"/>
      <c r="AS183" s="708"/>
    </row>
    <row r="184" spans="1:45" s="712" customFormat="1" ht="12.75" customHeight="1" x14ac:dyDescent="0.25">
      <c r="A184" s="711"/>
      <c r="B184" s="8"/>
      <c r="C184" s="8"/>
      <c r="D184" s="8" t="s">
        <v>492</v>
      </c>
      <c r="E184" s="8"/>
      <c r="F184" s="8"/>
      <c r="G184" s="8"/>
      <c r="H184" s="8"/>
      <c r="I184" s="8"/>
      <c r="J184" s="1146" t="s">
        <v>16</v>
      </c>
      <c r="K184" s="1146"/>
      <c r="L184" s="1146"/>
      <c r="M184" s="1146"/>
      <c r="N184" s="698"/>
      <c r="O184" s="1420"/>
      <c r="P184" s="1599">
        <v>-0.2253036416915758</v>
      </c>
      <c r="Q184" s="1600"/>
      <c r="R184" s="8"/>
      <c r="S184" s="8"/>
      <c r="T184" s="8"/>
      <c r="U184" s="8"/>
      <c r="V184" s="714"/>
      <c r="W184" s="714"/>
      <c r="X184" s="714"/>
      <c r="Y184" s="714"/>
      <c r="Z184" s="714"/>
      <c r="AA184" s="714"/>
      <c r="AB184" s="714"/>
      <c r="AC184" s="714"/>
      <c r="AD184" s="714"/>
      <c r="AE184" s="714"/>
      <c r="AF184" s="714"/>
      <c r="AG184" s="714"/>
      <c r="AH184" s="714"/>
      <c r="AI184" s="714"/>
      <c r="AJ184" s="714"/>
      <c r="AK184" s="714"/>
      <c r="AL184" s="714"/>
      <c r="AM184" s="714"/>
      <c r="AN184" s="714"/>
      <c r="AO184" s="714"/>
      <c r="AP184" s="715"/>
      <c r="AQ184" s="716"/>
      <c r="AR184" s="708"/>
      <c r="AS184" s="708"/>
    </row>
    <row r="185" spans="1:45" s="712" customFormat="1" ht="12.75" customHeight="1" x14ac:dyDescent="0.25">
      <c r="A185" s="711"/>
      <c r="B185" s="8"/>
      <c r="C185" s="8"/>
      <c r="D185" s="8" t="s">
        <v>277</v>
      </c>
      <c r="E185" s="8"/>
      <c r="F185" s="8"/>
      <c r="G185" s="8"/>
      <c r="H185" s="8"/>
      <c r="I185" s="8"/>
      <c r="J185" s="1146" t="s">
        <v>435</v>
      </c>
      <c r="K185" s="1146"/>
      <c r="L185" s="1146"/>
      <c r="M185" s="1146"/>
      <c r="N185" s="1609">
        <v>6.8444517110738318E-2</v>
      </c>
      <c r="O185" s="1610"/>
      <c r="P185" s="1607">
        <v>6.8444517110738318E-2</v>
      </c>
      <c r="Q185" s="1608"/>
      <c r="R185" s="8"/>
      <c r="S185" s="8"/>
      <c r="T185" s="8"/>
      <c r="U185" s="8"/>
      <c r="V185" s="714"/>
      <c r="W185" s="714"/>
      <c r="X185" s="714"/>
      <c r="Y185" s="714"/>
      <c r="Z185" s="714"/>
      <c r="AA185" s="714"/>
      <c r="AB185" s="714"/>
      <c r="AC185" s="714"/>
      <c r="AD185" s="714"/>
      <c r="AE185" s="714"/>
      <c r="AF185" s="714"/>
      <c r="AG185" s="714"/>
      <c r="AH185" s="714"/>
      <c r="AI185" s="714"/>
      <c r="AJ185" s="714"/>
      <c r="AK185" s="714"/>
      <c r="AL185" s="714"/>
      <c r="AM185" s="714"/>
      <c r="AN185" s="714"/>
      <c r="AO185" s="714"/>
      <c r="AP185" s="715"/>
      <c r="AQ185" s="716"/>
      <c r="AR185" s="708"/>
      <c r="AS185" s="708"/>
    </row>
    <row r="186" spans="1:45" s="712" customFormat="1" ht="12.75" customHeight="1" x14ac:dyDescent="0.25">
      <c r="A186" s="711"/>
      <c r="B186" s="8"/>
      <c r="C186" s="8"/>
      <c r="D186" s="8" t="s">
        <v>308</v>
      </c>
      <c r="E186" s="8"/>
      <c r="F186" s="8"/>
      <c r="G186" s="8"/>
      <c r="H186" s="8"/>
      <c r="I186" s="8"/>
      <c r="J186" s="1146" t="s">
        <v>435</v>
      </c>
      <c r="K186" s="1146"/>
      <c r="L186" s="1146"/>
      <c r="M186" s="1146"/>
      <c r="N186" s="1609">
        <v>3.0452724650227775E-2</v>
      </c>
      <c r="O186" s="1610"/>
      <c r="P186" s="1607">
        <v>8.1708159282299214E-3</v>
      </c>
      <c r="Q186" s="1608"/>
      <c r="R186" s="8"/>
      <c r="S186" s="8"/>
      <c r="T186" s="8"/>
      <c r="U186" s="8"/>
      <c r="V186" s="714"/>
      <c r="W186" s="714"/>
      <c r="X186" s="714"/>
      <c r="Y186" s="714"/>
      <c r="Z186" s="714"/>
      <c r="AA186" s="714"/>
      <c r="AB186" s="714"/>
      <c r="AC186" s="714"/>
      <c r="AD186" s="714"/>
      <c r="AE186" s="714"/>
      <c r="AF186" s="714"/>
      <c r="AG186" s="714"/>
      <c r="AH186" s="714"/>
      <c r="AI186" s="714"/>
      <c r="AJ186" s="714"/>
      <c r="AK186" s="714"/>
      <c r="AL186" s="714"/>
      <c r="AM186" s="714"/>
      <c r="AN186" s="714"/>
      <c r="AO186" s="714"/>
      <c r="AP186" s="715"/>
      <c r="AQ186" s="716"/>
      <c r="AR186" s="708"/>
      <c r="AS186" s="708"/>
    </row>
    <row r="187" spans="1:45" s="712" customFormat="1" ht="12.75" customHeight="1" x14ac:dyDescent="0.25">
      <c r="A187" s="711"/>
      <c r="B187" s="8"/>
      <c r="C187" s="8"/>
      <c r="D187" s="8"/>
      <c r="E187" s="8"/>
      <c r="F187" s="8"/>
      <c r="G187" s="8"/>
      <c r="H187" s="8"/>
      <c r="I187" s="8"/>
      <c r="J187" s="1146"/>
      <c r="K187" s="1146"/>
      <c r="L187" s="1146"/>
      <c r="M187" s="1146"/>
      <c r="N187" s="698"/>
      <c r="O187" s="753"/>
      <c r="P187" s="1423"/>
      <c r="Q187" s="1424"/>
      <c r="R187" s="8"/>
      <c r="S187" s="8"/>
      <c r="T187" s="8"/>
      <c r="U187" s="8"/>
      <c r="V187" s="714"/>
      <c r="W187" s="714"/>
      <c r="X187" s="714"/>
      <c r="Y187" s="714"/>
      <c r="Z187" s="714"/>
      <c r="AA187" s="714"/>
      <c r="AB187" s="714"/>
      <c r="AC187" s="714"/>
      <c r="AD187" s="714"/>
      <c r="AE187" s="714"/>
      <c r="AF187" s="714"/>
      <c r="AG187" s="714"/>
      <c r="AH187" s="714"/>
      <c r="AI187" s="714"/>
      <c r="AJ187" s="714"/>
      <c r="AK187" s="714"/>
      <c r="AL187" s="714"/>
      <c r="AM187" s="714"/>
      <c r="AN187" s="714"/>
      <c r="AO187" s="714"/>
      <c r="AP187" s="715"/>
      <c r="AQ187" s="716"/>
      <c r="AR187" s="708"/>
      <c r="AS187" s="708"/>
    </row>
    <row r="188" spans="1:45" s="712" customFormat="1" ht="12.75" customHeight="1" x14ac:dyDescent="0.25">
      <c r="A188" s="711"/>
      <c r="B188" s="8"/>
      <c r="C188" s="11" t="s">
        <v>148</v>
      </c>
      <c r="D188" s="11"/>
      <c r="E188" s="11"/>
      <c r="F188" s="11"/>
      <c r="G188" s="11"/>
      <c r="H188" s="11"/>
      <c r="I188" s="8"/>
      <c r="J188" s="748"/>
      <c r="K188" s="748"/>
      <c r="L188" s="748"/>
      <c r="M188" s="748"/>
      <c r="N188" s="1611"/>
      <c r="O188" s="1612"/>
      <c r="P188" s="1603"/>
      <c r="Q188" s="1604"/>
      <c r="R188" s="8"/>
      <c r="S188" s="8"/>
      <c r="T188" s="8"/>
      <c r="U188" s="8"/>
      <c r="V188" s="714"/>
      <c r="W188" s="714"/>
      <c r="X188" s="714"/>
      <c r="Y188" s="714"/>
      <c r="Z188" s="714"/>
      <c r="AA188" s="714"/>
      <c r="AB188" s="714"/>
      <c r="AC188" s="714"/>
      <c r="AD188" s="714"/>
      <c r="AE188" s="714"/>
      <c r="AF188" s="714"/>
      <c r="AG188" s="714"/>
      <c r="AH188" s="714"/>
      <c r="AI188" s="714"/>
      <c r="AJ188" s="714"/>
      <c r="AK188" s="714"/>
      <c r="AL188" s="714"/>
      <c r="AM188" s="714"/>
      <c r="AN188" s="714"/>
      <c r="AO188" s="714"/>
      <c r="AP188" s="715"/>
      <c r="AQ188" s="716"/>
      <c r="AR188" s="708"/>
      <c r="AS188" s="708"/>
    </row>
    <row r="189" spans="1:45" s="708" customFormat="1" ht="12.75" customHeight="1" x14ac:dyDescent="0.25">
      <c r="A189" s="1504"/>
      <c r="B189" s="1504"/>
      <c r="C189" s="1504"/>
      <c r="D189" s="1504"/>
      <c r="E189" s="1506" t="s">
        <v>689</v>
      </c>
      <c r="F189" s="1504"/>
      <c r="G189" s="1504"/>
      <c r="H189" s="1504"/>
      <c r="I189" s="1504"/>
      <c r="J189" s="1507" t="s">
        <v>438</v>
      </c>
      <c r="K189" s="1507"/>
      <c r="L189" s="1507"/>
      <c r="M189" s="1507"/>
      <c r="N189" s="1989">
        <v>38.98329828446127</v>
      </c>
      <c r="O189" s="1990"/>
      <c r="P189" s="1991">
        <v>10.459666851361094</v>
      </c>
      <c r="Q189" s="1992"/>
      <c r="R189" s="1504"/>
      <c r="S189" s="1504"/>
      <c r="T189" s="1504"/>
      <c r="U189" s="1504"/>
      <c r="V189" s="713"/>
      <c r="W189" s="713"/>
      <c r="X189" s="713"/>
      <c r="Y189" s="713"/>
      <c r="Z189" s="713"/>
      <c r="AA189" s="713"/>
      <c r="AB189" s="713"/>
      <c r="AC189" s="713"/>
      <c r="AD189" s="713"/>
      <c r="AE189" s="713"/>
      <c r="AF189" s="713"/>
      <c r="AG189" s="713"/>
      <c r="AH189" s="713"/>
      <c r="AI189" s="713"/>
      <c r="AJ189" s="713"/>
      <c r="AK189" s="713"/>
      <c r="AL189" s="713"/>
      <c r="AM189" s="713"/>
      <c r="AN189" s="713"/>
      <c r="AO189" s="713"/>
      <c r="AP189" s="713"/>
    </row>
    <row r="190" spans="1:45" s="708" customFormat="1" ht="12.75" customHeight="1" x14ac:dyDescent="0.25">
      <c r="A190" s="1504"/>
      <c r="B190" s="1504"/>
      <c r="C190" s="1504"/>
      <c r="D190" s="1504"/>
      <c r="E190" s="1506" t="s">
        <v>690</v>
      </c>
      <c r="F190" s="1504"/>
      <c r="G190" s="1504"/>
      <c r="H190" s="1504"/>
      <c r="I190" s="1504"/>
      <c r="J190" s="1507" t="s">
        <v>438</v>
      </c>
      <c r="K190" s="1507"/>
      <c r="L190" s="1507"/>
      <c r="M190" s="1507"/>
      <c r="N190" s="1989">
        <v>0</v>
      </c>
      <c r="O190" s="1990"/>
      <c r="P190" s="1991">
        <v>11.173565651245944</v>
      </c>
      <c r="Q190" s="1992"/>
      <c r="R190" s="1504"/>
      <c r="S190" s="1504"/>
      <c r="T190" s="1504"/>
      <c r="U190" s="1504"/>
      <c r="V190" s="713"/>
      <c r="W190" s="713"/>
      <c r="X190" s="713"/>
      <c r="Y190" s="713"/>
      <c r="Z190" s="713"/>
      <c r="AA190" s="713"/>
      <c r="AB190" s="713"/>
      <c r="AC190" s="713"/>
      <c r="AD190" s="713"/>
      <c r="AE190" s="713"/>
      <c r="AF190" s="713"/>
      <c r="AG190" s="713"/>
      <c r="AH190" s="713"/>
      <c r="AI190" s="713"/>
      <c r="AJ190" s="713"/>
      <c r="AK190" s="713"/>
      <c r="AL190" s="713"/>
      <c r="AM190" s="713"/>
      <c r="AN190" s="713"/>
      <c r="AO190" s="713"/>
      <c r="AP190" s="713"/>
    </row>
    <row r="191" spans="1:45" s="708" customFormat="1" ht="12.75" customHeight="1" x14ac:dyDescent="0.25">
      <c r="A191" s="1504"/>
      <c r="B191" s="1504"/>
      <c r="C191" s="1504"/>
      <c r="D191" s="1504"/>
      <c r="E191" s="1506" t="s">
        <v>691</v>
      </c>
      <c r="F191" s="1504"/>
      <c r="G191" s="1504"/>
      <c r="H191" s="1504"/>
      <c r="I191" s="1504"/>
      <c r="J191" s="1507" t="s">
        <v>438</v>
      </c>
      <c r="K191" s="1507"/>
      <c r="L191" s="1507"/>
      <c r="M191" s="1507"/>
      <c r="N191" s="1989">
        <v>6.1678464954664586E-2</v>
      </c>
      <c r="O191" s="1990"/>
      <c r="P191" s="1991">
        <v>0.34880252807924406</v>
      </c>
      <c r="Q191" s="1992"/>
      <c r="R191" s="1504"/>
      <c r="S191" s="1504"/>
      <c r="T191" s="1504"/>
      <c r="U191" s="1504"/>
      <c r="V191" s="713"/>
      <c r="W191" s="713"/>
      <c r="X191" s="713"/>
      <c r="Y191" s="713"/>
      <c r="Z191" s="713"/>
      <c r="AA191" s="713"/>
      <c r="AB191" s="713"/>
      <c r="AC191" s="713"/>
      <c r="AD191" s="713"/>
      <c r="AE191" s="713"/>
      <c r="AF191" s="713"/>
      <c r="AG191" s="713"/>
      <c r="AH191" s="713"/>
      <c r="AI191" s="713"/>
      <c r="AJ191" s="713"/>
      <c r="AK191" s="713"/>
      <c r="AL191" s="713"/>
      <c r="AM191" s="713"/>
      <c r="AN191" s="713"/>
      <c r="AO191" s="713"/>
      <c r="AP191" s="713"/>
    </row>
    <row r="192" spans="1:45" s="708" customFormat="1" ht="12.75" customHeight="1" x14ac:dyDescent="0.25">
      <c r="A192" s="709"/>
      <c r="B192" s="1504"/>
      <c r="C192" s="1504"/>
      <c r="D192" s="1505" t="s">
        <v>692</v>
      </c>
      <c r="E192" s="1505"/>
      <c r="F192" s="1505"/>
      <c r="G192" s="1505"/>
      <c r="H192" s="1505"/>
      <c r="I192" s="1505"/>
      <c r="J192" s="1508" t="s">
        <v>438</v>
      </c>
      <c r="K192" s="1508"/>
      <c r="L192" s="1508"/>
      <c r="M192" s="1508"/>
      <c r="N192" s="2010">
        <v>39.044976749415937</v>
      </c>
      <c r="O192" s="2011"/>
      <c r="P192" s="2012">
        <v>21.98203503068628</v>
      </c>
      <c r="Q192" s="2013"/>
      <c r="R192" s="1504"/>
      <c r="S192" s="1504"/>
      <c r="T192" s="1504"/>
      <c r="U192" s="1504"/>
      <c r="V192" s="713"/>
      <c r="W192" s="713"/>
      <c r="X192" s="713"/>
      <c r="Y192" s="713"/>
      <c r="Z192" s="713"/>
      <c r="AA192" s="713"/>
      <c r="AB192" s="713"/>
      <c r="AC192" s="713"/>
      <c r="AD192" s="713"/>
      <c r="AE192" s="713"/>
      <c r="AF192" s="713"/>
      <c r="AG192" s="713"/>
      <c r="AH192" s="713"/>
      <c r="AI192" s="713"/>
      <c r="AJ192" s="713"/>
      <c r="AK192" s="713"/>
      <c r="AL192" s="713"/>
      <c r="AM192" s="713"/>
      <c r="AN192" s="713"/>
      <c r="AO192" s="713"/>
      <c r="AP192" s="713"/>
    </row>
    <row r="193" spans="1:45" s="712" customFormat="1" ht="12.75" customHeight="1" x14ac:dyDescent="0.25">
      <c r="A193" s="711"/>
      <c r="B193" s="8"/>
      <c r="C193" s="8"/>
      <c r="D193" s="8" t="s">
        <v>309</v>
      </c>
      <c r="E193" s="8"/>
      <c r="F193" s="8"/>
      <c r="G193" s="8"/>
      <c r="H193" s="8"/>
      <c r="I193" s="8"/>
      <c r="J193" s="1146" t="s">
        <v>16</v>
      </c>
      <c r="K193" s="1146"/>
      <c r="L193" s="1146"/>
      <c r="M193" s="1146"/>
      <c r="N193" s="754"/>
      <c r="O193" s="699"/>
      <c r="P193" s="1599">
        <v>-0.43700734740442371</v>
      </c>
      <c r="Q193" s="1600"/>
      <c r="R193" s="8"/>
      <c r="S193" s="8"/>
      <c r="T193" s="8"/>
      <c r="U193" s="8"/>
      <c r="V193" s="714"/>
      <c r="W193" s="714"/>
      <c r="X193" s="714"/>
      <c r="Y193" s="714"/>
      <c r="Z193" s="714"/>
      <c r="AA193" s="714"/>
      <c r="AB193" s="714"/>
      <c r="AC193" s="714"/>
      <c r="AD193" s="714"/>
      <c r="AE193" s="714"/>
      <c r="AF193" s="714"/>
      <c r="AG193" s="714"/>
      <c r="AH193" s="714"/>
      <c r="AI193" s="714"/>
      <c r="AJ193" s="714"/>
      <c r="AK193" s="714"/>
      <c r="AL193" s="714"/>
      <c r="AM193" s="714"/>
      <c r="AN193" s="714"/>
      <c r="AO193" s="714"/>
      <c r="AP193" s="715"/>
      <c r="AQ193" s="716"/>
      <c r="AR193" s="708"/>
      <c r="AS193" s="708"/>
    </row>
    <row r="194" spans="1:45" s="712" customFormat="1" ht="12.75" customHeight="1" x14ac:dyDescent="0.25">
      <c r="A194" s="711"/>
      <c r="B194" s="8"/>
      <c r="C194" s="8"/>
      <c r="D194" s="1557" t="s">
        <v>566</v>
      </c>
      <c r="E194" s="1557"/>
      <c r="F194" s="1557"/>
      <c r="G194" s="1557"/>
      <c r="H194" s="1557"/>
      <c r="I194" s="1557"/>
      <c r="J194" s="1146" t="s">
        <v>368</v>
      </c>
      <c r="K194" s="1146"/>
      <c r="L194" s="1146"/>
      <c r="M194" s="1146"/>
      <c r="N194" s="1613">
        <v>12.58242048</v>
      </c>
      <c r="O194" s="1614"/>
      <c r="P194" s="1596">
        <v>12.58242048</v>
      </c>
      <c r="Q194" s="1597"/>
      <c r="R194" s="8"/>
      <c r="S194" s="8"/>
      <c r="T194" s="8"/>
      <c r="U194" s="8"/>
      <c r="V194" s="714"/>
      <c r="W194" s="714"/>
      <c r="X194" s="714"/>
      <c r="Y194" s="714"/>
      <c r="Z194" s="714"/>
      <c r="AA194" s="714"/>
      <c r="AB194" s="714"/>
      <c r="AC194" s="714"/>
      <c r="AD194" s="714"/>
      <c r="AE194" s="714"/>
      <c r="AF194" s="714"/>
      <c r="AG194" s="714"/>
      <c r="AH194" s="714"/>
      <c r="AI194" s="714"/>
      <c r="AJ194" s="714"/>
      <c r="AK194" s="714"/>
      <c r="AL194" s="714"/>
      <c r="AM194" s="714"/>
      <c r="AN194" s="714"/>
      <c r="AO194" s="714"/>
      <c r="AP194" s="715"/>
      <c r="AQ194" s="716"/>
      <c r="AR194" s="708"/>
      <c r="AS194" s="708"/>
    </row>
    <row r="195" spans="1:45" s="712" customFormat="1" ht="12.75" customHeight="1" x14ac:dyDescent="0.25">
      <c r="A195" s="711"/>
      <c r="B195" s="708"/>
      <c r="C195" s="708"/>
      <c r="F195" s="713"/>
      <c r="G195" s="713"/>
      <c r="H195" s="713"/>
      <c r="I195" s="713"/>
      <c r="J195" s="714"/>
      <c r="K195" s="714"/>
      <c r="L195" s="714"/>
      <c r="M195" s="714"/>
      <c r="N195" s="714"/>
      <c r="O195" s="714"/>
      <c r="P195" s="714"/>
      <c r="Q195" s="714"/>
      <c r="R195" s="714"/>
      <c r="S195" s="714"/>
      <c r="T195" s="714"/>
      <c r="U195" s="714"/>
      <c r="V195" s="714"/>
      <c r="W195" s="714"/>
      <c r="X195" s="714"/>
      <c r="Y195" s="714"/>
      <c r="Z195" s="714"/>
      <c r="AA195" s="714"/>
      <c r="AB195" s="714"/>
      <c r="AC195" s="714"/>
      <c r="AD195" s="714"/>
      <c r="AE195" s="714"/>
      <c r="AF195" s="714"/>
      <c r="AG195" s="714"/>
      <c r="AH195" s="714"/>
      <c r="AI195" s="714"/>
      <c r="AJ195" s="714"/>
      <c r="AK195" s="714"/>
      <c r="AL195" s="714"/>
      <c r="AM195" s="714"/>
      <c r="AN195" s="714"/>
      <c r="AO195" s="714"/>
      <c r="AP195" s="715"/>
      <c r="AQ195" s="716"/>
      <c r="AR195" s="708"/>
      <c r="AS195" s="708"/>
    </row>
    <row r="196" spans="1:45" s="712" customFormat="1" ht="12.75" customHeight="1" x14ac:dyDescent="0.25">
      <c r="A196" s="711"/>
      <c r="B196" s="708"/>
      <c r="C196" s="708"/>
      <c r="F196" s="713"/>
      <c r="G196" s="713"/>
      <c r="H196" s="713"/>
      <c r="I196" s="713"/>
      <c r="J196" s="714"/>
      <c r="K196" s="714"/>
      <c r="L196" s="714"/>
      <c r="M196" s="714"/>
      <c r="N196" s="714"/>
      <c r="O196" s="714"/>
      <c r="P196" s="714"/>
      <c r="Q196" s="714"/>
      <c r="R196" s="714"/>
      <c r="S196" s="714"/>
      <c r="T196" s="714"/>
      <c r="U196" s="714"/>
      <c r="V196" s="714"/>
      <c r="W196" s="714"/>
      <c r="X196" s="714"/>
      <c r="Y196" s="714"/>
      <c r="Z196" s="714"/>
      <c r="AA196" s="714"/>
      <c r="AB196" s="714"/>
      <c r="AC196" s="714"/>
      <c r="AD196" s="714"/>
      <c r="AE196" s="714"/>
      <c r="AF196" s="714"/>
      <c r="AG196" s="714"/>
      <c r="AH196" s="714"/>
      <c r="AI196" s="714"/>
      <c r="AJ196" s="714"/>
      <c r="AK196" s="714"/>
      <c r="AL196" s="714"/>
      <c r="AM196" s="714"/>
      <c r="AN196" s="714"/>
      <c r="AO196" s="714"/>
      <c r="AP196" s="715"/>
      <c r="AQ196" s="716"/>
      <c r="AR196" s="708"/>
      <c r="AS196" s="708"/>
    </row>
    <row r="197" spans="1:45" s="712" customFormat="1" ht="12.75" customHeight="1" x14ac:dyDescent="0.25">
      <c r="A197" s="711"/>
      <c r="B197" s="52" t="s">
        <v>618</v>
      </c>
      <c r="C197" s="21"/>
      <c r="D197" s="21"/>
      <c r="E197" s="21"/>
      <c r="F197" s="21"/>
      <c r="G197" s="21"/>
      <c r="H197" s="21"/>
      <c r="I197" s="21"/>
      <c r="J197" s="22"/>
      <c r="K197" s="22"/>
      <c r="L197" s="22"/>
      <c r="M197" s="22"/>
      <c r="N197" s="22"/>
      <c r="O197" s="21"/>
      <c r="P197" s="21"/>
      <c r="Q197" s="21"/>
      <c r="R197" s="21"/>
      <c r="S197" s="21"/>
      <c r="T197" s="21"/>
      <c r="U197" s="21"/>
      <c r="V197" s="714"/>
      <c r="W197" s="714"/>
      <c r="X197" s="714"/>
      <c r="Y197" s="714"/>
      <c r="Z197" s="714"/>
      <c r="AA197" s="714"/>
      <c r="AB197" s="714"/>
      <c r="AC197" s="714"/>
      <c r="AD197" s="714"/>
      <c r="AE197" s="714"/>
      <c r="AF197" s="714"/>
      <c r="AG197" s="714"/>
      <c r="AH197" s="714"/>
      <c r="AI197" s="714"/>
      <c r="AJ197" s="714"/>
      <c r="AK197" s="714"/>
      <c r="AL197" s="714"/>
      <c r="AM197" s="714"/>
      <c r="AN197" s="714"/>
      <c r="AO197" s="714"/>
      <c r="AP197" s="715"/>
      <c r="AQ197" s="716"/>
      <c r="AR197" s="708"/>
      <c r="AS197" s="708"/>
    </row>
    <row r="198" spans="1:45" s="712" customFormat="1" ht="12.75" customHeight="1" x14ac:dyDescent="0.25">
      <c r="A198" s="711"/>
      <c r="B198" s="8"/>
      <c r="C198" s="8"/>
      <c r="D198" s="8"/>
      <c r="E198" s="8"/>
      <c r="F198" s="8"/>
      <c r="G198" s="8"/>
      <c r="H198" s="8"/>
      <c r="I198" s="11"/>
      <c r="J198" s="1147"/>
      <c r="K198" s="1147"/>
      <c r="L198" s="1147"/>
      <c r="M198" s="1147"/>
      <c r="N198" s="1147"/>
      <c r="O198" s="1147"/>
      <c r="P198" s="40"/>
      <c r="Q198" s="8"/>
      <c r="R198" s="8"/>
      <c r="S198" s="8"/>
      <c r="T198" s="8"/>
      <c r="U198" s="8"/>
      <c r="V198" s="714"/>
      <c r="W198" s="714"/>
      <c r="X198" s="714"/>
      <c r="Y198" s="714"/>
      <c r="Z198" s="714"/>
      <c r="AA198" s="714"/>
      <c r="AB198" s="714"/>
      <c r="AC198" s="714"/>
      <c r="AD198" s="714"/>
      <c r="AE198" s="714"/>
      <c r="AF198" s="714"/>
      <c r="AG198" s="714"/>
      <c r="AH198" s="714"/>
      <c r="AI198" s="714"/>
      <c r="AJ198" s="714"/>
      <c r="AK198" s="714"/>
      <c r="AL198" s="714"/>
      <c r="AM198" s="714"/>
      <c r="AN198" s="714"/>
      <c r="AO198" s="714"/>
      <c r="AP198" s="715"/>
      <c r="AQ198" s="716"/>
      <c r="AR198" s="708"/>
      <c r="AS198" s="708"/>
    </row>
    <row r="199" spans="1:45" s="712" customFormat="1" ht="12.75" customHeight="1" x14ac:dyDescent="0.25">
      <c r="A199" s="711"/>
      <c r="B199" s="8"/>
      <c r="C199" s="8"/>
      <c r="D199" s="8"/>
      <c r="E199" s="8"/>
      <c r="F199" s="8"/>
      <c r="G199" s="8"/>
      <c r="H199" s="8"/>
      <c r="I199" s="11"/>
      <c r="J199" s="1147"/>
      <c r="K199" s="1147"/>
      <c r="L199" s="1147"/>
      <c r="M199" s="1147"/>
      <c r="N199" s="1147"/>
      <c r="O199" s="1147"/>
      <c r="P199" s="40"/>
      <c r="Q199" s="8"/>
      <c r="R199" s="8"/>
      <c r="S199" s="8"/>
      <c r="T199" s="8"/>
      <c r="U199" s="8"/>
      <c r="V199" s="714"/>
      <c r="W199" s="714"/>
      <c r="X199" s="714"/>
      <c r="Y199" s="714"/>
      <c r="Z199" s="714"/>
      <c r="AA199" s="714"/>
      <c r="AB199" s="714"/>
      <c r="AC199" s="714"/>
      <c r="AD199" s="714"/>
      <c r="AE199" s="714"/>
      <c r="AF199" s="714"/>
      <c r="AG199" s="714"/>
      <c r="AH199" s="714"/>
      <c r="AI199" s="714"/>
      <c r="AJ199" s="714"/>
      <c r="AK199" s="714"/>
      <c r="AL199" s="714"/>
      <c r="AM199" s="714"/>
      <c r="AN199" s="714"/>
      <c r="AO199" s="714"/>
      <c r="AP199" s="715"/>
      <c r="AQ199" s="716"/>
      <c r="AR199" s="708"/>
      <c r="AS199" s="708"/>
    </row>
    <row r="200" spans="1:45" s="712" customFormat="1" ht="12.75" customHeight="1" x14ac:dyDescent="0.25">
      <c r="A200" s="711"/>
      <c r="B200" s="8"/>
      <c r="C200" s="8"/>
      <c r="D200" s="8"/>
      <c r="E200" s="8"/>
      <c r="F200" s="8"/>
      <c r="G200" s="8"/>
      <c r="H200" s="8"/>
      <c r="I200" s="8"/>
      <c r="J200" s="1156"/>
      <c r="K200" s="1156"/>
      <c r="L200" s="1156"/>
      <c r="M200" s="1156"/>
      <c r="N200" s="1621" t="s">
        <v>574</v>
      </c>
      <c r="O200" s="1622"/>
      <c r="P200" s="1622"/>
      <c r="Q200" s="1623"/>
      <c r="R200" s="8"/>
      <c r="S200" s="8"/>
      <c r="T200" s="8"/>
      <c r="U200" s="8"/>
      <c r="V200" s="714"/>
      <c r="W200" s="714"/>
      <c r="X200" s="714"/>
      <c r="Y200" s="714"/>
      <c r="Z200" s="714"/>
      <c r="AA200" s="714"/>
      <c r="AB200" s="714"/>
      <c r="AC200" s="714"/>
      <c r="AD200" s="714"/>
      <c r="AE200" s="714"/>
      <c r="AF200" s="714"/>
      <c r="AG200" s="714"/>
      <c r="AH200" s="714"/>
      <c r="AI200" s="714"/>
      <c r="AJ200" s="714"/>
      <c r="AK200" s="714"/>
      <c r="AL200" s="714"/>
      <c r="AM200" s="714"/>
      <c r="AN200" s="714"/>
      <c r="AO200" s="714"/>
      <c r="AP200" s="715"/>
      <c r="AQ200" s="716"/>
      <c r="AR200" s="708"/>
      <c r="AS200" s="708"/>
    </row>
    <row r="201" spans="1:45" s="712" customFormat="1" ht="12.75" customHeight="1" x14ac:dyDescent="0.25">
      <c r="A201" s="711"/>
      <c r="B201" s="8"/>
      <c r="C201" s="8"/>
      <c r="D201" s="8"/>
      <c r="E201" s="8"/>
      <c r="F201" s="8"/>
      <c r="G201" s="8"/>
      <c r="H201" s="8"/>
      <c r="I201" s="8"/>
      <c r="J201" s="1156"/>
      <c r="K201" s="1156"/>
      <c r="L201" s="1156"/>
      <c r="M201" s="1156"/>
      <c r="N201" s="1577" t="s">
        <v>201</v>
      </c>
      <c r="O201" s="1578"/>
      <c r="P201" s="1579" t="s">
        <v>202</v>
      </c>
      <c r="Q201" s="1580"/>
      <c r="R201" s="8"/>
      <c r="S201" s="8"/>
      <c r="T201" s="8"/>
      <c r="U201" s="8"/>
      <c r="V201" s="714"/>
      <c r="W201" s="714"/>
      <c r="X201" s="714"/>
      <c r="Y201" s="714"/>
      <c r="Z201" s="714"/>
      <c r="AA201" s="714"/>
      <c r="AB201" s="714"/>
      <c r="AC201" s="714"/>
      <c r="AD201" s="714"/>
      <c r="AE201" s="714"/>
      <c r="AF201" s="714"/>
      <c r="AG201" s="714"/>
      <c r="AH201" s="714"/>
      <c r="AI201" s="714"/>
      <c r="AJ201" s="714"/>
      <c r="AK201" s="714"/>
      <c r="AL201" s="714"/>
      <c r="AM201" s="714"/>
      <c r="AN201" s="714"/>
      <c r="AO201" s="714"/>
      <c r="AP201" s="715"/>
      <c r="AQ201" s="716"/>
      <c r="AR201" s="708"/>
      <c r="AS201" s="708"/>
    </row>
    <row r="202" spans="1:45" s="712" customFormat="1" ht="12.75" customHeight="1" x14ac:dyDescent="0.25">
      <c r="A202" s="711"/>
      <c r="C202" s="11" t="s">
        <v>580</v>
      </c>
      <c r="E202" s="11"/>
      <c r="F202" s="11"/>
      <c r="G202" s="11"/>
      <c r="H202" s="11"/>
      <c r="I202" s="11"/>
      <c r="J202" s="1157" t="s">
        <v>435</v>
      </c>
      <c r="K202" s="1157"/>
      <c r="L202" s="1157"/>
      <c r="M202" s="1157"/>
      <c r="N202" s="2014">
        <v>5.0570489741128336E-2</v>
      </c>
      <c r="O202" s="2015"/>
      <c r="P202" s="2016">
        <v>5.0570489741128336E-2</v>
      </c>
      <c r="Q202" s="2017"/>
      <c r="R202" s="8"/>
      <c r="S202" s="8"/>
      <c r="T202" s="8"/>
      <c r="U202" s="8"/>
      <c r="V202" s="714"/>
      <c r="W202" s="714"/>
      <c r="X202" s="714"/>
      <c r="Y202" s="714"/>
      <c r="Z202" s="714"/>
      <c r="AA202" s="714"/>
      <c r="AB202" s="714"/>
      <c r="AC202" s="714"/>
      <c r="AD202" s="714"/>
      <c r="AE202" s="714"/>
      <c r="AF202" s="714"/>
      <c r="AG202" s="714"/>
      <c r="AH202" s="714"/>
      <c r="AI202" s="714"/>
      <c r="AJ202" s="714"/>
      <c r="AK202" s="714"/>
      <c r="AL202" s="714"/>
      <c r="AM202" s="714"/>
      <c r="AN202" s="714"/>
      <c r="AO202" s="714"/>
      <c r="AP202" s="715"/>
      <c r="AQ202" s="716"/>
      <c r="AR202" s="708"/>
      <c r="AS202" s="708"/>
    </row>
    <row r="203" spans="1:45" s="712" customFormat="1" ht="12.75" customHeight="1" x14ac:dyDescent="0.25">
      <c r="A203" s="711"/>
      <c r="B203" s="8"/>
      <c r="C203" s="8"/>
      <c r="D203" s="8"/>
      <c r="E203" s="8"/>
      <c r="F203" s="8"/>
      <c r="G203" s="8"/>
      <c r="H203" s="8"/>
      <c r="I203" s="11"/>
      <c r="J203" s="1147"/>
      <c r="K203" s="1147"/>
      <c r="L203" s="1147"/>
      <c r="M203" s="1147"/>
      <c r="N203" s="1208"/>
      <c r="O203" s="1208"/>
      <c r="P203" s="40"/>
      <c r="Q203" s="8"/>
      <c r="R203" s="8"/>
      <c r="S203" s="8"/>
      <c r="T203" s="8"/>
      <c r="U203" s="8"/>
      <c r="V203" s="714"/>
      <c r="W203" s="714"/>
      <c r="X203" s="714"/>
      <c r="Y203" s="714"/>
      <c r="Z203" s="714"/>
      <c r="AA203" s="714"/>
      <c r="AB203" s="714"/>
      <c r="AC203" s="714"/>
      <c r="AD203" s="714"/>
      <c r="AE203" s="714"/>
      <c r="AF203" s="714"/>
      <c r="AG203" s="714"/>
      <c r="AH203" s="714"/>
      <c r="AI203" s="714"/>
      <c r="AJ203" s="714"/>
      <c r="AK203" s="714"/>
      <c r="AL203" s="714"/>
      <c r="AM203" s="714"/>
      <c r="AN203" s="714"/>
      <c r="AO203" s="714"/>
      <c r="AP203" s="715"/>
      <c r="AQ203" s="716"/>
      <c r="AR203" s="708"/>
      <c r="AS203" s="708"/>
    </row>
    <row r="204" spans="1:45" s="712" customFormat="1" ht="12.75" customHeight="1" x14ac:dyDescent="0.25">
      <c r="A204" s="711"/>
      <c r="B204" s="8"/>
      <c r="C204" s="8"/>
      <c r="D204" s="8"/>
      <c r="E204" s="8"/>
      <c r="F204" s="8"/>
      <c r="G204" s="8"/>
      <c r="H204" s="8"/>
      <c r="I204" s="11"/>
      <c r="J204" s="1147"/>
      <c r="K204" s="1147"/>
      <c r="L204" s="1147"/>
      <c r="M204" s="1147"/>
      <c r="N204" s="1208"/>
      <c r="O204" s="1208"/>
      <c r="P204" s="40"/>
      <c r="Q204" s="8"/>
      <c r="R204" s="8"/>
      <c r="S204" s="8"/>
      <c r="T204" s="8"/>
      <c r="U204" s="8"/>
      <c r="V204" s="714"/>
      <c r="W204" s="714"/>
      <c r="X204" s="714"/>
      <c r="Y204" s="714"/>
      <c r="Z204" s="714"/>
      <c r="AA204" s="714"/>
      <c r="AB204" s="714"/>
      <c r="AC204" s="714"/>
      <c r="AD204" s="714"/>
      <c r="AE204" s="714"/>
      <c r="AF204" s="714"/>
      <c r="AG204" s="714"/>
      <c r="AH204" s="714"/>
      <c r="AI204" s="714"/>
      <c r="AJ204" s="714"/>
      <c r="AK204" s="714"/>
      <c r="AL204" s="714"/>
      <c r="AM204" s="714"/>
      <c r="AN204" s="714"/>
      <c r="AO204" s="714"/>
      <c r="AP204" s="715"/>
      <c r="AQ204" s="716"/>
      <c r="AR204" s="708"/>
      <c r="AS204" s="708"/>
    </row>
    <row r="205" spans="1:45" s="712" customFormat="1" ht="12.75" customHeight="1" x14ac:dyDescent="0.25">
      <c r="A205" s="711"/>
      <c r="B205" s="8"/>
      <c r="C205" s="8"/>
      <c r="D205" s="8"/>
      <c r="E205" s="8"/>
      <c r="F205" s="8"/>
      <c r="G205" s="8"/>
      <c r="H205" s="8"/>
      <c r="I205" s="8"/>
      <c r="J205" s="1147"/>
      <c r="K205" s="1147"/>
      <c r="L205" s="1147"/>
      <c r="M205" s="1147"/>
      <c r="N205" s="1574" t="s">
        <v>483</v>
      </c>
      <c r="O205" s="1575"/>
      <c r="P205" s="1575"/>
      <c r="Q205" s="1576"/>
      <c r="R205" s="8"/>
      <c r="S205" s="8"/>
      <c r="T205" s="8"/>
      <c r="U205" s="8"/>
      <c r="V205" s="714"/>
      <c r="W205" s="714"/>
      <c r="X205" s="714"/>
      <c r="Y205" s="714"/>
      <c r="Z205" s="714"/>
      <c r="AA205" s="714"/>
      <c r="AB205" s="714"/>
      <c r="AC205" s="714"/>
      <c r="AD205" s="714"/>
      <c r="AE205" s="714"/>
      <c r="AF205" s="714"/>
      <c r="AG205" s="714"/>
      <c r="AH205" s="714"/>
      <c r="AI205" s="714"/>
      <c r="AJ205" s="714"/>
      <c r="AK205" s="714"/>
      <c r="AL205" s="714"/>
      <c r="AM205" s="714"/>
      <c r="AN205" s="714"/>
      <c r="AO205" s="714"/>
      <c r="AP205" s="715"/>
      <c r="AQ205" s="716"/>
      <c r="AR205" s="708"/>
      <c r="AS205" s="708"/>
    </row>
    <row r="206" spans="1:45" s="712" customFormat="1" ht="12.75" customHeight="1" x14ac:dyDescent="0.25">
      <c r="A206" s="711"/>
      <c r="B206" s="8"/>
      <c r="C206" s="11"/>
      <c r="D206" s="11"/>
      <c r="E206" s="11"/>
      <c r="F206" s="11"/>
      <c r="G206" s="11"/>
      <c r="H206" s="11"/>
      <c r="I206" s="8"/>
      <c r="J206" s="1147"/>
      <c r="K206" s="1147"/>
      <c r="L206" s="1147"/>
      <c r="M206" s="1147"/>
      <c r="N206" s="1577" t="s">
        <v>201</v>
      </c>
      <c r="O206" s="1578"/>
      <c r="P206" s="1579" t="s">
        <v>202</v>
      </c>
      <c r="Q206" s="1580"/>
      <c r="R206" s="8"/>
      <c r="S206" s="8"/>
      <c r="T206" s="8"/>
      <c r="U206" s="8"/>
      <c r="V206" s="714"/>
      <c r="W206" s="714"/>
      <c r="X206" s="714"/>
      <c r="Y206" s="714"/>
      <c r="Z206" s="714"/>
      <c r="AA206" s="714"/>
      <c r="AB206" s="714"/>
      <c r="AC206" s="714"/>
      <c r="AD206" s="714"/>
      <c r="AE206" s="714"/>
      <c r="AF206" s="714"/>
      <c r="AG206" s="714"/>
      <c r="AH206" s="714"/>
      <c r="AI206" s="714"/>
      <c r="AJ206" s="714"/>
      <c r="AK206" s="714"/>
      <c r="AL206" s="714"/>
      <c r="AM206" s="714"/>
      <c r="AN206" s="714"/>
      <c r="AO206" s="714"/>
      <c r="AP206" s="715"/>
      <c r="AQ206" s="716"/>
      <c r="AR206" s="708"/>
      <c r="AS206" s="708"/>
    </row>
    <row r="207" spans="1:45" s="712" customFormat="1" ht="12.75" customHeight="1" x14ac:dyDescent="0.25">
      <c r="A207" s="711"/>
      <c r="B207" s="8"/>
      <c r="C207" s="11" t="s">
        <v>146</v>
      </c>
      <c r="D207" s="11"/>
      <c r="E207" s="11"/>
      <c r="F207" s="11"/>
      <c r="G207" s="11"/>
      <c r="H207" s="11"/>
      <c r="I207" s="8"/>
      <c r="J207" s="1147"/>
      <c r="K207" s="1147"/>
      <c r="L207" s="1147"/>
      <c r="M207" s="1147"/>
      <c r="N207" s="1587"/>
      <c r="O207" s="1588"/>
      <c r="P207" s="1583"/>
      <c r="Q207" s="1584"/>
      <c r="R207" s="8"/>
      <c r="S207" s="8"/>
      <c r="T207" s="8"/>
      <c r="U207" s="8"/>
      <c r="V207" s="714"/>
      <c r="W207" s="714"/>
      <c r="X207" s="714"/>
      <c r="Y207" s="714"/>
      <c r="Z207" s="714"/>
      <c r="AA207" s="714"/>
      <c r="AB207" s="714"/>
      <c r="AC207" s="714"/>
      <c r="AD207" s="714"/>
      <c r="AE207" s="714"/>
      <c r="AF207" s="714"/>
      <c r="AG207" s="714"/>
      <c r="AH207" s="714"/>
      <c r="AI207" s="714"/>
      <c r="AJ207" s="714"/>
      <c r="AK207" s="714"/>
      <c r="AL207" s="714"/>
      <c r="AM207" s="714"/>
      <c r="AN207" s="714"/>
      <c r="AO207" s="714"/>
      <c r="AP207" s="715"/>
      <c r="AQ207" s="716"/>
      <c r="AR207" s="708"/>
      <c r="AS207" s="708"/>
    </row>
    <row r="208" spans="1:45" s="712" customFormat="1" ht="12.75" customHeight="1" x14ac:dyDescent="0.25">
      <c r="A208" s="711"/>
      <c r="B208" s="8"/>
      <c r="C208" s="11"/>
      <c r="D208" s="11" t="s">
        <v>246</v>
      </c>
      <c r="E208" s="11"/>
      <c r="F208" s="11"/>
      <c r="G208" s="11"/>
      <c r="H208" s="11"/>
      <c r="I208" s="8"/>
      <c r="J208" s="1147"/>
      <c r="K208" s="1147"/>
      <c r="L208" s="1147"/>
      <c r="M208" s="1147"/>
      <c r="N208" s="1585">
        <v>1.1994154657798339</v>
      </c>
      <c r="O208" s="1586"/>
      <c r="P208" s="1581">
        <v>1.6555941428018246</v>
      </c>
      <c r="Q208" s="1582"/>
      <c r="R208" s="8"/>
      <c r="S208" s="8"/>
      <c r="T208" s="8"/>
      <c r="U208" s="8"/>
      <c r="V208" s="714"/>
      <c r="W208" s="714"/>
      <c r="X208" s="714"/>
      <c r="Y208" s="714"/>
      <c r="Z208" s="714"/>
      <c r="AA208" s="714"/>
      <c r="AB208" s="714"/>
      <c r="AC208" s="714"/>
      <c r="AD208" s="714"/>
      <c r="AE208" s="714"/>
      <c r="AF208" s="714"/>
      <c r="AG208" s="714"/>
      <c r="AH208" s="714"/>
      <c r="AI208" s="714"/>
      <c r="AJ208" s="714"/>
      <c r="AK208" s="714"/>
      <c r="AL208" s="714"/>
      <c r="AM208" s="714"/>
      <c r="AN208" s="714"/>
      <c r="AO208" s="714"/>
      <c r="AP208" s="715"/>
      <c r="AQ208" s="716"/>
      <c r="AR208" s="708"/>
      <c r="AS208" s="708"/>
    </row>
    <row r="209" spans="1:45" s="712" customFormat="1" ht="12.75" customHeight="1" x14ac:dyDescent="0.25">
      <c r="A209" s="711"/>
      <c r="B209" s="8"/>
      <c r="C209" s="8"/>
      <c r="D209" s="8" t="s">
        <v>490</v>
      </c>
      <c r="E209" s="8"/>
      <c r="F209" s="8"/>
      <c r="G209" s="8"/>
      <c r="H209" s="8"/>
      <c r="I209" s="8"/>
      <c r="J209" s="1146" t="s">
        <v>437</v>
      </c>
      <c r="K209" s="1146"/>
      <c r="L209" s="1146"/>
      <c r="M209" s="1146"/>
      <c r="N209" s="1547">
        <v>934558832.11678815</v>
      </c>
      <c r="O209" s="1548"/>
      <c r="P209" s="1572">
        <v>934558832.11678815</v>
      </c>
      <c r="Q209" s="1573"/>
      <c r="R209" s="8"/>
      <c r="S209" s="8"/>
      <c r="T209" s="8"/>
      <c r="U209" s="8"/>
      <c r="V209" s="714"/>
      <c r="W209" s="714"/>
      <c r="X209" s="714"/>
      <c r="Y209" s="714"/>
      <c r="Z209" s="714"/>
      <c r="AA209" s="714"/>
      <c r="AB209" s="714"/>
      <c r="AC209" s="714"/>
      <c r="AD209" s="714"/>
      <c r="AE209" s="714"/>
      <c r="AF209" s="714"/>
      <c r="AG209" s="714"/>
      <c r="AH209" s="714"/>
      <c r="AI209" s="714"/>
      <c r="AJ209" s="714"/>
      <c r="AK209" s="714"/>
      <c r="AL209" s="714"/>
      <c r="AM209" s="714"/>
      <c r="AN209" s="714"/>
      <c r="AO209" s="714"/>
      <c r="AP209" s="715"/>
      <c r="AQ209" s="716"/>
      <c r="AR209" s="708"/>
      <c r="AS209" s="708"/>
    </row>
    <row r="210" spans="1:45" s="712" customFormat="1" ht="12.75" customHeight="1" x14ac:dyDescent="0.25">
      <c r="A210" s="711"/>
      <c r="B210" s="8"/>
      <c r="C210" s="8"/>
      <c r="D210" s="1145" t="s">
        <v>563</v>
      </c>
      <c r="E210" s="8"/>
      <c r="F210" s="8"/>
      <c r="G210" s="8"/>
      <c r="H210" s="8"/>
      <c r="I210" s="8"/>
      <c r="J210" s="1146" t="s">
        <v>437</v>
      </c>
      <c r="K210" s="1146"/>
      <c r="L210" s="1146"/>
      <c r="M210" s="1146"/>
      <c r="N210" s="1547">
        <v>778402509.50008082</v>
      </c>
      <c r="O210" s="1548"/>
      <c r="P210" s="1572">
        <v>419506185.19226962</v>
      </c>
      <c r="Q210" s="1573"/>
      <c r="R210" s="8"/>
      <c r="S210" s="8"/>
      <c r="T210" s="8"/>
      <c r="U210" s="8"/>
      <c r="V210" s="714"/>
      <c r="W210" s="714"/>
      <c r="X210" s="714"/>
      <c r="Y210" s="714"/>
      <c r="Z210" s="714"/>
      <c r="AA210" s="714"/>
      <c r="AB210" s="714"/>
      <c r="AC210" s="714"/>
      <c r="AD210" s="714"/>
      <c r="AE210" s="714"/>
      <c r="AF210" s="714"/>
      <c r="AG210" s="714"/>
      <c r="AH210" s="714"/>
      <c r="AI210" s="714"/>
      <c r="AJ210" s="714"/>
      <c r="AK210" s="714"/>
      <c r="AL210" s="714"/>
      <c r="AM210" s="714"/>
      <c r="AN210" s="714"/>
      <c r="AO210" s="714"/>
      <c r="AP210" s="715"/>
      <c r="AQ210" s="716"/>
      <c r="AR210" s="708"/>
      <c r="AS210" s="708"/>
    </row>
    <row r="211" spans="1:45" s="712" customFormat="1" ht="12.75" customHeight="1" x14ac:dyDescent="0.25">
      <c r="A211" s="711"/>
      <c r="B211" s="8"/>
      <c r="C211" s="8"/>
      <c r="D211" s="8" t="s">
        <v>307</v>
      </c>
      <c r="E211" s="8"/>
      <c r="F211" s="8"/>
      <c r="G211" s="8"/>
      <c r="H211" s="8"/>
      <c r="I211" s="8"/>
      <c r="J211" s="1146" t="s">
        <v>437</v>
      </c>
      <c r="K211" s="1146"/>
      <c r="L211" s="1146"/>
      <c r="M211" s="1146"/>
      <c r="N211" s="1547">
        <v>0</v>
      </c>
      <c r="O211" s="1548"/>
      <c r="P211" s="1572">
        <v>140590501.28486151</v>
      </c>
      <c r="Q211" s="1573"/>
      <c r="R211" s="8"/>
      <c r="S211" s="8"/>
      <c r="T211" s="8"/>
      <c r="U211" s="8"/>
      <c r="V211" s="714"/>
      <c r="W211" s="714"/>
      <c r="X211" s="714"/>
      <c r="Y211" s="714"/>
      <c r="Z211" s="714"/>
      <c r="AA211" s="714"/>
      <c r="AB211" s="714"/>
      <c r="AC211" s="714"/>
      <c r="AD211" s="714"/>
      <c r="AE211" s="714"/>
      <c r="AF211" s="714"/>
      <c r="AG211" s="714"/>
      <c r="AH211" s="714"/>
      <c r="AI211" s="714"/>
      <c r="AJ211" s="714"/>
      <c r="AK211" s="714"/>
      <c r="AL211" s="714"/>
      <c r="AM211" s="714"/>
      <c r="AN211" s="714"/>
      <c r="AO211" s="714"/>
      <c r="AP211" s="715"/>
      <c r="AQ211" s="716"/>
      <c r="AR211" s="708"/>
      <c r="AS211" s="708"/>
    </row>
    <row r="212" spans="1:45" s="712" customFormat="1" ht="12.75" customHeight="1" x14ac:dyDescent="0.25">
      <c r="A212" s="711"/>
      <c r="B212" s="8"/>
      <c r="C212" s="8"/>
      <c r="D212" s="8" t="s">
        <v>306</v>
      </c>
      <c r="E212" s="8"/>
      <c r="F212" s="8"/>
      <c r="G212" s="8"/>
      <c r="H212" s="8"/>
      <c r="I212" s="8"/>
      <c r="J212" s="1146" t="s">
        <v>437</v>
      </c>
      <c r="K212" s="1146"/>
      <c r="L212" s="1146"/>
      <c r="M212" s="1146"/>
      <c r="N212" s="1547">
        <v>776064.38062053395</v>
      </c>
      <c r="O212" s="1548"/>
      <c r="P212" s="1572">
        <v>4388780.0727800559</v>
      </c>
      <c r="Q212" s="1573"/>
      <c r="R212" s="8"/>
      <c r="S212" s="8"/>
      <c r="T212" s="8"/>
      <c r="U212" s="8"/>
      <c r="V212" s="714"/>
      <c r="W212" s="714"/>
      <c r="X212" s="714"/>
      <c r="Y212" s="714"/>
      <c r="Z212" s="714"/>
      <c r="AA212" s="714"/>
      <c r="AB212" s="714"/>
      <c r="AC212" s="714"/>
      <c r="AD212" s="714"/>
      <c r="AE212" s="714"/>
      <c r="AF212" s="714"/>
      <c r="AG212" s="714"/>
      <c r="AH212" s="714"/>
      <c r="AI212" s="714"/>
      <c r="AJ212" s="714"/>
      <c r="AK212" s="714"/>
      <c r="AL212" s="714"/>
      <c r="AM212" s="714"/>
      <c r="AN212" s="714"/>
      <c r="AO212" s="714"/>
      <c r="AP212" s="715"/>
      <c r="AQ212" s="716"/>
      <c r="AR212" s="708"/>
      <c r="AS212" s="708"/>
    </row>
    <row r="213" spans="1:45" s="712" customFormat="1" ht="12.75" customHeight="1" x14ac:dyDescent="0.25">
      <c r="A213" s="711"/>
      <c r="B213" s="8"/>
      <c r="C213" s="8"/>
      <c r="D213" s="8"/>
      <c r="E213" s="8"/>
      <c r="F213" s="8"/>
      <c r="G213" s="8"/>
      <c r="H213" s="8"/>
      <c r="I213" s="8"/>
      <c r="J213" s="1146"/>
      <c r="K213" s="1146"/>
      <c r="L213" s="1146"/>
      <c r="M213" s="1146"/>
      <c r="N213" s="1430"/>
      <c r="O213" s="1429"/>
      <c r="P213" s="1431"/>
      <c r="Q213" s="1432"/>
      <c r="R213" s="8"/>
      <c r="S213" s="8"/>
      <c r="T213" s="8"/>
      <c r="U213" s="8"/>
      <c r="V213" s="714"/>
      <c r="W213" s="714"/>
      <c r="X213" s="714"/>
      <c r="Y213" s="714"/>
      <c r="Z213" s="714"/>
      <c r="AA213" s="714"/>
      <c r="AB213" s="714"/>
      <c r="AC213" s="714"/>
      <c r="AD213" s="714"/>
      <c r="AE213" s="714"/>
      <c r="AF213" s="714"/>
      <c r="AG213" s="714"/>
      <c r="AH213" s="714"/>
      <c r="AI213" s="714"/>
      <c r="AJ213" s="714"/>
      <c r="AK213" s="714"/>
      <c r="AL213" s="714"/>
      <c r="AM213" s="714"/>
      <c r="AN213" s="714"/>
      <c r="AO213" s="714"/>
      <c r="AP213" s="715"/>
      <c r="AQ213" s="716"/>
      <c r="AR213" s="708"/>
      <c r="AS213" s="708"/>
    </row>
    <row r="214" spans="1:45" s="712" customFormat="1" ht="12.75" customHeight="1" x14ac:dyDescent="0.25">
      <c r="A214" s="711"/>
      <c r="B214" s="8"/>
      <c r="C214" s="11" t="s">
        <v>147</v>
      </c>
      <c r="D214" s="8"/>
      <c r="E214" s="8"/>
      <c r="F214" s="8"/>
      <c r="G214" s="8"/>
      <c r="H214" s="8"/>
      <c r="I214" s="8"/>
      <c r="J214" s="1146"/>
      <c r="K214" s="1146"/>
      <c r="L214" s="1146"/>
      <c r="M214" s="1146"/>
      <c r="N214" s="1430"/>
      <c r="O214" s="1429"/>
      <c r="P214" s="1431"/>
      <c r="Q214" s="1432"/>
      <c r="R214" s="8"/>
      <c r="S214" s="8"/>
      <c r="T214" s="8"/>
      <c r="U214" s="8"/>
      <c r="V214" s="714"/>
      <c r="W214" s="714"/>
      <c r="X214" s="714"/>
      <c r="Y214" s="714"/>
      <c r="Z214" s="714"/>
      <c r="AA214" s="714"/>
      <c r="AB214" s="714"/>
      <c r="AC214" s="714"/>
      <c r="AD214" s="714"/>
      <c r="AE214" s="714"/>
      <c r="AF214" s="714"/>
      <c r="AG214" s="714"/>
      <c r="AH214" s="714"/>
      <c r="AI214" s="714"/>
      <c r="AJ214" s="714"/>
      <c r="AK214" s="714"/>
      <c r="AL214" s="714"/>
      <c r="AM214" s="714"/>
      <c r="AN214" s="714"/>
      <c r="AO214" s="714"/>
      <c r="AP214" s="715"/>
      <c r="AQ214" s="716"/>
      <c r="AR214" s="708"/>
      <c r="AS214" s="708"/>
    </row>
    <row r="215" spans="1:45" s="712" customFormat="1" ht="12.75" customHeight="1" x14ac:dyDescent="0.25">
      <c r="A215" s="711"/>
      <c r="B215" s="8"/>
      <c r="C215" s="8"/>
      <c r="D215" s="11" t="s">
        <v>246</v>
      </c>
      <c r="E215" s="11"/>
      <c r="F215" s="11"/>
      <c r="G215" s="11"/>
      <c r="H215" s="11"/>
      <c r="I215" s="8"/>
      <c r="J215" s="1147"/>
      <c r="K215" s="1147"/>
      <c r="L215" s="1147"/>
      <c r="M215" s="1147"/>
      <c r="N215" s="1598"/>
      <c r="O215" s="1590"/>
      <c r="P215" s="1581">
        <v>2.475500781539048</v>
      </c>
      <c r="Q215" s="1582"/>
      <c r="R215" s="8"/>
      <c r="S215" s="8"/>
      <c r="T215" s="8"/>
      <c r="U215" s="8"/>
      <c r="V215" s="714"/>
      <c r="W215" s="714"/>
      <c r="X215" s="714"/>
      <c r="Y215" s="714"/>
      <c r="Z215" s="714"/>
      <c r="AA215" s="714"/>
      <c r="AB215" s="714"/>
      <c r="AC215" s="714"/>
      <c r="AD215" s="714"/>
      <c r="AE215" s="714"/>
      <c r="AF215" s="714"/>
      <c r="AG215" s="714"/>
      <c r="AH215" s="714"/>
      <c r="AI215" s="714"/>
      <c r="AJ215" s="714"/>
      <c r="AK215" s="714"/>
      <c r="AL215" s="714"/>
      <c r="AM215" s="714"/>
      <c r="AN215" s="714"/>
      <c r="AO215" s="714"/>
      <c r="AP215" s="715"/>
      <c r="AQ215" s="716"/>
      <c r="AR215" s="708"/>
      <c r="AS215" s="708"/>
    </row>
    <row r="216" spans="1:45" s="712" customFormat="1" ht="12.75" customHeight="1" x14ac:dyDescent="0.25">
      <c r="A216" s="711"/>
      <c r="B216" s="8"/>
      <c r="C216" s="8"/>
      <c r="D216" s="8" t="s">
        <v>307</v>
      </c>
      <c r="E216" s="8"/>
      <c r="F216" s="8"/>
      <c r="G216" s="8"/>
      <c r="H216" s="8"/>
      <c r="I216" s="8"/>
      <c r="J216" s="1146" t="s">
        <v>437</v>
      </c>
      <c r="K216" s="1146"/>
      <c r="L216" s="1146"/>
      <c r="M216" s="1146"/>
      <c r="N216" s="1547">
        <v>0</v>
      </c>
      <c r="O216" s="1548"/>
      <c r="P216" s="1572">
        <v>140590501.28486151</v>
      </c>
      <c r="Q216" s="1573"/>
      <c r="R216" s="8"/>
      <c r="S216" s="8"/>
      <c r="T216" s="8"/>
      <c r="U216" s="8"/>
      <c r="V216" s="714"/>
      <c r="W216" s="714"/>
      <c r="X216" s="714"/>
      <c r="Y216" s="714"/>
      <c r="Z216" s="714"/>
      <c r="AA216" s="714"/>
      <c r="AB216" s="714"/>
      <c r="AC216" s="714"/>
      <c r="AD216" s="714"/>
      <c r="AE216" s="714"/>
      <c r="AF216" s="714"/>
      <c r="AG216" s="714"/>
      <c r="AH216" s="714"/>
      <c r="AI216" s="714"/>
      <c r="AJ216" s="714"/>
      <c r="AK216" s="714"/>
      <c r="AL216" s="714"/>
      <c r="AM216" s="714"/>
      <c r="AN216" s="714"/>
      <c r="AO216" s="714"/>
      <c r="AP216" s="715"/>
      <c r="AQ216" s="716"/>
      <c r="AR216" s="708"/>
      <c r="AS216" s="708"/>
    </row>
    <row r="217" spans="1:45" s="712" customFormat="1" ht="12.75" customHeight="1" x14ac:dyDescent="0.25">
      <c r="A217" s="711"/>
      <c r="B217" s="8"/>
      <c r="C217" s="8"/>
      <c r="D217" s="8" t="s">
        <v>306</v>
      </c>
      <c r="E217" s="8"/>
      <c r="F217" s="8"/>
      <c r="G217" s="8"/>
      <c r="H217" s="8"/>
      <c r="I217" s="8"/>
      <c r="J217" s="1146" t="s">
        <v>437</v>
      </c>
      <c r="K217" s="1146"/>
      <c r="L217" s="1146"/>
      <c r="M217" s="1146"/>
      <c r="N217" s="1547">
        <v>776064.38062053395</v>
      </c>
      <c r="O217" s="1548"/>
      <c r="P217" s="1572">
        <v>4388780.0727800559</v>
      </c>
      <c r="Q217" s="1573"/>
      <c r="R217" s="8"/>
      <c r="S217" s="8"/>
      <c r="T217" s="8"/>
      <c r="U217" s="8"/>
      <c r="V217" s="714"/>
      <c r="W217" s="714"/>
      <c r="X217" s="714"/>
      <c r="Y217" s="714"/>
      <c r="Z217" s="714"/>
      <c r="AA217" s="714"/>
      <c r="AB217" s="714"/>
      <c r="AC217" s="714"/>
      <c r="AD217" s="714"/>
      <c r="AE217" s="714"/>
      <c r="AF217" s="714"/>
      <c r="AG217" s="714"/>
      <c r="AH217" s="714"/>
      <c r="AI217" s="714"/>
      <c r="AJ217" s="714"/>
      <c r="AK217" s="714"/>
      <c r="AL217" s="714"/>
      <c r="AM217" s="714"/>
      <c r="AN217" s="714"/>
      <c r="AO217" s="714"/>
      <c r="AP217" s="715"/>
      <c r="AQ217" s="716"/>
      <c r="AR217" s="708"/>
      <c r="AS217" s="708"/>
    </row>
    <row r="218" spans="1:45" s="712" customFormat="1" ht="12.75" customHeight="1" x14ac:dyDescent="0.25">
      <c r="A218" s="711"/>
      <c r="B218" s="8"/>
      <c r="C218" s="8"/>
      <c r="D218" s="1557" t="s">
        <v>564</v>
      </c>
      <c r="E218" s="1557"/>
      <c r="F218" s="1557"/>
      <c r="G218" s="1557"/>
      <c r="H218" s="1557"/>
      <c r="I218" s="1557"/>
      <c r="J218" s="1146" t="s">
        <v>437</v>
      </c>
      <c r="K218" s="1146"/>
      <c r="L218" s="1146"/>
      <c r="M218" s="1146"/>
      <c r="N218" s="1547">
        <v>778402509.50008082</v>
      </c>
      <c r="O218" s="1548"/>
      <c r="P218" s="1572">
        <v>419506185.19226962</v>
      </c>
      <c r="Q218" s="1573"/>
      <c r="R218" s="29"/>
      <c r="S218" s="8"/>
      <c r="T218" s="8"/>
      <c r="U218" s="8"/>
      <c r="V218" s="714"/>
      <c r="W218" s="714"/>
      <c r="X218" s="714"/>
      <c r="Y218" s="714"/>
      <c r="Z218" s="714"/>
      <c r="AA218" s="714"/>
      <c r="AB218" s="714"/>
      <c r="AC218" s="714"/>
      <c r="AD218" s="714"/>
      <c r="AE218" s="714"/>
      <c r="AF218" s="714"/>
      <c r="AG218" s="714"/>
      <c r="AH218" s="714"/>
      <c r="AI218" s="714"/>
      <c r="AJ218" s="714"/>
      <c r="AK218" s="714"/>
      <c r="AL218" s="714"/>
      <c r="AM218" s="714"/>
      <c r="AN218" s="714"/>
      <c r="AO218" s="714"/>
      <c r="AP218" s="715"/>
      <c r="AQ218" s="716"/>
      <c r="AR218" s="708"/>
      <c r="AS218" s="708"/>
    </row>
    <row r="219" spans="1:45" s="712" customFormat="1" ht="12.75" customHeight="1" x14ac:dyDescent="0.25">
      <c r="A219" s="711"/>
      <c r="B219" s="8"/>
      <c r="C219" s="8"/>
      <c r="D219" s="1557" t="s">
        <v>565</v>
      </c>
      <c r="E219" s="1557"/>
      <c r="F219" s="1557"/>
      <c r="G219" s="1557"/>
      <c r="H219" s="1557"/>
      <c r="I219" s="1557"/>
      <c r="J219" s="1146" t="s">
        <v>437</v>
      </c>
      <c r="K219" s="1146"/>
      <c r="L219" s="1146"/>
      <c r="M219" s="1146"/>
      <c r="N219" s="1598"/>
      <c r="O219" s="1590"/>
      <c r="P219" s="1572">
        <v>358896324.3078112</v>
      </c>
      <c r="Q219" s="1573"/>
      <c r="R219" s="8"/>
      <c r="S219" s="8"/>
      <c r="T219" s="8"/>
      <c r="U219" s="8"/>
      <c r="V219" s="714"/>
      <c r="W219" s="714"/>
      <c r="X219" s="714"/>
      <c r="Y219" s="714"/>
      <c r="Z219" s="714"/>
      <c r="AA219" s="714"/>
      <c r="AB219" s="714"/>
      <c r="AC219" s="714"/>
      <c r="AD219" s="714"/>
      <c r="AE219" s="714"/>
      <c r="AF219" s="714"/>
      <c r="AG219" s="714"/>
      <c r="AH219" s="714"/>
      <c r="AI219" s="714"/>
      <c r="AJ219" s="714"/>
      <c r="AK219" s="714"/>
      <c r="AL219" s="714"/>
      <c r="AM219" s="714"/>
      <c r="AN219" s="714"/>
      <c r="AO219" s="714"/>
      <c r="AP219" s="715"/>
      <c r="AQ219" s="716"/>
      <c r="AR219" s="708"/>
      <c r="AS219" s="708"/>
    </row>
    <row r="220" spans="1:45" s="712" customFormat="1" ht="12.75" customHeight="1" x14ac:dyDescent="0.25">
      <c r="A220" s="711"/>
      <c r="B220" s="8"/>
      <c r="C220" s="8"/>
      <c r="D220" s="8"/>
      <c r="E220" s="8"/>
      <c r="F220" s="8"/>
      <c r="G220" s="8"/>
      <c r="H220" s="8"/>
      <c r="I220" s="8"/>
      <c r="J220" s="1146"/>
      <c r="K220" s="1146"/>
      <c r="L220" s="1146"/>
      <c r="M220" s="1146"/>
      <c r="N220" s="1430"/>
      <c r="O220" s="1429"/>
      <c r="P220" s="1431"/>
      <c r="Q220" s="1432"/>
      <c r="R220" s="8"/>
      <c r="S220" s="8"/>
      <c r="T220" s="8"/>
      <c r="U220" s="8"/>
      <c r="V220" s="714"/>
      <c r="W220" s="714"/>
      <c r="X220" s="714"/>
      <c r="Y220" s="714"/>
      <c r="Z220" s="714"/>
      <c r="AA220" s="714"/>
      <c r="AB220" s="714"/>
      <c r="AC220" s="714"/>
      <c r="AD220" s="714"/>
      <c r="AE220" s="714"/>
      <c r="AF220" s="714"/>
      <c r="AG220" s="714"/>
      <c r="AH220" s="714"/>
      <c r="AI220" s="714"/>
      <c r="AJ220" s="714"/>
      <c r="AK220" s="714"/>
      <c r="AL220" s="714"/>
      <c r="AM220" s="714"/>
      <c r="AN220" s="714"/>
      <c r="AO220" s="714"/>
      <c r="AP220" s="715"/>
      <c r="AQ220" s="716"/>
      <c r="AR220" s="708"/>
      <c r="AS220" s="708"/>
    </row>
    <row r="221" spans="1:45" s="712" customFormat="1" ht="12.75" customHeight="1" x14ac:dyDescent="0.25">
      <c r="A221" s="711"/>
      <c r="B221" s="8"/>
      <c r="C221" s="11" t="s">
        <v>187</v>
      </c>
      <c r="D221" s="11"/>
      <c r="E221" s="11"/>
      <c r="F221" s="11"/>
      <c r="G221" s="11"/>
      <c r="H221" s="11"/>
      <c r="I221" s="8"/>
      <c r="J221" s="748"/>
      <c r="K221" s="748"/>
      <c r="L221" s="748"/>
      <c r="M221" s="748"/>
      <c r="N221" s="1611"/>
      <c r="O221" s="1612"/>
      <c r="P221" s="1603"/>
      <c r="Q221" s="1604"/>
      <c r="R221" s="8"/>
      <c r="S221" s="8"/>
      <c r="T221" s="8"/>
      <c r="U221" s="8"/>
      <c r="V221" s="714"/>
      <c r="W221" s="714"/>
      <c r="X221" s="714"/>
      <c r="Y221" s="714"/>
      <c r="Z221" s="714"/>
      <c r="AA221" s="714"/>
      <c r="AB221" s="714"/>
      <c r="AC221" s="714"/>
      <c r="AD221" s="714"/>
      <c r="AE221" s="714"/>
      <c r="AF221" s="714"/>
      <c r="AG221" s="714"/>
      <c r="AH221" s="714"/>
      <c r="AI221" s="714"/>
      <c r="AJ221" s="714"/>
      <c r="AK221" s="714"/>
      <c r="AL221" s="714"/>
      <c r="AM221" s="714"/>
      <c r="AN221" s="714"/>
      <c r="AO221" s="714"/>
      <c r="AP221" s="715"/>
      <c r="AQ221" s="716"/>
      <c r="AR221" s="708"/>
      <c r="AS221" s="708"/>
    </row>
    <row r="222" spans="1:45" s="712" customFormat="1" ht="12.75" customHeight="1" x14ac:dyDescent="0.25">
      <c r="A222" s="711"/>
      <c r="B222" s="8"/>
      <c r="C222" s="8"/>
      <c r="D222" s="8" t="s">
        <v>491</v>
      </c>
      <c r="E222" s="8"/>
      <c r="F222" s="8"/>
      <c r="G222" s="8"/>
      <c r="H222" s="8"/>
      <c r="I222" s="8"/>
      <c r="J222" s="1146" t="s">
        <v>435</v>
      </c>
      <c r="K222" s="1146"/>
      <c r="L222" s="1146"/>
      <c r="M222" s="1146"/>
      <c r="N222" s="1609">
        <v>9.8897241760966093E-2</v>
      </c>
      <c r="O222" s="1610"/>
      <c r="P222" s="1605">
        <v>7.6615333038968239E-2</v>
      </c>
      <c r="Q222" s="1606"/>
      <c r="R222" s="8"/>
      <c r="S222" s="8"/>
      <c r="T222" s="8"/>
      <c r="U222" s="8"/>
      <c r="V222" s="714"/>
      <c r="W222" s="714"/>
      <c r="X222" s="714"/>
      <c r="Y222" s="714"/>
      <c r="Z222" s="714"/>
      <c r="AA222" s="714"/>
      <c r="AB222" s="714"/>
      <c r="AC222" s="714"/>
      <c r="AD222" s="714"/>
      <c r="AE222" s="714"/>
      <c r="AF222" s="714"/>
      <c r="AG222" s="714"/>
      <c r="AH222" s="714"/>
      <c r="AI222" s="714"/>
      <c r="AJ222" s="714"/>
      <c r="AK222" s="714"/>
      <c r="AL222" s="714"/>
      <c r="AM222" s="714"/>
      <c r="AN222" s="714"/>
      <c r="AO222" s="714"/>
      <c r="AP222" s="715"/>
      <c r="AQ222" s="716"/>
      <c r="AR222" s="708"/>
      <c r="AS222" s="708"/>
    </row>
    <row r="223" spans="1:45" s="712" customFormat="1" ht="12.75" customHeight="1" x14ac:dyDescent="0.25">
      <c r="A223" s="711"/>
      <c r="B223" s="8"/>
      <c r="C223" s="8"/>
      <c r="D223" s="8" t="s">
        <v>492</v>
      </c>
      <c r="E223" s="8"/>
      <c r="F223" s="8"/>
      <c r="G223" s="8"/>
      <c r="H223" s="8"/>
      <c r="I223" s="8"/>
      <c r="J223" s="1146" t="s">
        <v>16</v>
      </c>
      <c r="K223" s="1146"/>
      <c r="L223" s="1146"/>
      <c r="M223" s="1146"/>
      <c r="N223" s="1435"/>
      <c r="O223" s="1429"/>
      <c r="P223" s="1599">
        <v>-0.2253036416915758</v>
      </c>
      <c r="Q223" s="1600"/>
      <c r="R223" s="8"/>
      <c r="S223" s="8"/>
      <c r="T223" s="8"/>
      <c r="U223" s="8"/>
      <c r="V223" s="714"/>
      <c r="W223" s="714"/>
      <c r="X223" s="714"/>
      <c r="Y223" s="714"/>
      <c r="Z223" s="714"/>
      <c r="AA223" s="714"/>
      <c r="AB223" s="714"/>
      <c r="AC223" s="714"/>
      <c r="AD223" s="714"/>
      <c r="AE223" s="714"/>
      <c r="AF223" s="714"/>
      <c r="AG223" s="714"/>
      <c r="AH223" s="714"/>
      <c r="AI223" s="714"/>
      <c r="AJ223" s="714"/>
      <c r="AK223" s="714"/>
      <c r="AL223" s="714"/>
      <c r="AM223" s="714"/>
      <c r="AN223" s="714"/>
      <c r="AO223" s="714"/>
      <c r="AP223" s="715"/>
      <c r="AQ223" s="716"/>
      <c r="AR223" s="708"/>
      <c r="AS223" s="708"/>
    </row>
    <row r="224" spans="1:45" s="712" customFormat="1" ht="12.75" customHeight="1" x14ac:dyDescent="0.25">
      <c r="A224" s="711"/>
      <c r="B224" s="8"/>
      <c r="C224" s="8"/>
      <c r="D224" s="8" t="s">
        <v>277</v>
      </c>
      <c r="E224" s="8"/>
      <c r="F224" s="8"/>
      <c r="G224" s="8"/>
      <c r="H224" s="8"/>
      <c r="I224" s="8"/>
      <c r="J224" s="1146" t="s">
        <v>435</v>
      </c>
      <c r="K224" s="1146"/>
      <c r="L224" s="1146"/>
      <c r="M224" s="1146"/>
      <c r="N224" s="1609">
        <v>5.0570489741128336E-2</v>
      </c>
      <c r="O224" s="1610"/>
      <c r="P224" s="1607">
        <v>5.0570489741128336E-2</v>
      </c>
      <c r="Q224" s="1608"/>
      <c r="R224" s="8"/>
      <c r="S224" s="8"/>
      <c r="T224" s="8"/>
      <c r="U224" s="8"/>
      <c r="V224" s="714"/>
      <c r="W224" s="714"/>
      <c r="X224" s="714"/>
      <c r="Y224" s="714"/>
      <c r="Z224" s="714"/>
      <c r="AA224" s="714"/>
      <c r="AB224" s="714"/>
      <c r="AC224" s="714"/>
      <c r="AD224" s="714"/>
      <c r="AE224" s="714"/>
      <c r="AF224" s="714"/>
      <c r="AG224" s="714"/>
      <c r="AH224" s="714"/>
      <c r="AI224" s="714"/>
      <c r="AJ224" s="714"/>
      <c r="AK224" s="714"/>
      <c r="AL224" s="714"/>
      <c r="AM224" s="714"/>
      <c r="AN224" s="714"/>
      <c r="AO224" s="714"/>
      <c r="AP224" s="715"/>
      <c r="AQ224" s="716"/>
      <c r="AR224" s="708"/>
      <c r="AS224" s="708"/>
    </row>
    <row r="225" spans="1:45" s="712" customFormat="1" ht="12.75" customHeight="1" x14ac:dyDescent="0.25">
      <c r="A225" s="711"/>
      <c r="B225" s="8"/>
      <c r="C225" s="8"/>
      <c r="D225" s="8" t="s">
        <v>308</v>
      </c>
      <c r="E225" s="8"/>
      <c r="F225" s="8"/>
      <c r="G225" s="8"/>
      <c r="H225" s="8"/>
      <c r="I225" s="8"/>
      <c r="J225" s="1146" t="s">
        <v>435</v>
      </c>
      <c r="K225" s="1146"/>
      <c r="L225" s="1146"/>
      <c r="M225" s="1146"/>
      <c r="N225" s="1609">
        <v>4.8326752019837757E-2</v>
      </c>
      <c r="O225" s="1610"/>
      <c r="P225" s="1607">
        <v>2.6044843297839904E-2</v>
      </c>
      <c r="Q225" s="1608"/>
      <c r="R225" s="8"/>
      <c r="S225" s="8"/>
      <c r="T225" s="8"/>
      <c r="U225" s="8"/>
      <c r="V225" s="714"/>
      <c r="W225" s="714"/>
      <c r="X225" s="714"/>
      <c r="Y225" s="714"/>
      <c r="Z225" s="714"/>
      <c r="AA225" s="714"/>
      <c r="AB225" s="714"/>
      <c r="AC225" s="714"/>
      <c r="AD225" s="714"/>
      <c r="AE225" s="714"/>
      <c r="AF225" s="714"/>
      <c r="AG225" s="714"/>
      <c r="AH225" s="714"/>
      <c r="AI225" s="714"/>
      <c r="AJ225" s="714"/>
      <c r="AK225" s="714"/>
      <c r="AL225" s="714"/>
      <c r="AM225" s="714"/>
      <c r="AN225" s="714"/>
      <c r="AO225" s="714"/>
      <c r="AP225" s="715"/>
      <c r="AQ225" s="716"/>
      <c r="AR225" s="708"/>
      <c r="AS225" s="708"/>
    </row>
    <row r="226" spans="1:45" s="712" customFormat="1" ht="12.75" customHeight="1" x14ac:dyDescent="0.25">
      <c r="A226" s="711"/>
      <c r="B226" s="8"/>
      <c r="C226" s="8"/>
      <c r="D226" s="8"/>
      <c r="E226" s="8"/>
      <c r="F226" s="8"/>
      <c r="G226" s="8"/>
      <c r="H226" s="8"/>
      <c r="I226" s="8"/>
      <c r="J226" s="1146"/>
      <c r="K226" s="1146"/>
      <c r="L226" s="1146"/>
      <c r="M226" s="1146"/>
      <c r="N226" s="1435"/>
      <c r="O226" s="1436"/>
      <c r="P226" s="1433"/>
      <c r="Q226" s="1434"/>
      <c r="R226" s="8"/>
      <c r="S226" s="8"/>
      <c r="T226" s="8"/>
      <c r="U226" s="8"/>
      <c r="V226" s="714"/>
      <c r="W226" s="714"/>
      <c r="X226" s="714"/>
      <c r="Y226" s="714"/>
      <c r="Z226" s="714"/>
      <c r="AA226" s="714"/>
      <c r="AB226" s="714"/>
      <c r="AC226" s="714"/>
      <c r="AD226" s="714"/>
      <c r="AE226" s="714"/>
      <c r="AF226" s="714"/>
      <c r="AG226" s="714"/>
      <c r="AH226" s="714"/>
      <c r="AI226" s="714"/>
      <c r="AJ226" s="714"/>
      <c r="AK226" s="714"/>
      <c r="AL226" s="714"/>
      <c r="AM226" s="714"/>
      <c r="AN226" s="714"/>
      <c r="AO226" s="714"/>
      <c r="AP226" s="715"/>
      <c r="AQ226" s="716"/>
      <c r="AR226" s="708"/>
      <c r="AS226" s="708"/>
    </row>
    <row r="227" spans="1:45" s="712" customFormat="1" ht="12.75" customHeight="1" x14ac:dyDescent="0.25">
      <c r="A227" s="711"/>
      <c r="B227" s="8"/>
      <c r="C227" s="11" t="s">
        <v>148</v>
      </c>
      <c r="D227" s="11"/>
      <c r="E227" s="11"/>
      <c r="F227" s="11"/>
      <c r="G227" s="11"/>
      <c r="H227" s="11"/>
      <c r="I227" s="8"/>
      <c r="J227" s="748"/>
      <c r="K227" s="748"/>
      <c r="L227" s="748"/>
      <c r="M227" s="748"/>
      <c r="N227" s="1611"/>
      <c r="O227" s="1612"/>
      <c r="P227" s="1603"/>
      <c r="Q227" s="1604"/>
      <c r="R227" s="8"/>
      <c r="S227" s="8"/>
      <c r="T227" s="8"/>
      <c r="U227" s="8"/>
      <c r="V227" s="714"/>
      <c r="W227" s="714"/>
      <c r="X227" s="714"/>
      <c r="Y227" s="714"/>
      <c r="Z227" s="714"/>
      <c r="AA227" s="714"/>
      <c r="AB227" s="714"/>
      <c r="AC227" s="714"/>
      <c r="AD227" s="714"/>
      <c r="AE227" s="714"/>
      <c r="AF227" s="714"/>
      <c r="AG227" s="714"/>
      <c r="AH227" s="714"/>
      <c r="AI227" s="714"/>
      <c r="AJ227" s="714"/>
      <c r="AK227" s="714"/>
      <c r="AL227" s="714"/>
      <c r="AM227" s="714"/>
      <c r="AN227" s="714"/>
      <c r="AO227" s="714"/>
      <c r="AP227" s="715"/>
      <c r="AQ227" s="716"/>
      <c r="AR227" s="708"/>
      <c r="AS227" s="708"/>
    </row>
    <row r="228" spans="1:45" s="708" customFormat="1" ht="12.75" customHeight="1" x14ac:dyDescent="0.25">
      <c r="A228" s="8"/>
      <c r="B228" s="8"/>
      <c r="C228" s="1504"/>
      <c r="D228" s="1504"/>
      <c r="E228" s="1506" t="s">
        <v>689</v>
      </c>
      <c r="F228" s="1504"/>
      <c r="G228" s="1504"/>
      <c r="H228" s="1504"/>
      <c r="I228" s="1504"/>
      <c r="J228" s="1507" t="s">
        <v>438</v>
      </c>
      <c r="K228" s="1507"/>
      <c r="L228" s="1507"/>
      <c r="M228" s="1507"/>
      <c r="N228" s="1989">
        <v>61.864290001861455</v>
      </c>
      <c r="O228" s="1990"/>
      <c r="P228" s="1991">
        <v>33.340658568761292</v>
      </c>
      <c r="Q228" s="1992"/>
      <c r="R228" s="8"/>
      <c r="S228" s="8"/>
      <c r="T228" s="8"/>
      <c r="U228" s="8"/>
      <c r="V228" s="714"/>
      <c r="W228" s="714"/>
      <c r="X228" s="714"/>
      <c r="Y228" s="714"/>
      <c r="Z228" s="714"/>
      <c r="AA228" s="714"/>
      <c r="AB228" s="714"/>
      <c r="AC228" s="714"/>
      <c r="AD228" s="714"/>
      <c r="AE228" s="714"/>
      <c r="AF228" s="714"/>
      <c r="AG228" s="714"/>
      <c r="AH228" s="714"/>
      <c r="AI228" s="714"/>
      <c r="AJ228" s="714"/>
      <c r="AK228" s="714"/>
      <c r="AL228" s="714"/>
      <c r="AM228" s="714"/>
      <c r="AN228" s="714"/>
      <c r="AO228" s="714"/>
      <c r="AP228" s="714"/>
      <c r="AQ228" s="716"/>
    </row>
    <row r="229" spans="1:45" s="708" customFormat="1" ht="12.75" customHeight="1" x14ac:dyDescent="0.25">
      <c r="A229" s="8"/>
      <c r="B229" s="8"/>
      <c r="C229" s="1504"/>
      <c r="D229" s="1504"/>
      <c r="E229" s="1506" t="s">
        <v>690</v>
      </c>
      <c r="F229" s="1504"/>
      <c r="G229" s="1504"/>
      <c r="H229" s="1504"/>
      <c r="I229" s="1504"/>
      <c r="J229" s="1507" t="s">
        <v>438</v>
      </c>
      <c r="K229" s="1507"/>
      <c r="L229" s="1507"/>
      <c r="M229" s="1507"/>
      <c r="N229" s="1989">
        <v>0</v>
      </c>
      <c r="O229" s="1990"/>
      <c r="P229" s="1991">
        <v>11.173565651245944</v>
      </c>
      <c r="Q229" s="1992"/>
      <c r="R229" s="8"/>
      <c r="S229" s="8"/>
      <c r="T229" s="8"/>
      <c r="U229" s="8"/>
      <c r="V229" s="714"/>
      <c r="W229" s="714"/>
      <c r="X229" s="714"/>
      <c r="Y229" s="714"/>
      <c r="Z229" s="714"/>
      <c r="AA229" s="714"/>
      <c r="AB229" s="714"/>
      <c r="AC229" s="714"/>
      <c r="AD229" s="714"/>
      <c r="AE229" s="714"/>
      <c r="AF229" s="714"/>
      <c r="AG229" s="714"/>
      <c r="AH229" s="714"/>
      <c r="AI229" s="714"/>
      <c r="AJ229" s="714"/>
      <c r="AK229" s="714"/>
      <c r="AL229" s="714"/>
      <c r="AM229" s="714"/>
      <c r="AN229" s="714"/>
      <c r="AO229" s="714"/>
      <c r="AP229" s="714"/>
      <c r="AQ229" s="716"/>
    </row>
    <row r="230" spans="1:45" s="708" customFormat="1" ht="12.75" customHeight="1" x14ac:dyDescent="0.25">
      <c r="A230" s="8"/>
      <c r="B230" s="8"/>
      <c r="C230" s="1504"/>
      <c r="D230" s="1504"/>
      <c r="E230" s="1506" t="s">
        <v>691</v>
      </c>
      <c r="F230" s="1504"/>
      <c r="G230" s="1504"/>
      <c r="H230" s="1504"/>
      <c r="I230" s="1504"/>
      <c r="J230" s="1507" t="s">
        <v>438</v>
      </c>
      <c r="K230" s="1507"/>
      <c r="L230" s="1507"/>
      <c r="M230" s="1507"/>
      <c r="N230" s="1989">
        <v>6.1678464954664586E-2</v>
      </c>
      <c r="O230" s="1990"/>
      <c r="P230" s="1991">
        <v>0.34880252807924406</v>
      </c>
      <c r="Q230" s="1992"/>
      <c r="R230" s="8"/>
      <c r="S230" s="8"/>
      <c r="T230" s="8"/>
      <c r="U230" s="8"/>
      <c r="V230" s="714"/>
      <c r="W230" s="714"/>
      <c r="X230" s="714"/>
      <c r="Y230" s="714"/>
      <c r="Z230" s="714"/>
      <c r="AA230" s="714"/>
      <c r="AB230" s="714"/>
      <c r="AC230" s="714"/>
      <c r="AD230" s="714"/>
      <c r="AE230" s="714"/>
      <c r="AF230" s="714"/>
      <c r="AG230" s="714"/>
      <c r="AH230" s="714"/>
      <c r="AI230" s="714"/>
      <c r="AJ230" s="714"/>
      <c r="AK230" s="714"/>
      <c r="AL230" s="714"/>
      <c r="AM230" s="714"/>
      <c r="AN230" s="714"/>
      <c r="AO230" s="714"/>
      <c r="AP230" s="714"/>
      <c r="AQ230" s="716"/>
    </row>
    <row r="231" spans="1:45" s="708" customFormat="1" ht="12.75" customHeight="1" x14ac:dyDescent="0.25">
      <c r="A231" s="709"/>
      <c r="B231" s="8"/>
      <c r="C231" s="1504"/>
      <c r="D231" s="1505" t="s">
        <v>692</v>
      </c>
      <c r="E231" s="1505"/>
      <c r="F231" s="1505"/>
      <c r="G231" s="1505"/>
      <c r="H231" s="1505"/>
      <c r="I231" s="1505"/>
      <c r="J231" s="1508" t="s">
        <v>438</v>
      </c>
      <c r="K231" s="1508"/>
      <c r="L231" s="1508"/>
      <c r="M231" s="1508"/>
      <c r="N231" s="2010">
        <v>61.925968466816123</v>
      </c>
      <c r="O231" s="2011"/>
      <c r="P231" s="2012">
        <v>44.863026748086483</v>
      </c>
      <c r="Q231" s="2013"/>
      <c r="R231" s="8"/>
      <c r="S231" s="8"/>
      <c r="T231" s="8"/>
      <c r="U231" s="8"/>
      <c r="V231" s="714"/>
      <c r="W231" s="714"/>
      <c r="X231" s="714"/>
      <c r="Y231" s="714"/>
      <c r="Z231" s="714"/>
      <c r="AA231" s="714"/>
      <c r="AB231" s="714"/>
      <c r="AC231" s="714"/>
      <c r="AD231" s="714"/>
      <c r="AE231" s="714"/>
      <c r="AF231" s="714"/>
      <c r="AG231" s="714"/>
      <c r="AH231" s="714"/>
      <c r="AI231" s="714"/>
      <c r="AJ231" s="714"/>
      <c r="AK231" s="714"/>
      <c r="AL231" s="714"/>
      <c r="AM231" s="714"/>
      <c r="AN231" s="714"/>
      <c r="AO231" s="714"/>
      <c r="AP231" s="714"/>
      <c r="AQ231" s="716"/>
    </row>
    <row r="232" spans="1:45" s="708" customFormat="1" ht="12.75" customHeight="1" x14ac:dyDescent="0.25">
      <c r="A232" s="709"/>
      <c r="B232" s="8"/>
      <c r="C232" s="1504"/>
      <c r="D232" s="1504" t="s">
        <v>309</v>
      </c>
      <c r="E232" s="1504"/>
      <c r="F232" s="1504"/>
      <c r="G232" s="1504"/>
      <c r="H232" s="1504"/>
      <c r="I232" s="1504"/>
      <c r="J232" s="1507" t="s">
        <v>16</v>
      </c>
      <c r="K232" s="1507"/>
      <c r="L232" s="1507"/>
      <c r="M232" s="1507"/>
      <c r="N232" s="1510"/>
      <c r="O232" s="1511"/>
      <c r="P232" s="2002">
        <v>-0.27553774516862095</v>
      </c>
      <c r="Q232" s="2003"/>
      <c r="R232" s="8"/>
      <c r="S232" s="8"/>
      <c r="T232" s="8"/>
      <c r="U232" s="8"/>
      <c r="V232" s="714"/>
      <c r="W232" s="714"/>
      <c r="X232" s="714"/>
      <c r="Y232" s="714"/>
      <c r="Z232" s="714"/>
      <c r="AA232" s="714"/>
      <c r="AB232" s="714"/>
      <c r="AC232" s="714"/>
      <c r="AD232" s="714"/>
      <c r="AE232" s="714"/>
      <c r="AF232" s="714"/>
      <c r="AG232" s="714"/>
      <c r="AH232" s="714"/>
      <c r="AI232" s="714"/>
      <c r="AJ232" s="714"/>
      <c r="AK232" s="714"/>
      <c r="AL232" s="714"/>
      <c r="AM232" s="714"/>
      <c r="AN232" s="714"/>
      <c r="AO232" s="714"/>
      <c r="AP232" s="714"/>
      <c r="AQ232" s="716"/>
    </row>
    <row r="233" spans="1:45" s="712" customFormat="1" ht="12.75" customHeight="1" x14ac:dyDescent="0.25">
      <c r="A233" s="711"/>
      <c r="B233" s="8"/>
      <c r="C233" s="8"/>
      <c r="D233" s="1557" t="s">
        <v>566</v>
      </c>
      <c r="E233" s="1557"/>
      <c r="F233" s="1557"/>
      <c r="G233" s="1557"/>
      <c r="H233" s="1557"/>
      <c r="I233" s="1557"/>
      <c r="J233" s="1146" t="s">
        <v>368</v>
      </c>
      <c r="K233" s="1146"/>
      <c r="L233" s="1146"/>
      <c r="M233" s="1146"/>
      <c r="N233" s="1613">
        <v>12.58242048</v>
      </c>
      <c r="O233" s="1614"/>
      <c r="P233" s="1596">
        <v>12.58242048</v>
      </c>
      <c r="Q233" s="1597"/>
      <c r="R233" s="8"/>
      <c r="S233" s="8"/>
      <c r="T233" s="8"/>
      <c r="U233" s="8"/>
      <c r="V233" s="714"/>
      <c r="W233" s="714"/>
      <c r="X233" s="714"/>
      <c r="Y233" s="714"/>
      <c r="Z233" s="714"/>
      <c r="AA233" s="714"/>
      <c r="AB233" s="714"/>
      <c r="AC233" s="714"/>
      <c r="AD233" s="714"/>
      <c r="AE233" s="714"/>
      <c r="AF233" s="714"/>
      <c r="AG233" s="714"/>
      <c r="AH233" s="714"/>
      <c r="AI233" s="714"/>
      <c r="AJ233" s="714"/>
      <c r="AK233" s="714"/>
      <c r="AL233" s="714"/>
      <c r="AM233" s="714"/>
      <c r="AN233" s="714"/>
      <c r="AO233" s="714"/>
      <c r="AP233" s="715"/>
      <c r="AQ233" s="716"/>
      <c r="AR233" s="708"/>
      <c r="AS233" s="708"/>
    </row>
    <row r="234" spans="1:45" s="712" customFormat="1" ht="12.75" customHeight="1" x14ac:dyDescent="0.25">
      <c r="A234" s="711"/>
      <c r="B234" s="708"/>
      <c r="C234" s="708"/>
      <c r="F234" s="713"/>
      <c r="G234" s="713"/>
      <c r="H234" s="713"/>
      <c r="I234" s="713"/>
      <c r="J234" s="714"/>
      <c r="K234" s="714"/>
      <c r="L234" s="714"/>
      <c r="M234" s="714"/>
      <c r="N234" s="714"/>
      <c r="O234" s="714"/>
      <c r="P234" s="714"/>
      <c r="Q234" s="714"/>
      <c r="R234" s="714"/>
      <c r="S234" s="714"/>
      <c r="T234" s="714"/>
      <c r="U234" s="714"/>
      <c r="V234" s="714"/>
      <c r="W234" s="714"/>
      <c r="X234" s="714"/>
      <c r="Y234" s="714"/>
      <c r="Z234" s="714"/>
      <c r="AA234" s="714"/>
      <c r="AB234" s="714"/>
      <c r="AC234" s="714"/>
      <c r="AD234" s="714"/>
      <c r="AE234" s="714"/>
      <c r="AF234" s="714"/>
      <c r="AG234" s="714"/>
      <c r="AH234" s="714"/>
      <c r="AI234" s="714"/>
      <c r="AJ234" s="714"/>
      <c r="AK234" s="714"/>
      <c r="AL234" s="714"/>
      <c r="AM234" s="714"/>
      <c r="AN234" s="714"/>
      <c r="AO234" s="714"/>
      <c r="AP234" s="715"/>
      <c r="AQ234" s="716"/>
      <c r="AR234" s="708"/>
      <c r="AS234" s="708"/>
    </row>
    <row r="235" spans="1:45" s="712" customFormat="1" ht="12.75" customHeight="1" x14ac:dyDescent="0.25">
      <c r="A235" s="711"/>
      <c r="B235" s="708"/>
      <c r="C235" s="708"/>
      <c r="F235" s="713"/>
      <c r="G235" s="713"/>
      <c r="H235" s="713"/>
      <c r="I235" s="713"/>
      <c r="J235" s="714"/>
      <c r="K235" s="714"/>
      <c r="L235" s="714"/>
      <c r="M235" s="714"/>
      <c r="N235" s="714"/>
      <c r="O235" s="714"/>
      <c r="P235" s="714"/>
      <c r="Q235" s="714"/>
      <c r="R235" s="714"/>
      <c r="S235" s="714"/>
      <c r="T235" s="714"/>
      <c r="U235" s="714"/>
      <c r="V235" s="714"/>
      <c r="W235" s="714"/>
      <c r="X235" s="714"/>
      <c r="Y235" s="714"/>
      <c r="Z235" s="714"/>
      <c r="AA235" s="714"/>
      <c r="AB235" s="714"/>
      <c r="AC235" s="714"/>
      <c r="AD235" s="714"/>
      <c r="AE235" s="714"/>
      <c r="AF235" s="714"/>
      <c r="AG235" s="714"/>
      <c r="AH235" s="714"/>
      <c r="AI235" s="714"/>
      <c r="AJ235" s="714"/>
      <c r="AK235" s="714"/>
      <c r="AL235" s="714"/>
      <c r="AM235" s="714"/>
      <c r="AN235" s="714"/>
      <c r="AO235" s="714"/>
      <c r="AP235" s="715"/>
      <c r="AQ235" s="716"/>
      <c r="AR235" s="708"/>
      <c r="AS235" s="708"/>
    </row>
    <row r="236" spans="1:45" s="712" customFormat="1" ht="12.75" customHeight="1" x14ac:dyDescent="0.25">
      <c r="A236" s="711"/>
      <c r="B236" s="52" t="s">
        <v>616</v>
      </c>
      <c r="C236" s="21"/>
      <c r="D236" s="21"/>
      <c r="E236" s="21"/>
      <c r="F236" s="21"/>
      <c r="G236" s="21"/>
      <c r="H236" s="21"/>
      <c r="I236" s="21"/>
      <c r="J236" s="22"/>
      <c r="K236" s="22"/>
      <c r="L236" s="22"/>
      <c r="M236" s="22"/>
      <c r="N236" s="22"/>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715"/>
      <c r="AQ236" s="716"/>
      <c r="AR236" s="708"/>
      <c r="AS236" s="708"/>
    </row>
    <row r="237" spans="1:45" s="712" customFormat="1" ht="12.75" customHeight="1" x14ac:dyDescent="0.25">
      <c r="A237" s="711"/>
      <c r="B237" s="708"/>
      <c r="C237" s="708"/>
      <c r="F237" s="713"/>
      <c r="G237" s="713"/>
      <c r="H237" s="713"/>
      <c r="I237" s="713"/>
      <c r="J237" s="714"/>
      <c r="K237" s="714"/>
      <c r="L237" s="714"/>
      <c r="M237" s="714"/>
      <c r="N237" s="714"/>
      <c r="O237" s="714"/>
      <c r="P237" s="714"/>
      <c r="Q237" s="714"/>
      <c r="R237" s="714"/>
      <c r="S237" s="714"/>
      <c r="T237" s="714"/>
      <c r="U237" s="714"/>
      <c r="V237" s="714"/>
      <c r="W237" s="714"/>
      <c r="X237" s="714"/>
      <c r="Y237" s="714"/>
      <c r="Z237" s="714"/>
      <c r="AA237" s="714"/>
      <c r="AB237" s="714"/>
      <c r="AC237" s="714"/>
      <c r="AD237" s="714"/>
      <c r="AE237" s="714"/>
      <c r="AF237" s="714"/>
      <c r="AG237" s="714"/>
      <c r="AH237" s="714"/>
      <c r="AI237" s="714"/>
      <c r="AJ237" s="714"/>
      <c r="AK237" s="714"/>
      <c r="AL237" s="714"/>
      <c r="AM237" s="714"/>
      <c r="AN237" s="714"/>
      <c r="AO237" s="714"/>
      <c r="AP237" s="715"/>
      <c r="AQ237" s="716"/>
      <c r="AR237" s="708"/>
      <c r="AS237" s="708"/>
    </row>
    <row r="238" spans="1:45" s="712" customFormat="1" ht="12.75" customHeight="1" x14ac:dyDescent="0.25">
      <c r="A238" s="711"/>
      <c r="B238" s="708"/>
      <c r="C238" s="1993" t="s">
        <v>619</v>
      </c>
      <c r="D238" s="1994"/>
      <c r="E238" s="1994"/>
      <c r="F238" s="1994"/>
      <c r="G238" s="1994"/>
      <c r="H238" s="1994"/>
      <c r="I238" s="1994"/>
      <c r="J238" s="1994"/>
      <c r="K238" s="1994"/>
      <c r="L238" s="1994"/>
      <c r="M238" s="1994"/>
      <c r="N238" s="1994"/>
      <c r="O238" s="1994"/>
      <c r="P238" s="1994"/>
      <c r="Q238" s="1995"/>
      <c r="R238" s="714"/>
      <c r="S238" s="714"/>
      <c r="T238" s="714"/>
      <c r="U238" s="714"/>
      <c r="V238" s="714"/>
      <c r="W238" s="714"/>
      <c r="X238" s="714"/>
      <c r="Y238" s="714"/>
      <c r="Z238" s="714"/>
      <c r="AA238" s="714"/>
      <c r="AB238" s="714"/>
      <c r="AC238" s="714"/>
      <c r="AD238" s="714"/>
      <c r="AE238" s="714"/>
      <c r="AF238" s="714"/>
      <c r="AG238" s="714"/>
      <c r="AH238" s="714"/>
      <c r="AI238" s="714"/>
      <c r="AJ238" s="714"/>
      <c r="AK238" s="714"/>
      <c r="AL238" s="714"/>
      <c r="AM238" s="714"/>
      <c r="AN238" s="714"/>
      <c r="AO238" s="714"/>
      <c r="AP238" s="715"/>
      <c r="AQ238" s="716"/>
      <c r="AR238" s="708"/>
      <c r="AS238" s="708"/>
    </row>
    <row r="239" spans="1:45" s="712" customFormat="1" ht="12.75" customHeight="1" x14ac:dyDescent="0.25">
      <c r="A239" s="711"/>
      <c r="B239" s="708"/>
      <c r="C239" s="1996"/>
      <c r="D239" s="1997"/>
      <c r="E239" s="1997"/>
      <c r="F239" s="1997"/>
      <c r="G239" s="1997"/>
      <c r="H239" s="1997"/>
      <c r="I239" s="1997"/>
      <c r="J239" s="1997"/>
      <c r="K239" s="1997"/>
      <c r="L239" s="1997"/>
      <c r="M239" s="1997"/>
      <c r="N239" s="1997"/>
      <c r="O239" s="1997"/>
      <c r="P239" s="1997"/>
      <c r="Q239" s="1998"/>
      <c r="R239" s="714"/>
      <c r="S239" s="714"/>
      <c r="T239" s="714"/>
      <c r="U239" s="714"/>
      <c r="V239" s="714"/>
      <c r="W239" s="714"/>
      <c r="X239" s="714"/>
      <c r="Y239" s="714"/>
      <c r="Z239" s="714"/>
      <c r="AA239" s="714"/>
      <c r="AB239" s="714"/>
      <c r="AC239" s="714"/>
      <c r="AD239" s="714"/>
      <c r="AE239" s="714"/>
      <c r="AF239" s="714"/>
      <c r="AG239" s="714"/>
      <c r="AH239" s="714"/>
      <c r="AI239" s="714"/>
      <c r="AJ239" s="714"/>
      <c r="AK239" s="714"/>
      <c r="AL239" s="714"/>
      <c r="AM239" s="714"/>
      <c r="AN239" s="714"/>
      <c r="AO239" s="714"/>
      <c r="AP239" s="715"/>
      <c r="AQ239" s="716"/>
      <c r="AR239" s="708"/>
      <c r="AS239" s="708"/>
    </row>
    <row r="240" spans="1:45" s="712" customFormat="1" ht="12.75" customHeight="1" x14ac:dyDescent="0.25">
      <c r="A240" s="711"/>
      <c r="B240" s="708"/>
      <c r="C240" s="1996"/>
      <c r="D240" s="1997"/>
      <c r="E240" s="1997"/>
      <c r="F240" s="1997"/>
      <c r="G240" s="1997"/>
      <c r="H240" s="1997"/>
      <c r="I240" s="1997"/>
      <c r="J240" s="1997"/>
      <c r="K240" s="1997"/>
      <c r="L240" s="1997"/>
      <c r="M240" s="1997"/>
      <c r="N240" s="1997"/>
      <c r="O240" s="1997"/>
      <c r="P240" s="1997"/>
      <c r="Q240" s="1998"/>
      <c r="R240" s="714"/>
      <c r="S240" s="714"/>
      <c r="T240" s="714"/>
      <c r="U240" s="714"/>
      <c r="V240" s="714"/>
      <c r="W240" s="714"/>
      <c r="X240" s="714"/>
      <c r="Y240" s="714"/>
      <c r="Z240" s="714"/>
      <c r="AA240" s="714"/>
      <c r="AB240" s="714"/>
      <c r="AC240" s="714"/>
      <c r="AD240" s="714"/>
      <c r="AE240" s="714"/>
      <c r="AF240" s="714"/>
      <c r="AG240" s="714"/>
      <c r="AH240" s="714"/>
      <c r="AI240" s="714"/>
      <c r="AJ240" s="714"/>
      <c r="AK240" s="714"/>
      <c r="AL240" s="714"/>
      <c r="AM240" s="714"/>
      <c r="AN240" s="714"/>
      <c r="AO240" s="714"/>
      <c r="AP240" s="715"/>
      <c r="AQ240" s="716"/>
      <c r="AR240" s="708"/>
      <c r="AS240" s="708"/>
    </row>
    <row r="241" spans="1:45" s="712" customFormat="1" ht="12.75" customHeight="1" x14ac:dyDescent="0.25">
      <c r="A241" s="711"/>
      <c r="B241" s="708"/>
      <c r="C241" s="1996"/>
      <c r="D241" s="1997"/>
      <c r="E241" s="1997"/>
      <c r="F241" s="1997"/>
      <c r="G241" s="1997"/>
      <c r="H241" s="1997"/>
      <c r="I241" s="1997"/>
      <c r="J241" s="1997"/>
      <c r="K241" s="1997"/>
      <c r="L241" s="1997"/>
      <c r="M241" s="1997"/>
      <c r="N241" s="1997"/>
      <c r="O241" s="1997"/>
      <c r="P241" s="1997"/>
      <c r="Q241" s="1998"/>
      <c r="R241" s="714"/>
      <c r="S241" s="714"/>
      <c r="T241" s="714"/>
      <c r="U241" s="714"/>
      <c r="V241" s="714"/>
      <c r="W241" s="714"/>
      <c r="X241" s="714"/>
      <c r="Y241" s="714"/>
      <c r="Z241" s="714"/>
      <c r="AA241" s="714"/>
      <c r="AB241" s="714"/>
      <c r="AC241" s="714"/>
      <c r="AD241" s="714"/>
      <c r="AE241" s="714"/>
      <c r="AF241" s="714"/>
      <c r="AG241" s="714"/>
      <c r="AH241" s="714"/>
      <c r="AI241" s="714"/>
      <c r="AJ241" s="714"/>
      <c r="AK241" s="714"/>
      <c r="AL241" s="714"/>
      <c r="AM241" s="714"/>
      <c r="AN241" s="714"/>
      <c r="AO241" s="714"/>
      <c r="AP241" s="715"/>
      <c r="AQ241" s="716"/>
      <c r="AR241" s="708"/>
      <c r="AS241" s="708"/>
    </row>
    <row r="242" spans="1:45" s="712" customFormat="1" ht="12.75" customHeight="1" x14ac:dyDescent="0.25">
      <c r="A242" s="711"/>
      <c r="B242" s="708"/>
      <c r="C242" s="1996"/>
      <c r="D242" s="1997"/>
      <c r="E242" s="1997"/>
      <c r="F242" s="1997"/>
      <c r="G242" s="1997"/>
      <c r="H242" s="1997"/>
      <c r="I242" s="1997"/>
      <c r="J242" s="1997"/>
      <c r="K242" s="1997"/>
      <c r="L242" s="1997"/>
      <c r="M242" s="1997"/>
      <c r="N242" s="1997"/>
      <c r="O242" s="1997"/>
      <c r="P242" s="1997"/>
      <c r="Q242" s="1998"/>
      <c r="R242" s="714"/>
      <c r="S242" s="714"/>
      <c r="T242" s="714"/>
      <c r="U242" s="714"/>
      <c r="V242" s="714"/>
      <c r="W242" s="714"/>
      <c r="X242" s="714"/>
      <c r="Y242" s="714"/>
      <c r="Z242" s="714"/>
      <c r="AA242" s="714"/>
      <c r="AB242" s="714"/>
      <c r="AC242" s="714"/>
      <c r="AD242" s="714"/>
      <c r="AE242" s="714"/>
      <c r="AF242" s="714"/>
      <c r="AG242" s="714"/>
      <c r="AH242" s="714"/>
      <c r="AI242" s="714"/>
      <c r="AJ242" s="714"/>
      <c r="AK242" s="714"/>
      <c r="AL242" s="714"/>
      <c r="AM242" s="714"/>
      <c r="AN242" s="714"/>
      <c r="AO242" s="714"/>
      <c r="AP242" s="715"/>
      <c r="AQ242" s="716"/>
      <c r="AR242" s="708"/>
      <c r="AS242" s="708"/>
    </row>
    <row r="243" spans="1:45" s="712" customFormat="1" ht="12.75" customHeight="1" x14ac:dyDescent="0.25">
      <c r="A243" s="711"/>
      <c r="B243" s="708"/>
      <c r="C243" s="1996"/>
      <c r="D243" s="1997"/>
      <c r="E243" s="1997"/>
      <c r="F243" s="1997"/>
      <c r="G243" s="1997"/>
      <c r="H243" s="1997"/>
      <c r="I243" s="1997"/>
      <c r="J243" s="1997"/>
      <c r="K243" s="1997"/>
      <c r="L243" s="1997"/>
      <c r="M243" s="1997"/>
      <c r="N243" s="1997"/>
      <c r="O243" s="1997"/>
      <c r="P243" s="1997"/>
      <c r="Q243" s="1998"/>
      <c r="R243" s="714"/>
      <c r="S243" s="714"/>
      <c r="T243" s="714"/>
      <c r="U243" s="714"/>
      <c r="V243" s="714"/>
      <c r="W243" s="714"/>
      <c r="X243" s="714"/>
      <c r="Y243" s="714"/>
      <c r="Z243" s="714"/>
      <c r="AA243" s="714"/>
      <c r="AB243" s="714"/>
      <c r="AC243" s="714"/>
      <c r="AD243" s="714"/>
      <c r="AE243" s="714"/>
      <c r="AF243" s="714"/>
      <c r="AG243" s="714"/>
      <c r="AH243" s="714"/>
      <c r="AI243" s="714"/>
      <c r="AJ243" s="714"/>
      <c r="AK243" s="714"/>
      <c r="AL243" s="714"/>
      <c r="AM243" s="714"/>
      <c r="AN243" s="714"/>
      <c r="AO243" s="714"/>
      <c r="AP243" s="715"/>
      <c r="AQ243" s="716"/>
      <c r="AR243" s="708"/>
      <c r="AS243" s="708"/>
    </row>
    <row r="244" spans="1:45" s="712" customFormat="1" ht="12.75" customHeight="1" x14ac:dyDescent="0.25">
      <c r="A244" s="711"/>
      <c r="B244" s="708"/>
      <c r="C244" s="1999"/>
      <c r="D244" s="2000"/>
      <c r="E244" s="2000"/>
      <c r="F244" s="2000"/>
      <c r="G244" s="2000"/>
      <c r="H244" s="2000"/>
      <c r="I244" s="2000"/>
      <c r="J244" s="2000"/>
      <c r="K244" s="2000"/>
      <c r="L244" s="2000"/>
      <c r="M244" s="2000"/>
      <c r="N244" s="2000"/>
      <c r="O244" s="2000"/>
      <c r="P244" s="2000"/>
      <c r="Q244" s="2001"/>
      <c r="R244" s="714"/>
      <c r="S244" s="714"/>
      <c r="T244" s="714"/>
      <c r="U244" s="714"/>
      <c r="V244" s="714"/>
      <c r="W244" s="714"/>
      <c r="X244" s="714"/>
      <c r="Y244" s="714"/>
      <c r="Z244" s="714"/>
      <c r="AA244" s="714"/>
      <c r="AB244" s="714"/>
      <c r="AC244" s="714"/>
      <c r="AD244" s="714"/>
      <c r="AE244" s="714"/>
      <c r="AF244" s="714"/>
      <c r="AG244" s="714"/>
      <c r="AH244" s="714"/>
      <c r="AI244" s="714"/>
      <c r="AJ244" s="714"/>
      <c r="AK244" s="714"/>
      <c r="AL244" s="714"/>
      <c r="AM244" s="714"/>
      <c r="AN244" s="714"/>
      <c r="AO244" s="714"/>
      <c r="AP244" s="715"/>
      <c r="AQ244" s="716"/>
      <c r="AR244" s="708"/>
      <c r="AS244" s="708"/>
    </row>
    <row r="245" spans="1:45" s="712" customFormat="1" ht="12.75" customHeight="1" x14ac:dyDescent="0.25">
      <c r="A245" s="711"/>
      <c r="B245" s="708"/>
      <c r="C245" s="708"/>
      <c r="F245" s="713"/>
      <c r="G245" s="713"/>
      <c r="H245" s="713"/>
      <c r="I245" s="713"/>
      <c r="J245" s="714"/>
      <c r="K245" s="714"/>
      <c r="L245" s="714"/>
      <c r="M245" s="714"/>
      <c r="N245" s="714"/>
      <c r="O245" s="714"/>
      <c r="P245" s="714"/>
      <c r="Q245" s="714"/>
      <c r="R245" s="714"/>
      <c r="S245" s="714"/>
      <c r="T245" s="714"/>
      <c r="U245" s="714"/>
      <c r="V245" s="714"/>
      <c r="W245" s="714"/>
      <c r="X245" s="714"/>
      <c r="Y245" s="714"/>
      <c r="Z245" s="714"/>
      <c r="AA245" s="714"/>
      <c r="AB245" s="714"/>
      <c r="AC245" s="714"/>
      <c r="AD245" s="714"/>
      <c r="AE245" s="714"/>
      <c r="AF245" s="714"/>
      <c r="AG245" s="714"/>
      <c r="AH245" s="714"/>
      <c r="AI245" s="714"/>
      <c r="AJ245" s="714"/>
      <c r="AK245" s="714"/>
      <c r="AL245" s="714"/>
      <c r="AM245" s="714"/>
      <c r="AN245" s="714"/>
      <c r="AO245" s="714"/>
      <c r="AP245" s="715"/>
      <c r="AQ245" s="716"/>
      <c r="AR245" s="708"/>
      <c r="AS245" s="708"/>
    </row>
    <row r="246" spans="1:45" s="712" customFormat="1" ht="12.75" customHeight="1" x14ac:dyDescent="0.25">
      <c r="A246" s="711"/>
      <c r="B246" s="708"/>
      <c r="C246" s="708"/>
      <c r="F246" s="713"/>
      <c r="G246" s="713"/>
      <c r="H246" s="713"/>
      <c r="I246" s="713"/>
      <c r="J246" s="714"/>
      <c r="K246" s="714"/>
      <c r="L246" s="714"/>
      <c r="M246" s="714"/>
      <c r="N246" s="714"/>
      <c r="O246" s="714"/>
      <c r="P246" s="714"/>
      <c r="Q246" s="714"/>
      <c r="R246" s="714"/>
      <c r="S246" s="714"/>
      <c r="T246" s="714"/>
      <c r="U246" s="714"/>
      <c r="V246" s="714"/>
      <c r="W246" s="714"/>
      <c r="X246" s="714"/>
      <c r="Y246" s="714"/>
      <c r="Z246" s="714"/>
      <c r="AA246" s="714"/>
      <c r="AB246" s="714"/>
      <c r="AC246" s="714"/>
      <c r="AD246" s="714"/>
      <c r="AE246" s="714"/>
      <c r="AF246" s="714"/>
      <c r="AG246" s="714"/>
      <c r="AH246" s="714"/>
      <c r="AI246" s="714"/>
      <c r="AJ246" s="714"/>
      <c r="AK246" s="714"/>
      <c r="AL246" s="714"/>
      <c r="AM246" s="714"/>
      <c r="AN246" s="714"/>
      <c r="AO246" s="714"/>
      <c r="AP246" s="715"/>
      <c r="AQ246" s="716"/>
      <c r="AR246" s="708"/>
      <c r="AS246" s="708"/>
    </row>
    <row r="247" spans="1:45" s="712" customFormat="1" ht="12.75" customHeight="1" x14ac:dyDescent="0.25">
      <c r="A247" s="711"/>
      <c r="B247" s="708"/>
      <c r="C247" s="708"/>
      <c r="F247" s="713"/>
      <c r="G247" s="713"/>
      <c r="H247" s="713"/>
      <c r="I247" s="713"/>
      <c r="J247" s="714"/>
      <c r="K247" s="714"/>
      <c r="L247" s="714"/>
      <c r="M247" s="714"/>
      <c r="N247" s="714"/>
      <c r="O247" s="714"/>
      <c r="P247" s="714"/>
      <c r="Q247" s="714"/>
      <c r="R247" s="714"/>
      <c r="S247" s="714"/>
      <c r="T247" s="714"/>
      <c r="U247" s="714"/>
      <c r="V247" s="714"/>
      <c r="W247" s="714"/>
      <c r="X247" s="714"/>
      <c r="Y247" s="714"/>
      <c r="Z247" s="714"/>
      <c r="AA247" s="714"/>
      <c r="AB247" s="714"/>
      <c r="AC247" s="714"/>
      <c r="AD247" s="714"/>
      <c r="AE247" s="714"/>
      <c r="AF247" s="714"/>
      <c r="AG247" s="714"/>
      <c r="AH247" s="714"/>
      <c r="AI247" s="714"/>
      <c r="AJ247" s="714"/>
      <c r="AK247" s="714"/>
      <c r="AL247" s="714"/>
      <c r="AM247" s="714"/>
      <c r="AN247" s="714"/>
      <c r="AO247" s="714"/>
      <c r="AP247" s="715"/>
      <c r="AQ247" s="716"/>
      <c r="AR247" s="708"/>
      <c r="AS247" s="708"/>
    </row>
    <row r="248" spans="1:45" s="712" customFormat="1" ht="12.75" customHeight="1" x14ac:dyDescent="0.25">
      <c r="A248" s="44" t="s">
        <v>637</v>
      </c>
      <c r="B248" s="44"/>
      <c r="C248" s="44"/>
      <c r="D248" s="44"/>
      <c r="E248" s="44"/>
      <c r="F248" s="44"/>
      <c r="G248" s="44"/>
      <c r="H248" s="44"/>
      <c r="I248" s="44"/>
      <c r="J248" s="45"/>
      <c r="K248" s="45"/>
      <c r="L248" s="45"/>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715"/>
      <c r="AQ248" s="716"/>
      <c r="AR248" s="708"/>
      <c r="AS248" s="708"/>
    </row>
    <row r="249" spans="1:45" s="712" customFormat="1" ht="12.75" customHeight="1" x14ac:dyDescent="0.25">
      <c r="A249" s="711"/>
      <c r="B249" s="708"/>
      <c r="C249" s="708"/>
      <c r="F249" s="713"/>
      <c r="G249" s="713"/>
      <c r="H249" s="713"/>
      <c r="I249" s="713"/>
      <c r="J249" s="714"/>
      <c r="K249" s="714"/>
      <c r="L249" s="714"/>
      <c r="M249" s="714"/>
      <c r="N249" s="714"/>
      <c r="O249" s="714"/>
      <c r="P249" s="714"/>
      <c r="Q249" s="714"/>
      <c r="R249" s="714"/>
      <c r="S249" s="714"/>
      <c r="T249" s="714"/>
      <c r="U249" s="714"/>
      <c r="V249" s="714"/>
      <c r="W249" s="714"/>
      <c r="X249" s="714"/>
      <c r="Y249" s="714"/>
      <c r="Z249" s="714"/>
      <c r="AA249" s="714"/>
      <c r="AB249" s="714"/>
      <c r="AC249" s="714"/>
      <c r="AD249" s="714"/>
      <c r="AE249" s="714"/>
      <c r="AF249" s="714"/>
      <c r="AG249" s="714"/>
      <c r="AH249" s="714"/>
      <c r="AI249" s="714"/>
      <c r="AJ249" s="714"/>
      <c r="AK249" s="714"/>
      <c r="AL249" s="714"/>
      <c r="AM249" s="714"/>
      <c r="AN249" s="714"/>
      <c r="AO249" s="714"/>
      <c r="AP249" s="715"/>
      <c r="AQ249" s="716"/>
      <c r="AR249" s="708"/>
      <c r="AS249" s="708"/>
    </row>
    <row r="250" spans="1:45" s="712" customFormat="1" ht="12.75" customHeight="1" x14ac:dyDescent="0.25">
      <c r="A250" s="711"/>
      <c r="B250" s="55" t="s">
        <v>550</v>
      </c>
      <c r="C250" s="55"/>
      <c r="D250" s="81"/>
      <c r="E250" s="81"/>
      <c r="F250" s="81"/>
      <c r="G250" s="81"/>
      <c r="H250" s="81"/>
      <c r="I250" s="81"/>
      <c r="J250" s="81"/>
      <c r="K250" s="81"/>
      <c r="L250" s="81"/>
      <c r="M250" s="81"/>
      <c r="N250" s="81"/>
      <c r="O250" s="55"/>
      <c r="P250" s="55"/>
      <c r="Q250" s="55"/>
      <c r="R250" s="797"/>
      <c r="S250" s="797"/>
      <c r="T250" s="797"/>
      <c r="U250" s="797"/>
      <c r="V250" s="797"/>
      <c r="W250" s="797"/>
      <c r="X250" s="797"/>
      <c r="Y250" s="797"/>
      <c r="Z250" s="797"/>
      <c r="AA250" s="797"/>
      <c r="AB250" s="797"/>
      <c r="AC250" s="797"/>
      <c r="AD250" s="797"/>
      <c r="AE250" s="797"/>
      <c r="AF250" s="797"/>
      <c r="AG250" s="797"/>
      <c r="AH250" s="797"/>
      <c r="AI250" s="797"/>
      <c r="AJ250" s="797"/>
      <c r="AK250" s="797"/>
      <c r="AL250" s="797"/>
      <c r="AM250" s="797"/>
      <c r="AN250" s="797"/>
      <c r="AO250" s="797"/>
      <c r="AP250" s="715"/>
      <c r="AQ250" s="716"/>
      <c r="AR250" s="708"/>
      <c r="AS250" s="708"/>
    </row>
    <row r="251" spans="1:45" s="712" customFormat="1" ht="12.75" customHeight="1" x14ac:dyDescent="0.25">
      <c r="A251" s="711"/>
      <c r="B251" s="708"/>
      <c r="C251" s="708"/>
      <c r="F251" s="713"/>
      <c r="G251" s="713"/>
      <c r="H251" s="713"/>
      <c r="I251" s="713"/>
      <c r="J251" s="714"/>
      <c r="K251" s="714"/>
      <c r="L251" s="714"/>
      <c r="M251" s="714"/>
      <c r="N251" s="714"/>
      <c r="O251" s="714"/>
      <c r="P251" s="714"/>
      <c r="Q251" s="714"/>
      <c r="R251" s="714"/>
      <c r="S251" s="714"/>
      <c r="T251" s="714"/>
      <c r="U251" s="714"/>
      <c r="V251" s="714"/>
      <c r="W251" s="714"/>
      <c r="X251" s="714"/>
      <c r="Y251" s="714"/>
      <c r="Z251" s="714"/>
      <c r="AA251" s="714"/>
      <c r="AB251" s="714"/>
      <c r="AC251" s="714"/>
      <c r="AD251" s="714"/>
      <c r="AE251" s="714"/>
      <c r="AF251" s="714"/>
      <c r="AG251" s="714"/>
      <c r="AH251" s="714"/>
      <c r="AI251" s="714"/>
      <c r="AJ251" s="714"/>
      <c r="AK251" s="714"/>
      <c r="AL251" s="714"/>
      <c r="AM251" s="714"/>
      <c r="AN251" s="714"/>
      <c r="AO251" s="714"/>
      <c r="AP251" s="715"/>
      <c r="AQ251" s="716"/>
      <c r="AR251" s="708"/>
      <c r="AS251" s="708"/>
    </row>
    <row r="252" spans="1:45" s="712" customFormat="1" ht="12.75" customHeight="1" x14ac:dyDescent="0.3">
      <c r="A252" s="711"/>
      <c r="B252" s="708"/>
      <c r="C252" s="708" t="s">
        <v>603</v>
      </c>
      <c r="F252" s="713"/>
      <c r="G252" s="713"/>
      <c r="I252" s="713"/>
      <c r="J252" s="714"/>
      <c r="K252" s="714"/>
      <c r="L252" s="714"/>
      <c r="M252" s="714"/>
      <c r="N252" s="714"/>
      <c r="O252" s="2022" t="s">
        <v>607</v>
      </c>
      <c r="P252" s="2026"/>
      <c r="Q252" s="714"/>
      <c r="R252" s="714"/>
      <c r="S252" s="714"/>
      <c r="T252" s="714"/>
      <c r="U252" s="714"/>
      <c r="V252" s="714"/>
      <c r="W252" s="714"/>
      <c r="X252" s="714"/>
      <c r="Y252" s="714"/>
      <c r="Z252" s="714"/>
      <c r="AA252" s="714"/>
      <c r="AB252" s="714"/>
      <c r="AC252" s="714"/>
      <c r="AD252" s="714"/>
      <c r="AE252" s="714"/>
      <c r="AF252" s="714"/>
      <c r="AG252" s="714"/>
      <c r="AH252" s="714"/>
      <c r="AI252" s="714"/>
      <c r="AJ252" s="714"/>
      <c r="AK252" s="714"/>
      <c r="AL252" s="714"/>
      <c r="AM252" s="714"/>
      <c r="AN252" s="714"/>
      <c r="AO252" s="714"/>
      <c r="AP252" s="715"/>
      <c r="AQ252" s="716"/>
      <c r="AR252" s="708"/>
      <c r="AS252" s="708"/>
    </row>
    <row r="253" spans="1:45" s="712" customFormat="1" ht="12.75" customHeight="1" x14ac:dyDescent="0.25">
      <c r="A253" s="711"/>
      <c r="B253" s="708"/>
      <c r="C253" s="708"/>
      <c r="D253" s="708" t="s">
        <v>549</v>
      </c>
      <c r="F253" s="713"/>
      <c r="G253" s="713"/>
      <c r="I253" s="713"/>
      <c r="J253" s="68"/>
      <c r="K253" s="68"/>
      <c r="L253" s="68"/>
      <c r="M253" s="714"/>
      <c r="N253" s="714"/>
      <c r="O253" s="2004" t="s">
        <v>539</v>
      </c>
      <c r="P253" s="2005" t="s">
        <v>539</v>
      </c>
      <c r="Q253" s="714"/>
      <c r="R253" s="714"/>
      <c r="S253" s="714"/>
      <c r="T253" s="714"/>
      <c r="U253" s="714"/>
      <c r="V253" s="714"/>
      <c r="W253" s="714"/>
      <c r="X253" s="714"/>
      <c r="Y253" s="714"/>
      <c r="Z253" s="714"/>
      <c r="AA253" s="714"/>
      <c r="AB253" s="714"/>
      <c r="AC253" s="714"/>
      <c r="AD253" s="714"/>
      <c r="AE253" s="714"/>
      <c r="AF253" s="714"/>
      <c r="AG253" s="714"/>
      <c r="AH253" s="714"/>
      <c r="AI253" s="714"/>
      <c r="AJ253" s="714"/>
      <c r="AK253" s="714"/>
      <c r="AL253" s="714"/>
      <c r="AM253" s="714"/>
      <c r="AN253" s="714"/>
      <c r="AO253" s="714"/>
      <c r="AP253" s="715"/>
      <c r="AQ253" s="716"/>
      <c r="AR253" s="708"/>
      <c r="AS253" s="708"/>
    </row>
    <row r="254" spans="1:45" s="712" customFormat="1" ht="12.75" customHeight="1" x14ac:dyDescent="0.25">
      <c r="A254" s="711"/>
      <c r="B254" s="708"/>
      <c r="C254" s="708"/>
      <c r="D254" s="708" t="s">
        <v>573</v>
      </c>
      <c r="F254" s="713"/>
      <c r="G254" s="713"/>
      <c r="H254" s="713"/>
      <c r="I254" s="713"/>
      <c r="J254" s="714"/>
      <c r="K254" s="714"/>
      <c r="L254" s="714"/>
      <c r="M254" s="714"/>
      <c r="N254" s="714"/>
      <c r="O254" s="2006" t="s">
        <v>540</v>
      </c>
      <c r="P254" s="2007" t="s">
        <v>540</v>
      </c>
      <c r="Q254" s="714"/>
      <c r="R254" s="714"/>
      <c r="S254" s="714"/>
      <c r="T254" s="714"/>
      <c r="U254" s="714"/>
      <c r="V254" s="714"/>
      <c r="W254" s="714"/>
      <c r="X254" s="714"/>
      <c r="Y254" s="714"/>
      <c r="Z254" s="714"/>
      <c r="AA254" s="714"/>
      <c r="AB254" s="714"/>
      <c r="AC254" s="714"/>
      <c r="AD254" s="714"/>
      <c r="AE254" s="714"/>
      <c r="AF254" s="714"/>
      <c r="AG254" s="714"/>
      <c r="AH254" s="714"/>
      <c r="AI254" s="714"/>
      <c r="AJ254" s="714"/>
      <c r="AK254" s="714"/>
      <c r="AL254" s="714"/>
      <c r="AM254" s="714"/>
      <c r="AN254" s="714"/>
      <c r="AO254" s="714"/>
      <c r="AP254" s="715"/>
      <c r="AQ254" s="716"/>
      <c r="AR254" s="708"/>
      <c r="AS254" s="708"/>
    </row>
    <row r="255" spans="1:45" s="712" customFormat="1" ht="12.75" customHeight="1" x14ac:dyDescent="0.25">
      <c r="A255" s="711"/>
      <c r="B255" s="708"/>
      <c r="C255" s="708"/>
      <c r="F255" s="713"/>
      <c r="G255" s="713"/>
      <c r="H255" s="713"/>
      <c r="I255" s="713"/>
      <c r="J255" s="714"/>
      <c r="K255" s="714"/>
      <c r="L255" s="714"/>
      <c r="M255" s="714"/>
      <c r="N255" s="714"/>
      <c r="O255" s="714"/>
      <c r="P255" s="714"/>
      <c r="Q255" s="714"/>
      <c r="R255" s="714"/>
      <c r="S255" s="714"/>
      <c r="T255" s="714"/>
      <c r="U255" s="714"/>
      <c r="V255" s="714"/>
      <c r="W255" s="714"/>
      <c r="X255" s="714"/>
      <c r="Y255" s="714"/>
      <c r="Z255" s="714"/>
      <c r="AA255" s="714"/>
      <c r="AB255" s="714"/>
      <c r="AC255" s="714"/>
      <c r="AD255" s="714"/>
      <c r="AE255" s="714"/>
      <c r="AF255" s="714"/>
      <c r="AG255" s="714"/>
      <c r="AH255" s="714"/>
      <c r="AI255" s="714"/>
      <c r="AJ255" s="714"/>
      <c r="AK255" s="714"/>
      <c r="AL255" s="714"/>
      <c r="AM255" s="714"/>
      <c r="AN255" s="714"/>
      <c r="AO255" s="714"/>
      <c r="AP255" s="715"/>
      <c r="AQ255" s="716"/>
      <c r="AR255" s="708"/>
      <c r="AS255" s="708"/>
    </row>
    <row r="256" spans="1:45" s="712" customFormat="1" ht="12.75" customHeight="1" x14ac:dyDescent="0.25">
      <c r="A256" s="711"/>
      <c r="B256" s="52" t="s">
        <v>615</v>
      </c>
      <c r="C256" s="21"/>
      <c r="D256" s="21"/>
      <c r="E256" s="21"/>
      <c r="F256" s="21"/>
      <c r="G256" s="21"/>
      <c r="H256" s="21"/>
      <c r="I256" s="21"/>
      <c r="J256" s="22"/>
      <c r="K256" s="22"/>
      <c r="L256" s="22"/>
      <c r="M256" s="22"/>
      <c r="N256" s="22"/>
      <c r="O256" s="21"/>
      <c r="P256" s="21"/>
      <c r="Q256" s="21"/>
      <c r="R256" s="21"/>
      <c r="S256" s="21"/>
      <c r="T256" s="21"/>
      <c r="U256" s="21"/>
      <c r="V256" s="714"/>
      <c r="W256" s="714"/>
      <c r="X256" s="714"/>
      <c r="Y256" s="714"/>
      <c r="Z256" s="714"/>
      <c r="AA256" s="714"/>
      <c r="AB256" s="714"/>
      <c r="AC256" s="714"/>
      <c r="AD256" s="714"/>
      <c r="AE256" s="714"/>
      <c r="AF256" s="714"/>
      <c r="AG256" s="714"/>
      <c r="AH256" s="714"/>
      <c r="AI256" s="714"/>
      <c r="AJ256" s="714"/>
      <c r="AK256" s="714"/>
      <c r="AL256" s="714"/>
      <c r="AM256" s="714"/>
      <c r="AN256" s="714"/>
      <c r="AO256" s="714"/>
      <c r="AP256" s="715"/>
      <c r="AQ256" s="716"/>
      <c r="AR256" s="708"/>
      <c r="AS256" s="708"/>
    </row>
    <row r="257" spans="1:45" s="712" customFormat="1" ht="12.75" customHeight="1" x14ac:dyDescent="0.25">
      <c r="A257" s="711"/>
      <c r="B257" s="8"/>
      <c r="C257" s="8"/>
      <c r="D257" s="8"/>
      <c r="E257" s="8"/>
      <c r="F257" s="8"/>
      <c r="G257" s="8"/>
      <c r="H257" s="8"/>
      <c r="I257" s="11"/>
      <c r="J257" s="1157"/>
      <c r="K257" s="1157"/>
      <c r="L257" s="1157"/>
      <c r="M257" s="1157"/>
      <c r="N257" s="1157"/>
      <c r="O257" s="1157"/>
      <c r="P257" s="40"/>
      <c r="Q257" s="8"/>
      <c r="R257" s="8"/>
      <c r="S257" s="8"/>
      <c r="T257" s="8"/>
      <c r="U257" s="8"/>
      <c r="V257" s="714"/>
      <c r="W257" s="714"/>
      <c r="X257" s="714"/>
      <c r="Y257" s="714"/>
      <c r="Z257" s="714"/>
      <c r="AA257" s="714"/>
      <c r="AB257" s="714"/>
      <c r="AC257" s="714"/>
      <c r="AD257" s="714"/>
      <c r="AE257" s="714"/>
      <c r="AF257" s="714"/>
      <c r="AG257" s="714"/>
      <c r="AH257" s="714"/>
      <c r="AI257" s="714"/>
      <c r="AJ257" s="714"/>
      <c r="AK257" s="714"/>
      <c r="AL257" s="714"/>
      <c r="AM257" s="714"/>
      <c r="AN257" s="714"/>
      <c r="AO257" s="714"/>
      <c r="AP257" s="715"/>
      <c r="AQ257" s="716"/>
      <c r="AR257" s="708"/>
      <c r="AS257" s="708"/>
    </row>
    <row r="258" spans="1:45" s="712" customFormat="1" ht="12.75" customHeight="1" x14ac:dyDescent="0.25">
      <c r="A258" s="711"/>
      <c r="B258" s="8"/>
      <c r="C258" s="8"/>
      <c r="D258" s="8"/>
      <c r="E258" s="8"/>
      <c r="F258" s="8"/>
      <c r="G258" s="8"/>
      <c r="H258" s="8"/>
      <c r="I258" s="11"/>
      <c r="J258" s="1157"/>
      <c r="K258" s="1157"/>
      <c r="L258" s="1157"/>
      <c r="M258" s="1157"/>
      <c r="N258" s="1157"/>
      <c r="O258" s="1157"/>
      <c r="P258" s="40"/>
      <c r="Q258" s="8"/>
      <c r="R258" s="8"/>
      <c r="S258" s="8"/>
      <c r="T258" s="8"/>
      <c r="U258" s="8"/>
      <c r="V258" s="714"/>
      <c r="W258" s="714"/>
      <c r="X258" s="714"/>
      <c r="Y258" s="714"/>
      <c r="Z258" s="714"/>
      <c r="AA258" s="714"/>
      <c r="AB258" s="714"/>
      <c r="AC258" s="714"/>
      <c r="AD258" s="714"/>
      <c r="AE258" s="714"/>
      <c r="AF258" s="714"/>
      <c r="AG258" s="714"/>
      <c r="AH258" s="714"/>
      <c r="AI258" s="714"/>
      <c r="AJ258" s="714"/>
      <c r="AK258" s="714"/>
      <c r="AL258" s="714"/>
      <c r="AM258" s="714"/>
      <c r="AN258" s="714"/>
      <c r="AO258" s="714"/>
      <c r="AP258" s="715"/>
      <c r="AQ258" s="716"/>
      <c r="AR258" s="708"/>
      <c r="AS258" s="708"/>
    </row>
    <row r="259" spans="1:45" s="712" customFormat="1" ht="12.75" customHeight="1" x14ac:dyDescent="0.25">
      <c r="A259" s="711"/>
      <c r="B259" s="8"/>
      <c r="C259" s="8"/>
      <c r="D259" s="8"/>
      <c r="E259" s="8"/>
      <c r="F259" s="8"/>
      <c r="G259" s="8"/>
      <c r="H259" s="8"/>
      <c r="I259" s="8"/>
      <c r="J259" s="1156"/>
      <c r="K259" s="1156"/>
      <c r="L259" s="1156"/>
      <c r="M259" s="1156"/>
      <c r="N259" s="1574" t="s">
        <v>483</v>
      </c>
      <c r="O259" s="1575"/>
      <c r="P259" s="1575"/>
      <c r="Q259" s="1576"/>
      <c r="R259" s="8"/>
      <c r="S259" s="8"/>
      <c r="T259" s="8"/>
      <c r="U259" s="8"/>
      <c r="V259" s="714"/>
      <c r="W259" s="714"/>
      <c r="X259" s="714"/>
      <c r="Y259" s="714"/>
      <c r="Z259" s="714"/>
      <c r="AA259" s="714"/>
      <c r="AB259" s="714"/>
      <c r="AC259" s="714"/>
      <c r="AD259" s="714"/>
      <c r="AE259" s="714"/>
      <c r="AF259" s="714"/>
      <c r="AG259" s="714"/>
      <c r="AH259" s="714"/>
      <c r="AI259" s="714"/>
      <c r="AJ259" s="714"/>
      <c r="AK259" s="714"/>
      <c r="AL259" s="714"/>
      <c r="AM259" s="714"/>
      <c r="AN259" s="714"/>
      <c r="AO259" s="714"/>
      <c r="AP259" s="715"/>
      <c r="AQ259" s="716"/>
      <c r="AR259" s="708"/>
      <c r="AS259" s="708"/>
    </row>
    <row r="260" spans="1:45" s="712" customFormat="1" ht="12.75" customHeight="1" x14ac:dyDescent="0.25">
      <c r="A260" s="711"/>
      <c r="B260" s="8"/>
      <c r="C260" s="8"/>
      <c r="D260" s="8"/>
      <c r="E260" s="8"/>
      <c r="F260" s="8"/>
      <c r="G260" s="8"/>
      <c r="H260" s="8"/>
      <c r="I260" s="8"/>
      <c r="J260" s="1156"/>
      <c r="K260" s="1156"/>
      <c r="L260" s="1156"/>
      <c r="M260" s="1156"/>
      <c r="N260" s="1577" t="s">
        <v>201</v>
      </c>
      <c r="O260" s="1578"/>
      <c r="P260" s="1579" t="s">
        <v>202</v>
      </c>
      <c r="Q260" s="1580"/>
      <c r="R260" s="8"/>
      <c r="S260" s="8"/>
      <c r="T260" s="8"/>
      <c r="U260" s="8"/>
      <c r="V260" s="714"/>
      <c r="W260" s="714"/>
      <c r="X260" s="714"/>
      <c r="Y260" s="714"/>
      <c r="Z260" s="714"/>
      <c r="AA260" s="714"/>
      <c r="AB260" s="714"/>
      <c r="AC260" s="714"/>
      <c r="AD260" s="714"/>
      <c r="AE260" s="714"/>
      <c r="AF260" s="714"/>
      <c r="AG260" s="714"/>
      <c r="AH260" s="714"/>
      <c r="AI260" s="714"/>
      <c r="AJ260" s="714"/>
      <c r="AK260" s="714"/>
      <c r="AL260" s="714"/>
      <c r="AM260" s="714"/>
      <c r="AN260" s="714"/>
      <c r="AO260" s="714"/>
      <c r="AP260" s="715"/>
      <c r="AQ260" s="716"/>
      <c r="AR260" s="708"/>
      <c r="AS260" s="708"/>
    </row>
    <row r="261" spans="1:45" s="712" customFormat="1" ht="12.75" customHeight="1" x14ac:dyDescent="0.25">
      <c r="A261" s="711"/>
      <c r="C261" s="11" t="s">
        <v>484</v>
      </c>
      <c r="E261" s="11"/>
      <c r="F261" s="11"/>
      <c r="G261" s="11"/>
      <c r="H261" s="11"/>
      <c r="I261" s="11"/>
      <c r="J261" s="1157" t="s">
        <v>435</v>
      </c>
      <c r="K261" s="1157"/>
      <c r="L261" s="1157"/>
      <c r="M261" s="1157"/>
      <c r="N261" s="1638">
        <v>0.10736971192602532</v>
      </c>
      <c r="O261" s="1639"/>
      <c r="P261" s="1640">
        <v>8.5087803204027479E-2</v>
      </c>
      <c r="Q261" s="1641"/>
      <c r="R261" s="8"/>
      <c r="S261" s="8"/>
      <c r="T261" s="8"/>
      <c r="U261" s="8"/>
      <c r="V261" s="714"/>
      <c r="W261" s="714"/>
      <c r="X261" s="714"/>
      <c r="Y261" s="714"/>
      <c r="Z261" s="714"/>
      <c r="AA261" s="714"/>
      <c r="AB261" s="714"/>
      <c r="AC261" s="714"/>
      <c r="AD261" s="714"/>
      <c r="AE261" s="714"/>
      <c r="AF261" s="714"/>
      <c r="AG261" s="714"/>
      <c r="AH261" s="714"/>
      <c r="AI261" s="714"/>
      <c r="AJ261" s="714"/>
      <c r="AK261" s="714"/>
      <c r="AL261" s="714"/>
      <c r="AM261" s="714"/>
      <c r="AN261" s="714"/>
      <c r="AO261" s="714"/>
      <c r="AP261" s="715"/>
      <c r="AQ261" s="716"/>
      <c r="AR261" s="708"/>
      <c r="AS261" s="708"/>
    </row>
    <row r="262" spans="1:45" s="712" customFormat="1" ht="12.75" customHeight="1" x14ac:dyDescent="0.25">
      <c r="A262" s="711"/>
      <c r="D262" s="8" t="s">
        <v>485</v>
      </c>
      <c r="F262" s="11"/>
      <c r="G262" s="11"/>
      <c r="H262" s="11"/>
      <c r="I262" s="11"/>
      <c r="J262" s="1156" t="s">
        <v>435</v>
      </c>
      <c r="K262" s="1156"/>
      <c r="L262" s="1156"/>
      <c r="M262" s="1157"/>
      <c r="N262" s="1536">
        <v>9.2667334686651212E-2</v>
      </c>
      <c r="O262" s="2008"/>
      <c r="P262" s="1541">
        <v>7.1789261987296057E-2</v>
      </c>
      <c r="Q262" s="2009"/>
      <c r="R262" s="8"/>
      <c r="S262" s="8"/>
      <c r="T262" s="8"/>
      <c r="U262" s="8"/>
      <c r="V262" s="714"/>
      <c r="W262" s="714"/>
      <c r="X262" s="714"/>
      <c r="Y262" s="714"/>
      <c r="Z262" s="714"/>
      <c r="AA262" s="714"/>
      <c r="AB262" s="714"/>
      <c r="AC262" s="714"/>
      <c r="AD262" s="714"/>
      <c r="AE262" s="714"/>
      <c r="AF262" s="714"/>
      <c r="AG262" s="714"/>
      <c r="AH262" s="714"/>
      <c r="AI262" s="714"/>
      <c r="AJ262" s="714"/>
      <c r="AK262" s="714"/>
      <c r="AL262" s="714"/>
      <c r="AM262" s="714"/>
      <c r="AN262" s="714"/>
      <c r="AO262" s="714"/>
      <c r="AP262" s="715"/>
      <c r="AQ262" s="716"/>
      <c r="AR262" s="708"/>
      <c r="AS262" s="708"/>
    </row>
    <row r="263" spans="1:45" s="712" customFormat="1" ht="12.75" customHeight="1" x14ac:dyDescent="0.25">
      <c r="A263" s="711"/>
      <c r="D263" s="8" t="s">
        <v>521</v>
      </c>
      <c r="F263" s="11"/>
      <c r="G263" s="11"/>
      <c r="H263" s="11"/>
      <c r="I263" s="11"/>
      <c r="J263" s="1156" t="s">
        <v>435</v>
      </c>
      <c r="K263" s="1196"/>
      <c r="L263" s="1196"/>
      <c r="M263" s="1197"/>
      <c r="N263" s="1536">
        <v>6.2299070743148839E-3</v>
      </c>
      <c r="O263" s="2008"/>
      <c r="P263" s="1541">
        <v>4.8260710516721782E-3</v>
      </c>
      <c r="Q263" s="2009"/>
      <c r="R263" s="8"/>
      <c r="S263" s="8"/>
      <c r="T263" s="8"/>
      <c r="U263" s="8"/>
      <c r="V263" s="714"/>
      <c r="W263" s="714"/>
      <c r="X263" s="714"/>
      <c r="Y263" s="714"/>
      <c r="Z263" s="714"/>
      <c r="AA263" s="714"/>
      <c r="AB263" s="714"/>
      <c r="AC263" s="714"/>
      <c r="AD263" s="714"/>
      <c r="AE263" s="714"/>
      <c r="AF263" s="714"/>
      <c r="AG263" s="714"/>
      <c r="AH263" s="714"/>
      <c r="AI263" s="714"/>
      <c r="AJ263" s="714"/>
      <c r="AK263" s="714"/>
      <c r="AL263" s="714"/>
      <c r="AM263" s="714"/>
      <c r="AN263" s="714"/>
      <c r="AO263" s="714"/>
      <c r="AP263" s="715"/>
      <c r="AQ263" s="716"/>
      <c r="AR263" s="708"/>
      <c r="AS263" s="708"/>
    </row>
    <row r="264" spans="1:45" s="712" customFormat="1" ht="12.75" customHeight="1" x14ac:dyDescent="0.25">
      <c r="A264" s="711"/>
      <c r="D264" s="8" t="s">
        <v>486</v>
      </c>
      <c r="E264" s="11"/>
      <c r="F264" s="11"/>
      <c r="G264" s="11"/>
      <c r="H264" s="11"/>
      <c r="I264" s="11"/>
      <c r="J264" s="1196" t="s">
        <v>435</v>
      </c>
      <c r="L264" s="1156"/>
      <c r="M264" s="1157"/>
      <c r="N264" s="2061">
        <v>8.4724701650592295E-3</v>
      </c>
      <c r="O264" s="2062"/>
      <c r="P264" s="2063">
        <v>8.4724701650592329E-3</v>
      </c>
      <c r="Q264" s="2064"/>
      <c r="R264" s="8"/>
      <c r="S264" s="8"/>
      <c r="T264" s="8"/>
      <c r="U264" s="8"/>
      <c r="V264" s="714"/>
      <c r="W264" s="714"/>
      <c r="X264" s="714"/>
      <c r="Y264" s="714"/>
      <c r="Z264" s="714"/>
      <c r="AA264" s="714"/>
      <c r="AB264" s="714"/>
      <c r="AC264" s="714"/>
      <c r="AD264" s="714"/>
      <c r="AE264" s="714"/>
      <c r="AF264" s="714"/>
      <c r="AG264" s="714"/>
      <c r="AH264" s="714"/>
      <c r="AI264" s="714"/>
      <c r="AJ264" s="714"/>
      <c r="AK264" s="714"/>
      <c r="AL264" s="714"/>
      <c r="AM264" s="714"/>
      <c r="AN264" s="714"/>
      <c r="AO264" s="714"/>
      <c r="AP264" s="715"/>
      <c r="AQ264" s="716"/>
      <c r="AR264" s="708"/>
      <c r="AS264" s="708"/>
    </row>
    <row r="265" spans="1:45" s="712" customFormat="1" ht="12.75" customHeight="1" x14ac:dyDescent="0.25">
      <c r="A265" s="711"/>
      <c r="B265" s="8"/>
      <c r="C265" s="8"/>
      <c r="D265" s="8"/>
      <c r="E265" s="8"/>
      <c r="F265" s="8"/>
      <c r="G265" s="8"/>
      <c r="H265" s="8"/>
      <c r="I265" s="11"/>
      <c r="J265" s="1157"/>
      <c r="K265" s="1157"/>
      <c r="L265" s="1157"/>
      <c r="M265" s="1157"/>
      <c r="N265" s="1157"/>
      <c r="O265" s="1157"/>
      <c r="P265" s="40"/>
      <c r="Q265" s="8"/>
      <c r="R265" s="8"/>
      <c r="S265" s="8"/>
      <c r="T265" s="8"/>
      <c r="U265" s="8"/>
      <c r="V265" s="714"/>
      <c r="W265" s="714"/>
      <c r="X265" s="714"/>
      <c r="Y265" s="714"/>
      <c r="Z265" s="714"/>
      <c r="AA265" s="714"/>
      <c r="AB265" s="714"/>
      <c r="AC265" s="714"/>
      <c r="AD265" s="714"/>
      <c r="AE265" s="714"/>
      <c r="AF265" s="714"/>
      <c r="AG265" s="714"/>
      <c r="AH265" s="714"/>
      <c r="AI265" s="714"/>
      <c r="AJ265" s="714"/>
      <c r="AK265" s="714"/>
      <c r="AL265" s="714"/>
      <c r="AM265" s="714"/>
      <c r="AN265" s="714"/>
      <c r="AO265" s="714"/>
      <c r="AP265" s="715"/>
      <c r="AQ265" s="716"/>
      <c r="AR265" s="708"/>
      <c r="AS265" s="708"/>
    </row>
    <row r="266" spans="1:45" s="712" customFormat="1" ht="12.75" customHeight="1" x14ac:dyDescent="0.25">
      <c r="A266" s="711"/>
      <c r="B266" s="8"/>
      <c r="C266" s="8"/>
      <c r="D266" s="8"/>
      <c r="E266" s="8"/>
      <c r="F266" s="8"/>
      <c r="G266" s="8"/>
      <c r="H266" s="8"/>
      <c r="I266" s="11"/>
      <c r="J266" s="1157"/>
      <c r="K266" s="1157"/>
      <c r="L266" s="1157"/>
      <c r="M266" s="1157"/>
      <c r="N266" s="1157"/>
      <c r="O266" s="1157"/>
      <c r="P266" s="40"/>
      <c r="Q266" s="8"/>
      <c r="R266" s="8"/>
      <c r="S266" s="8"/>
      <c r="T266" s="8"/>
      <c r="U266" s="8"/>
      <c r="V266" s="714"/>
      <c r="W266" s="714"/>
      <c r="X266" s="714"/>
      <c r="Y266" s="714"/>
      <c r="Z266" s="714"/>
      <c r="AA266" s="714"/>
      <c r="AB266" s="714"/>
      <c r="AC266" s="714"/>
      <c r="AD266" s="714"/>
      <c r="AE266" s="714"/>
      <c r="AF266" s="714"/>
      <c r="AG266" s="714"/>
      <c r="AH266" s="714"/>
      <c r="AI266" s="714"/>
      <c r="AJ266" s="714"/>
      <c r="AK266" s="714"/>
      <c r="AL266" s="714"/>
      <c r="AM266" s="714"/>
      <c r="AN266" s="714"/>
      <c r="AO266" s="714"/>
      <c r="AP266" s="715"/>
      <c r="AQ266" s="716"/>
      <c r="AR266" s="708"/>
      <c r="AS266" s="708"/>
    </row>
    <row r="267" spans="1:45" s="712" customFormat="1" ht="12.75" customHeight="1" x14ac:dyDescent="0.25">
      <c r="A267" s="711"/>
      <c r="B267" s="8"/>
      <c r="C267" s="8"/>
      <c r="D267" s="8"/>
      <c r="E267" s="8"/>
      <c r="F267" s="8"/>
      <c r="G267" s="8"/>
      <c r="H267" s="8"/>
      <c r="I267" s="8"/>
      <c r="J267" s="1157"/>
      <c r="K267" s="1157"/>
      <c r="L267" s="1157"/>
      <c r="M267" s="1157"/>
      <c r="N267" s="1574" t="s">
        <v>483</v>
      </c>
      <c r="O267" s="1575"/>
      <c r="P267" s="1575"/>
      <c r="Q267" s="1576"/>
      <c r="R267" s="8"/>
      <c r="S267" s="8"/>
      <c r="T267" s="8"/>
      <c r="U267" s="8"/>
      <c r="V267" s="714"/>
      <c r="W267" s="714"/>
      <c r="X267" s="714"/>
      <c r="Y267" s="714"/>
      <c r="Z267" s="714"/>
      <c r="AA267" s="714"/>
      <c r="AB267" s="714"/>
      <c r="AC267" s="714"/>
      <c r="AD267" s="714"/>
      <c r="AE267" s="714"/>
      <c r="AF267" s="714"/>
      <c r="AG267" s="714"/>
      <c r="AH267" s="714"/>
      <c r="AI267" s="714"/>
      <c r="AJ267" s="714"/>
      <c r="AK267" s="714"/>
      <c r="AL267" s="714"/>
      <c r="AM267" s="714"/>
      <c r="AN267" s="714"/>
      <c r="AO267" s="714"/>
      <c r="AP267" s="715"/>
      <c r="AQ267" s="716"/>
      <c r="AR267" s="708"/>
      <c r="AS267" s="708"/>
    </row>
    <row r="268" spans="1:45" s="712" customFormat="1" ht="12.75" customHeight="1" x14ac:dyDescent="0.25">
      <c r="A268" s="711"/>
      <c r="B268" s="8"/>
      <c r="C268" s="11"/>
      <c r="D268" s="11"/>
      <c r="E268" s="11"/>
      <c r="F268" s="11"/>
      <c r="G268" s="11"/>
      <c r="H268" s="11"/>
      <c r="I268" s="8"/>
      <c r="J268" s="1157"/>
      <c r="K268" s="1157"/>
      <c r="L268" s="1157"/>
      <c r="M268" s="1157"/>
      <c r="N268" s="1577" t="s">
        <v>201</v>
      </c>
      <c r="O268" s="1578"/>
      <c r="P268" s="1579" t="s">
        <v>202</v>
      </c>
      <c r="Q268" s="1580"/>
      <c r="R268" s="8"/>
      <c r="S268" s="8"/>
      <c r="T268" s="8"/>
      <c r="U268" s="8"/>
      <c r="V268" s="714"/>
      <c r="W268" s="714"/>
      <c r="X268" s="714"/>
      <c r="Y268" s="714"/>
      <c r="Z268" s="714"/>
      <c r="AA268" s="714"/>
      <c r="AB268" s="714"/>
      <c r="AC268" s="714"/>
      <c r="AD268" s="714"/>
      <c r="AE268" s="714"/>
      <c r="AF268" s="714"/>
      <c r="AG268" s="714"/>
      <c r="AH268" s="714"/>
      <c r="AI268" s="714"/>
      <c r="AJ268" s="714"/>
      <c r="AK268" s="714"/>
      <c r="AL268" s="714"/>
      <c r="AM268" s="714"/>
      <c r="AN268" s="714"/>
      <c r="AO268" s="714"/>
      <c r="AP268" s="715"/>
      <c r="AQ268" s="716"/>
      <c r="AR268" s="708"/>
      <c r="AS268" s="708"/>
    </row>
    <row r="269" spans="1:45" s="712" customFormat="1" ht="12.75" customHeight="1" x14ac:dyDescent="0.25">
      <c r="A269" s="711"/>
      <c r="B269" s="8"/>
      <c r="C269" s="11" t="s">
        <v>146</v>
      </c>
      <c r="D269" s="11"/>
      <c r="E269" s="11"/>
      <c r="F269" s="11"/>
      <c r="G269" s="11"/>
      <c r="H269" s="11"/>
      <c r="I269" s="8"/>
      <c r="J269" s="1157"/>
      <c r="K269" s="1157"/>
      <c r="L269" s="1157"/>
      <c r="M269" s="1157"/>
      <c r="N269" s="1587"/>
      <c r="O269" s="1588"/>
      <c r="P269" s="1583"/>
      <c r="Q269" s="1584"/>
      <c r="R269" s="8"/>
      <c r="S269" s="8"/>
      <c r="T269" s="8"/>
      <c r="U269" s="8"/>
      <c r="V269" s="714"/>
      <c r="W269" s="714"/>
      <c r="X269" s="714"/>
      <c r="Y269" s="714"/>
      <c r="Z269" s="714"/>
      <c r="AA269" s="714"/>
      <c r="AB269" s="714"/>
      <c r="AC269" s="714"/>
      <c r="AD269" s="714"/>
      <c r="AE269" s="714"/>
      <c r="AF269" s="714"/>
      <c r="AG269" s="714"/>
      <c r="AH269" s="714"/>
      <c r="AI269" s="714"/>
      <c r="AJ269" s="714"/>
      <c r="AK269" s="714"/>
      <c r="AL269" s="714"/>
      <c r="AM269" s="714"/>
      <c r="AN269" s="714"/>
      <c r="AO269" s="714"/>
      <c r="AP269" s="715"/>
      <c r="AQ269" s="716"/>
      <c r="AR269" s="708"/>
      <c r="AS269" s="708"/>
    </row>
    <row r="270" spans="1:45" s="712" customFormat="1" ht="12.75" customHeight="1" x14ac:dyDescent="0.25">
      <c r="A270" s="711"/>
      <c r="B270" s="8"/>
      <c r="C270" s="11"/>
      <c r="D270" s="11" t="s">
        <v>246</v>
      </c>
      <c r="E270" s="11"/>
      <c r="F270" s="11"/>
      <c r="G270" s="11"/>
      <c r="H270" s="11"/>
      <c r="I270" s="8"/>
      <c r="J270" s="1157"/>
      <c r="K270" s="1157"/>
      <c r="L270" s="1157"/>
      <c r="M270" s="1157"/>
      <c r="N270" s="1585">
        <v>1.2110451077230231</v>
      </c>
      <c r="O270" s="1586"/>
      <c r="P270" s="1581">
        <v>1.6633710106692301</v>
      </c>
      <c r="Q270" s="1582"/>
      <c r="R270" s="8"/>
      <c r="S270" s="8"/>
      <c r="T270" s="8"/>
      <c r="U270" s="8"/>
      <c r="V270" s="714"/>
      <c r="W270" s="714"/>
      <c r="X270" s="714"/>
      <c r="Y270" s="714"/>
      <c r="Z270" s="714"/>
      <c r="AA270" s="714"/>
      <c r="AB270" s="714"/>
      <c r="AC270" s="714"/>
      <c r="AD270" s="714"/>
      <c r="AE270" s="714"/>
      <c r="AF270" s="714"/>
      <c r="AG270" s="714"/>
      <c r="AH270" s="714"/>
      <c r="AI270" s="714"/>
      <c r="AJ270" s="714"/>
      <c r="AK270" s="714"/>
      <c r="AL270" s="714"/>
      <c r="AM270" s="714"/>
      <c r="AN270" s="714"/>
      <c r="AO270" s="714"/>
      <c r="AP270" s="715"/>
      <c r="AQ270" s="716"/>
      <c r="AR270" s="708"/>
      <c r="AS270" s="708"/>
    </row>
    <row r="271" spans="1:45" s="712" customFormat="1" ht="12.75" customHeight="1" x14ac:dyDescent="0.25">
      <c r="A271" s="711"/>
      <c r="B271" s="8"/>
      <c r="C271" s="8"/>
      <c r="D271" s="8" t="s">
        <v>490</v>
      </c>
      <c r="E271" s="8"/>
      <c r="F271" s="8"/>
      <c r="G271" s="8"/>
      <c r="H271" s="8"/>
      <c r="I271" s="8"/>
      <c r="J271" s="1156" t="s">
        <v>437</v>
      </c>
      <c r="K271" s="1156"/>
      <c r="L271" s="1156"/>
      <c r="M271" s="1156"/>
      <c r="N271" s="1547">
        <v>934558832.11678815</v>
      </c>
      <c r="O271" s="1548"/>
      <c r="P271" s="1572">
        <v>934558832.11678815</v>
      </c>
      <c r="Q271" s="1573"/>
      <c r="R271" s="8"/>
      <c r="S271" s="8"/>
      <c r="T271" s="8"/>
      <c r="U271" s="8"/>
      <c r="V271" s="714"/>
      <c r="W271" s="714"/>
      <c r="X271" s="714"/>
      <c r="Y271" s="714"/>
      <c r="Z271" s="714"/>
      <c r="AA271" s="714"/>
      <c r="AB271" s="714"/>
      <c r="AC271" s="714"/>
      <c r="AD271" s="714"/>
      <c r="AE271" s="714"/>
      <c r="AF271" s="714"/>
      <c r="AG271" s="714"/>
      <c r="AH271" s="714"/>
      <c r="AI271" s="714"/>
      <c r="AJ271" s="714"/>
      <c r="AK271" s="714"/>
      <c r="AL271" s="714"/>
      <c r="AM271" s="714"/>
      <c r="AN271" s="714"/>
      <c r="AO271" s="714"/>
      <c r="AP271" s="715"/>
      <c r="AQ271" s="716"/>
      <c r="AR271" s="708"/>
      <c r="AS271" s="708"/>
    </row>
    <row r="272" spans="1:45" s="712" customFormat="1" ht="12.75" customHeight="1" x14ac:dyDescent="0.25">
      <c r="A272" s="711"/>
      <c r="B272" s="8"/>
      <c r="C272" s="8"/>
      <c r="D272" s="1158" t="s">
        <v>563</v>
      </c>
      <c r="E272" s="8"/>
      <c r="F272" s="8"/>
      <c r="G272" s="8"/>
      <c r="H272" s="8"/>
      <c r="I272" s="8"/>
      <c r="J272" s="1156" t="s">
        <v>437</v>
      </c>
      <c r="K272" s="1156"/>
      <c r="L272" s="1156"/>
      <c r="M272" s="1156"/>
      <c r="N272" s="1547">
        <v>770920073.2421329</v>
      </c>
      <c r="O272" s="1548"/>
      <c r="P272" s="1572">
        <v>412023748.9343214</v>
      </c>
      <c r="Q272" s="1573"/>
      <c r="R272" s="8"/>
      <c r="S272" s="8"/>
      <c r="T272" s="8"/>
      <c r="U272" s="8"/>
      <c r="V272" s="714"/>
      <c r="W272" s="714"/>
      <c r="X272" s="714"/>
      <c r="Y272" s="714"/>
      <c r="Z272" s="714"/>
      <c r="AA272" s="714"/>
      <c r="AB272" s="714"/>
      <c r="AC272" s="714"/>
      <c r="AD272" s="714"/>
      <c r="AE272" s="714"/>
      <c r="AF272" s="714"/>
      <c r="AG272" s="714"/>
      <c r="AH272" s="714"/>
      <c r="AI272" s="714"/>
      <c r="AJ272" s="714"/>
      <c r="AK272" s="714"/>
      <c r="AL272" s="714"/>
      <c r="AM272" s="714"/>
      <c r="AN272" s="714"/>
      <c r="AO272" s="714"/>
      <c r="AP272" s="715"/>
      <c r="AQ272" s="716"/>
      <c r="AR272" s="708"/>
      <c r="AS272" s="708"/>
    </row>
    <row r="273" spans="1:45" s="712" customFormat="1" ht="12.75" customHeight="1" x14ac:dyDescent="0.25">
      <c r="A273" s="711"/>
      <c r="B273" s="8"/>
      <c r="C273" s="8"/>
      <c r="D273" s="8" t="s">
        <v>307</v>
      </c>
      <c r="E273" s="8"/>
      <c r="F273" s="8"/>
      <c r="G273" s="8"/>
      <c r="H273" s="8"/>
      <c r="I273" s="8"/>
      <c r="J273" s="1156" t="s">
        <v>437</v>
      </c>
      <c r="K273" s="1156"/>
      <c r="L273" s="1156"/>
      <c r="M273" s="1156"/>
      <c r="N273" s="1547">
        <v>0</v>
      </c>
      <c r="O273" s="1548"/>
      <c r="P273" s="1572">
        <v>145433761.52118167</v>
      </c>
      <c r="Q273" s="1573"/>
      <c r="R273" s="8"/>
      <c r="S273" s="8"/>
      <c r="T273" s="8"/>
      <c r="U273" s="8"/>
      <c r="V273" s="714"/>
      <c r="W273" s="714"/>
      <c r="X273" s="714"/>
      <c r="Y273" s="714"/>
      <c r="Z273" s="714"/>
      <c r="AA273" s="714"/>
      <c r="AB273" s="714"/>
      <c r="AC273" s="714"/>
      <c r="AD273" s="714"/>
      <c r="AE273" s="714"/>
      <c r="AF273" s="714"/>
      <c r="AG273" s="714"/>
      <c r="AH273" s="714"/>
      <c r="AI273" s="714"/>
      <c r="AJ273" s="714"/>
      <c r="AK273" s="714"/>
      <c r="AL273" s="714"/>
      <c r="AM273" s="714"/>
      <c r="AN273" s="714"/>
      <c r="AO273" s="714"/>
      <c r="AP273" s="715"/>
      <c r="AQ273" s="716"/>
      <c r="AR273" s="708"/>
      <c r="AS273" s="708"/>
    </row>
    <row r="274" spans="1:45" s="712" customFormat="1" ht="12.75" customHeight="1" x14ac:dyDescent="0.25">
      <c r="A274" s="711"/>
      <c r="B274" s="8"/>
      <c r="C274" s="8"/>
      <c r="D274" s="8" t="s">
        <v>306</v>
      </c>
      <c r="E274" s="8"/>
      <c r="F274" s="8"/>
      <c r="G274" s="8"/>
      <c r="H274" s="8"/>
      <c r="I274" s="8"/>
      <c r="J274" s="1156" t="s">
        <v>437</v>
      </c>
      <c r="K274" s="1156"/>
      <c r="L274" s="1156"/>
      <c r="M274" s="1156"/>
      <c r="N274" s="1547">
        <v>776064.38062053395</v>
      </c>
      <c r="O274" s="1548"/>
      <c r="P274" s="1572">
        <v>4388780.0727800559</v>
      </c>
      <c r="Q274" s="1573"/>
      <c r="R274" s="8"/>
      <c r="S274" s="8"/>
      <c r="T274" s="8"/>
      <c r="U274" s="8"/>
      <c r="V274" s="714"/>
      <c r="W274" s="714"/>
      <c r="X274" s="714"/>
      <c r="Y274" s="714"/>
      <c r="Z274" s="714"/>
      <c r="AA274" s="714"/>
      <c r="AB274" s="714"/>
      <c r="AC274" s="714"/>
      <c r="AD274" s="714"/>
      <c r="AE274" s="714"/>
      <c r="AF274" s="714"/>
      <c r="AG274" s="714"/>
      <c r="AH274" s="714"/>
      <c r="AI274" s="714"/>
      <c r="AJ274" s="714"/>
      <c r="AK274" s="714"/>
      <c r="AL274" s="714"/>
      <c r="AM274" s="714"/>
      <c r="AN274" s="714"/>
      <c r="AO274" s="714"/>
      <c r="AP274" s="715"/>
      <c r="AQ274" s="716"/>
      <c r="AR274" s="708"/>
      <c r="AS274" s="708"/>
    </row>
    <row r="275" spans="1:45" s="712" customFormat="1" ht="12.75" customHeight="1" x14ac:dyDescent="0.25">
      <c r="A275" s="711"/>
      <c r="B275" s="8"/>
      <c r="C275" s="8"/>
      <c r="D275" s="8"/>
      <c r="E275" s="8"/>
      <c r="F275" s="8"/>
      <c r="G275" s="8"/>
      <c r="H275" s="8"/>
      <c r="I275" s="8"/>
      <c r="J275" s="1156"/>
      <c r="K275" s="1156"/>
      <c r="L275" s="1156"/>
      <c r="M275" s="1156"/>
      <c r="N275" s="1438"/>
      <c r="O275" s="1437"/>
      <c r="P275" s="1439"/>
      <c r="Q275" s="1440"/>
      <c r="R275" s="8"/>
      <c r="S275" s="8"/>
      <c r="T275" s="8"/>
      <c r="U275" s="8"/>
      <c r="V275" s="714"/>
      <c r="W275" s="714"/>
      <c r="X275" s="714"/>
      <c r="Y275" s="714"/>
      <c r="Z275" s="714"/>
      <c r="AA275" s="714"/>
      <c r="AB275" s="714"/>
      <c r="AC275" s="714"/>
      <c r="AD275" s="714"/>
      <c r="AE275" s="714"/>
      <c r="AF275" s="714"/>
      <c r="AG275" s="714"/>
      <c r="AH275" s="714"/>
      <c r="AI275" s="714"/>
      <c r="AJ275" s="714"/>
      <c r="AK275" s="714"/>
      <c r="AL275" s="714"/>
      <c r="AM275" s="714"/>
      <c r="AN275" s="714"/>
      <c r="AO275" s="714"/>
      <c r="AP275" s="715"/>
      <c r="AQ275" s="716"/>
      <c r="AR275" s="708"/>
      <c r="AS275" s="708"/>
    </row>
    <row r="276" spans="1:45" s="712" customFormat="1" ht="12.75" customHeight="1" x14ac:dyDescent="0.25">
      <c r="A276" s="711"/>
      <c r="B276" s="8"/>
      <c r="C276" s="11" t="s">
        <v>147</v>
      </c>
      <c r="D276" s="8"/>
      <c r="E276" s="8"/>
      <c r="F276" s="8"/>
      <c r="G276" s="8"/>
      <c r="H276" s="8"/>
      <c r="I276" s="8"/>
      <c r="J276" s="1156"/>
      <c r="K276" s="1156"/>
      <c r="L276" s="1156"/>
      <c r="M276" s="1156"/>
      <c r="N276" s="1438"/>
      <c r="O276" s="1437"/>
      <c r="P276" s="1439"/>
      <c r="Q276" s="1440"/>
      <c r="R276" s="8"/>
      <c r="S276" s="8"/>
      <c r="T276" s="8"/>
      <c r="U276" s="8"/>
      <c r="V276" s="714"/>
      <c r="W276" s="714"/>
      <c r="X276" s="714"/>
      <c r="Y276" s="714"/>
      <c r="Z276" s="714"/>
      <c r="AA276" s="714"/>
      <c r="AB276" s="714"/>
      <c r="AC276" s="714"/>
      <c r="AD276" s="714"/>
      <c r="AE276" s="714"/>
      <c r="AF276" s="714"/>
      <c r="AG276" s="714"/>
      <c r="AH276" s="714"/>
      <c r="AI276" s="714"/>
      <c r="AJ276" s="714"/>
      <c r="AK276" s="714"/>
      <c r="AL276" s="714"/>
      <c r="AM276" s="714"/>
      <c r="AN276" s="714"/>
      <c r="AO276" s="714"/>
      <c r="AP276" s="715"/>
      <c r="AQ276" s="716"/>
      <c r="AR276" s="708"/>
      <c r="AS276" s="708"/>
    </row>
    <row r="277" spans="1:45" s="712" customFormat="1" ht="12.75" customHeight="1" x14ac:dyDescent="0.25">
      <c r="A277" s="711"/>
      <c r="B277" s="8"/>
      <c r="C277" s="8"/>
      <c r="D277" s="11" t="s">
        <v>246</v>
      </c>
      <c r="E277" s="11"/>
      <c r="F277" s="11"/>
      <c r="G277" s="11"/>
      <c r="H277" s="11"/>
      <c r="I277" s="8"/>
      <c r="J277" s="1157"/>
      <c r="K277" s="1157"/>
      <c r="L277" s="1157"/>
      <c r="M277" s="1157"/>
      <c r="N277" s="1598"/>
      <c r="O277" s="1590"/>
      <c r="P277" s="1581">
        <v>2.3954761445742023</v>
      </c>
      <c r="Q277" s="1582"/>
      <c r="R277" s="8"/>
      <c r="S277" s="8"/>
      <c r="T277" s="8"/>
      <c r="U277" s="8"/>
      <c r="V277" s="714"/>
      <c r="W277" s="714"/>
      <c r="X277" s="714"/>
      <c r="Y277" s="714"/>
      <c r="Z277" s="714"/>
      <c r="AA277" s="714"/>
      <c r="AB277" s="714"/>
      <c r="AC277" s="714"/>
      <c r="AD277" s="714"/>
      <c r="AE277" s="714"/>
      <c r="AF277" s="714"/>
      <c r="AG277" s="714"/>
      <c r="AH277" s="714"/>
      <c r="AI277" s="714"/>
      <c r="AJ277" s="714"/>
      <c r="AK277" s="714"/>
      <c r="AL277" s="714"/>
      <c r="AM277" s="714"/>
      <c r="AN277" s="714"/>
      <c r="AO277" s="714"/>
      <c r="AP277" s="715"/>
      <c r="AQ277" s="716"/>
      <c r="AR277" s="708"/>
      <c r="AS277" s="708"/>
    </row>
    <row r="278" spans="1:45" s="712" customFormat="1" ht="12.75" customHeight="1" x14ac:dyDescent="0.25">
      <c r="A278" s="711"/>
      <c r="B278" s="8"/>
      <c r="C278" s="8"/>
      <c r="D278" s="8" t="s">
        <v>307</v>
      </c>
      <c r="E278" s="8"/>
      <c r="F278" s="8"/>
      <c r="G278" s="8"/>
      <c r="H278" s="8"/>
      <c r="I278" s="8"/>
      <c r="J278" s="1156" t="s">
        <v>437</v>
      </c>
      <c r="K278" s="1156"/>
      <c r="L278" s="1156"/>
      <c r="M278" s="1156"/>
      <c r="N278" s="1547">
        <v>0</v>
      </c>
      <c r="O278" s="1548"/>
      <c r="P278" s="1572">
        <v>145433761.52118167</v>
      </c>
      <c r="Q278" s="1573"/>
      <c r="R278" s="8"/>
      <c r="S278" s="8"/>
      <c r="T278" s="8"/>
      <c r="U278" s="8"/>
      <c r="V278" s="714"/>
      <c r="W278" s="714"/>
      <c r="X278" s="714"/>
      <c r="Y278" s="714"/>
      <c r="Z278" s="714"/>
      <c r="AA278" s="714"/>
      <c r="AB278" s="714"/>
      <c r="AC278" s="714"/>
      <c r="AD278" s="714"/>
      <c r="AE278" s="714"/>
      <c r="AF278" s="714"/>
      <c r="AG278" s="714"/>
      <c r="AH278" s="714"/>
      <c r="AI278" s="714"/>
      <c r="AJ278" s="714"/>
      <c r="AK278" s="714"/>
      <c r="AL278" s="714"/>
      <c r="AM278" s="714"/>
      <c r="AN278" s="714"/>
      <c r="AO278" s="714"/>
      <c r="AP278" s="715"/>
      <c r="AQ278" s="716"/>
      <c r="AR278" s="708"/>
      <c r="AS278" s="708"/>
    </row>
    <row r="279" spans="1:45" s="712" customFormat="1" ht="12.75" customHeight="1" x14ac:dyDescent="0.25">
      <c r="A279" s="711"/>
      <c r="B279" s="8"/>
      <c r="C279" s="8"/>
      <c r="D279" s="8" t="s">
        <v>306</v>
      </c>
      <c r="E279" s="8"/>
      <c r="F279" s="8"/>
      <c r="G279" s="8"/>
      <c r="H279" s="8"/>
      <c r="I279" s="8"/>
      <c r="J279" s="1156" t="s">
        <v>437</v>
      </c>
      <c r="K279" s="1156"/>
      <c r="L279" s="1156"/>
      <c r="M279" s="1156"/>
      <c r="N279" s="1547">
        <v>776064.38062053395</v>
      </c>
      <c r="O279" s="1548"/>
      <c r="P279" s="1572">
        <v>4388780.0727800559</v>
      </c>
      <c r="Q279" s="1573"/>
      <c r="R279" s="8"/>
      <c r="S279" s="8"/>
      <c r="T279" s="8"/>
      <c r="U279" s="8"/>
      <c r="V279" s="714"/>
      <c r="W279" s="714"/>
      <c r="X279" s="714"/>
      <c r="Y279" s="714"/>
      <c r="Z279" s="714"/>
      <c r="AA279" s="714"/>
      <c r="AB279" s="714"/>
      <c r="AC279" s="714"/>
      <c r="AD279" s="714"/>
      <c r="AE279" s="714"/>
      <c r="AF279" s="714"/>
      <c r="AG279" s="714"/>
      <c r="AH279" s="714"/>
      <c r="AI279" s="714"/>
      <c r="AJ279" s="714"/>
      <c r="AK279" s="714"/>
      <c r="AL279" s="714"/>
      <c r="AM279" s="714"/>
      <c r="AN279" s="714"/>
      <c r="AO279" s="714"/>
      <c r="AP279" s="715"/>
      <c r="AQ279" s="716"/>
      <c r="AR279" s="708"/>
      <c r="AS279" s="708"/>
    </row>
    <row r="280" spans="1:45" s="712" customFormat="1" ht="12.75" customHeight="1" x14ac:dyDescent="0.25">
      <c r="A280" s="711"/>
      <c r="B280" s="8"/>
      <c r="C280" s="8"/>
      <c r="D280" s="1557" t="s">
        <v>564</v>
      </c>
      <c r="E280" s="1557"/>
      <c r="F280" s="1557"/>
      <c r="G280" s="1557"/>
      <c r="H280" s="1557"/>
      <c r="I280" s="1557"/>
      <c r="J280" s="1156" t="s">
        <v>437</v>
      </c>
      <c r="K280" s="1156"/>
      <c r="L280" s="1156"/>
      <c r="M280" s="1156"/>
      <c r="N280" s="1547">
        <v>770920073.2421329</v>
      </c>
      <c r="O280" s="1548"/>
      <c r="P280" s="1572">
        <v>412023748.9343214</v>
      </c>
      <c r="Q280" s="1573"/>
      <c r="R280" s="29"/>
      <c r="S280" s="8"/>
      <c r="T280" s="8"/>
      <c r="U280" s="8"/>
      <c r="V280" s="714"/>
      <c r="W280" s="714"/>
      <c r="X280" s="714"/>
      <c r="Y280" s="714"/>
      <c r="Z280" s="714"/>
      <c r="AA280" s="714"/>
      <c r="AB280" s="714"/>
      <c r="AC280" s="714"/>
      <c r="AD280" s="714"/>
      <c r="AE280" s="714"/>
      <c r="AF280" s="714"/>
      <c r="AG280" s="714"/>
      <c r="AH280" s="714"/>
      <c r="AI280" s="714"/>
      <c r="AJ280" s="714"/>
      <c r="AK280" s="714"/>
      <c r="AL280" s="714"/>
      <c r="AM280" s="714"/>
      <c r="AN280" s="714"/>
      <c r="AO280" s="714"/>
      <c r="AP280" s="715"/>
      <c r="AQ280" s="716"/>
      <c r="AR280" s="708"/>
      <c r="AS280" s="708"/>
    </row>
    <row r="281" spans="1:45" s="712" customFormat="1" ht="12.75" customHeight="1" x14ac:dyDescent="0.25">
      <c r="A281" s="711"/>
      <c r="B281" s="8"/>
      <c r="C281" s="8"/>
      <c r="D281" s="1557" t="s">
        <v>565</v>
      </c>
      <c r="E281" s="1557"/>
      <c r="F281" s="1557"/>
      <c r="G281" s="1557"/>
      <c r="H281" s="1557"/>
      <c r="I281" s="1557"/>
      <c r="J281" s="1156" t="s">
        <v>437</v>
      </c>
      <c r="K281" s="1156"/>
      <c r="L281" s="1156"/>
      <c r="M281" s="1156"/>
      <c r="N281" s="1598"/>
      <c r="O281" s="1590"/>
      <c r="P281" s="1572">
        <v>358896324.3078115</v>
      </c>
      <c r="Q281" s="1573"/>
      <c r="R281" s="8"/>
      <c r="S281" s="8"/>
      <c r="T281" s="8"/>
      <c r="U281" s="8"/>
      <c r="V281" s="714"/>
      <c r="W281" s="714"/>
      <c r="X281" s="714"/>
      <c r="Y281" s="714"/>
      <c r="Z281" s="714"/>
      <c r="AA281" s="714"/>
      <c r="AB281" s="714"/>
      <c r="AC281" s="714"/>
      <c r="AD281" s="714"/>
      <c r="AE281" s="714"/>
      <c r="AF281" s="714"/>
      <c r="AG281" s="714"/>
      <c r="AH281" s="714"/>
      <c r="AI281" s="714"/>
      <c r="AJ281" s="714"/>
      <c r="AK281" s="714"/>
      <c r="AL281" s="714"/>
      <c r="AM281" s="714"/>
      <c r="AN281" s="714"/>
      <c r="AO281" s="714"/>
      <c r="AP281" s="715"/>
      <c r="AQ281" s="716"/>
      <c r="AR281" s="708"/>
      <c r="AS281" s="708"/>
    </row>
    <row r="282" spans="1:45" s="712" customFormat="1" ht="12.75" customHeight="1" x14ac:dyDescent="0.25">
      <c r="A282" s="711"/>
      <c r="B282" s="8"/>
      <c r="C282" s="8"/>
      <c r="D282" s="8"/>
      <c r="E282" s="8"/>
      <c r="F282" s="8"/>
      <c r="G282" s="8"/>
      <c r="H282" s="8"/>
      <c r="I282" s="8"/>
      <c r="J282" s="1156"/>
      <c r="K282" s="1156"/>
      <c r="L282" s="1156"/>
      <c r="M282" s="1156"/>
      <c r="N282" s="1438"/>
      <c r="O282" s="1437"/>
      <c r="P282" s="1439"/>
      <c r="Q282" s="1440"/>
      <c r="R282" s="8"/>
      <c r="S282" s="8"/>
      <c r="T282" s="8"/>
      <c r="U282" s="8"/>
      <c r="V282" s="714"/>
      <c r="W282" s="714"/>
      <c r="X282" s="714"/>
      <c r="Y282" s="714"/>
      <c r="Z282" s="714"/>
      <c r="AA282" s="714"/>
      <c r="AB282" s="714"/>
      <c r="AC282" s="714"/>
      <c r="AD282" s="714"/>
      <c r="AE282" s="714"/>
      <c r="AF282" s="714"/>
      <c r="AG282" s="714"/>
      <c r="AH282" s="714"/>
      <c r="AI282" s="714"/>
      <c r="AJ282" s="714"/>
      <c r="AK282" s="714"/>
      <c r="AL282" s="714"/>
      <c r="AM282" s="714"/>
      <c r="AN282" s="714"/>
      <c r="AO282" s="714"/>
      <c r="AP282" s="715"/>
      <c r="AQ282" s="716"/>
      <c r="AR282" s="708"/>
      <c r="AS282" s="708"/>
    </row>
    <row r="283" spans="1:45" s="712" customFormat="1" ht="12.75" customHeight="1" x14ac:dyDescent="0.25">
      <c r="A283" s="711"/>
      <c r="B283" s="8"/>
      <c r="C283" s="11" t="s">
        <v>187</v>
      </c>
      <c r="D283" s="11"/>
      <c r="E283" s="11"/>
      <c r="F283" s="11"/>
      <c r="G283" s="11"/>
      <c r="H283" s="11"/>
      <c r="I283" s="8"/>
      <c r="J283" s="748"/>
      <c r="K283" s="748"/>
      <c r="L283" s="748"/>
      <c r="M283" s="748"/>
      <c r="N283" s="1611"/>
      <c r="O283" s="1612"/>
      <c r="P283" s="1603"/>
      <c r="Q283" s="1604"/>
      <c r="R283" s="8"/>
      <c r="S283" s="8"/>
      <c r="T283" s="8"/>
      <c r="U283" s="8"/>
      <c r="V283" s="714"/>
      <c r="W283" s="714"/>
      <c r="X283" s="714"/>
      <c r="Y283" s="714"/>
      <c r="Z283" s="714"/>
      <c r="AA283" s="714"/>
      <c r="AB283" s="714"/>
      <c r="AC283" s="714"/>
      <c r="AD283" s="714"/>
      <c r="AE283" s="714"/>
      <c r="AF283" s="714"/>
      <c r="AG283" s="714"/>
      <c r="AH283" s="714"/>
      <c r="AI283" s="714"/>
      <c r="AJ283" s="714"/>
      <c r="AK283" s="714"/>
      <c r="AL283" s="714"/>
      <c r="AM283" s="714"/>
      <c r="AN283" s="714"/>
      <c r="AO283" s="714"/>
      <c r="AP283" s="715"/>
      <c r="AQ283" s="716"/>
      <c r="AR283" s="708"/>
      <c r="AS283" s="708"/>
    </row>
    <row r="284" spans="1:45" s="712" customFormat="1" ht="12.75" customHeight="1" x14ac:dyDescent="0.25">
      <c r="A284" s="711"/>
      <c r="B284" s="8"/>
      <c r="C284" s="8"/>
      <c r="D284" s="8" t="s">
        <v>491</v>
      </c>
      <c r="E284" s="8"/>
      <c r="F284" s="8"/>
      <c r="G284" s="8"/>
      <c r="H284" s="8"/>
      <c r="I284" s="8"/>
      <c r="J284" s="1156" t="s">
        <v>435</v>
      </c>
      <c r="K284" s="1156"/>
      <c r="L284" s="1156"/>
      <c r="M284" s="1156"/>
      <c r="N284" s="1609">
        <v>0.10736971192602532</v>
      </c>
      <c r="O284" s="1610"/>
      <c r="P284" s="1605">
        <v>8.5087803204027465E-2</v>
      </c>
      <c r="Q284" s="1606"/>
      <c r="R284" s="8"/>
      <c r="S284" s="8"/>
      <c r="T284" s="8"/>
      <c r="U284" s="8"/>
      <c r="V284" s="714"/>
      <c r="W284" s="714"/>
      <c r="X284" s="714"/>
      <c r="Y284" s="714"/>
      <c r="Z284" s="714"/>
      <c r="AA284" s="714"/>
      <c r="AB284" s="714"/>
      <c r="AC284" s="714"/>
      <c r="AD284" s="714"/>
      <c r="AE284" s="714"/>
      <c r="AF284" s="714"/>
      <c r="AG284" s="714"/>
      <c r="AH284" s="714"/>
      <c r="AI284" s="714"/>
      <c r="AJ284" s="714"/>
      <c r="AK284" s="714"/>
      <c r="AL284" s="714"/>
      <c r="AM284" s="714"/>
      <c r="AN284" s="714"/>
      <c r="AO284" s="714"/>
      <c r="AP284" s="715"/>
      <c r="AQ284" s="716"/>
      <c r="AR284" s="708"/>
      <c r="AS284" s="708"/>
    </row>
    <row r="285" spans="1:45" s="712" customFormat="1" ht="12.75" customHeight="1" x14ac:dyDescent="0.25">
      <c r="A285" s="711"/>
      <c r="B285" s="8"/>
      <c r="C285" s="8"/>
      <c r="D285" s="8" t="s">
        <v>492</v>
      </c>
      <c r="E285" s="8"/>
      <c r="F285" s="8"/>
      <c r="G285" s="8"/>
      <c r="H285" s="8"/>
      <c r="I285" s="8"/>
      <c r="J285" s="1156" t="s">
        <v>16</v>
      </c>
      <c r="K285" s="1156"/>
      <c r="L285" s="1156"/>
      <c r="M285" s="1156"/>
      <c r="N285" s="1443"/>
      <c r="O285" s="1437"/>
      <c r="P285" s="1599">
        <v>-0.20752508619329679</v>
      </c>
      <c r="Q285" s="1600"/>
      <c r="R285" s="8"/>
      <c r="S285" s="8"/>
      <c r="T285" s="8"/>
      <c r="U285" s="8"/>
      <c r="V285" s="714"/>
      <c r="W285" s="714"/>
      <c r="X285" s="714"/>
      <c r="Y285" s="714"/>
      <c r="Z285" s="714"/>
      <c r="AA285" s="714"/>
      <c r="AB285" s="714"/>
      <c r="AC285" s="714"/>
      <c r="AD285" s="714"/>
      <c r="AE285" s="714"/>
      <c r="AF285" s="714"/>
      <c r="AG285" s="714"/>
      <c r="AH285" s="714"/>
      <c r="AI285" s="714"/>
      <c r="AJ285" s="714"/>
      <c r="AK285" s="714"/>
      <c r="AL285" s="714"/>
      <c r="AM285" s="714"/>
      <c r="AN285" s="714"/>
      <c r="AO285" s="714"/>
      <c r="AP285" s="715"/>
      <c r="AQ285" s="716"/>
      <c r="AR285" s="708"/>
      <c r="AS285" s="708"/>
    </row>
    <row r="286" spans="1:45" s="712" customFormat="1" ht="12.75" customHeight="1" x14ac:dyDescent="0.25">
      <c r="A286" s="711"/>
      <c r="B286" s="8"/>
      <c r="C286" s="8"/>
      <c r="D286" s="8" t="s">
        <v>277</v>
      </c>
      <c r="E286" s="8"/>
      <c r="F286" s="8"/>
      <c r="G286" s="8"/>
      <c r="H286" s="8"/>
      <c r="I286" s="8"/>
      <c r="J286" s="1156" t="s">
        <v>435</v>
      </c>
      <c r="K286" s="1156"/>
      <c r="L286" s="1156"/>
      <c r="M286" s="1156"/>
      <c r="N286" s="1609">
        <v>5.9507503425933327E-2</v>
      </c>
      <c r="O286" s="1610"/>
      <c r="P286" s="1607">
        <v>5.9507503425933327E-2</v>
      </c>
      <c r="Q286" s="1608"/>
      <c r="R286" s="8"/>
      <c r="S286" s="8"/>
      <c r="T286" s="8"/>
      <c r="U286" s="8"/>
      <c r="V286" s="714"/>
      <c r="W286" s="714"/>
      <c r="X286" s="714"/>
      <c r="Y286" s="714"/>
      <c r="Z286" s="714"/>
      <c r="AA286" s="714"/>
      <c r="AB286" s="714"/>
      <c r="AC286" s="714"/>
      <c r="AD286" s="714"/>
      <c r="AE286" s="714"/>
      <c r="AF286" s="714"/>
      <c r="AG286" s="714"/>
      <c r="AH286" s="714"/>
      <c r="AI286" s="714"/>
      <c r="AJ286" s="714"/>
      <c r="AK286" s="714"/>
      <c r="AL286" s="714"/>
      <c r="AM286" s="714"/>
      <c r="AN286" s="714"/>
      <c r="AO286" s="714"/>
      <c r="AP286" s="715"/>
      <c r="AQ286" s="716"/>
      <c r="AR286" s="708"/>
      <c r="AS286" s="708"/>
    </row>
    <row r="287" spans="1:45" s="712" customFormat="1" ht="12.75" customHeight="1" x14ac:dyDescent="0.25">
      <c r="A287" s="711"/>
      <c r="B287" s="8"/>
      <c r="C287" s="8"/>
      <c r="D287" s="8" t="s">
        <v>308</v>
      </c>
      <c r="E287" s="8"/>
      <c r="F287" s="8"/>
      <c r="G287" s="8"/>
      <c r="H287" s="8"/>
      <c r="I287" s="8"/>
      <c r="J287" s="1156" t="s">
        <v>435</v>
      </c>
      <c r="K287" s="1156"/>
      <c r="L287" s="1156"/>
      <c r="M287" s="1156"/>
      <c r="N287" s="1609">
        <v>4.7862208500091992E-2</v>
      </c>
      <c r="O287" s="1610"/>
      <c r="P287" s="1607">
        <v>2.5580299778094139E-2</v>
      </c>
      <c r="Q287" s="1608"/>
      <c r="R287" s="8"/>
      <c r="S287" s="8"/>
      <c r="T287" s="8"/>
      <c r="U287" s="8"/>
      <c r="V287" s="714"/>
      <c r="W287" s="714"/>
      <c r="X287" s="714"/>
      <c r="Y287" s="714"/>
      <c r="Z287" s="714"/>
      <c r="AA287" s="714"/>
      <c r="AB287" s="714"/>
      <c r="AC287" s="714"/>
      <c r="AD287" s="714"/>
      <c r="AE287" s="714"/>
      <c r="AF287" s="714"/>
      <c r="AG287" s="714"/>
      <c r="AH287" s="714"/>
      <c r="AI287" s="714"/>
      <c r="AJ287" s="714"/>
      <c r="AK287" s="714"/>
      <c r="AL287" s="714"/>
      <c r="AM287" s="714"/>
      <c r="AN287" s="714"/>
      <c r="AO287" s="714"/>
      <c r="AP287" s="715"/>
      <c r="AQ287" s="716"/>
      <c r="AR287" s="708"/>
      <c r="AS287" s="708"/>
    </row>
    <row r="288" spans="1:45" s="712" customFormat="1" ht="12.75" customHeight="1" x14ac:dyDescent="0.25">
      <c r="A288" s="711"/>
      <c r="B288" s="8"/>
      <c r="C288" s="8"/>
      <c r="D288" s="8"/>
      <c r="E288" s="8"/>
      <c r="F288" s="8"/>
      <c r="G288" s="8"/>
      <c r="H288" s="8"/>
      <c r="I288" s="8"/>
      <c r="J288" s="1156"/>
      <c r="K288" s="1156"/>
      <c r="L288" s="1156"/>
      <c r="M288" s="1156"/>
      <c r="N288" s="1443"/>
      <c r="O288" s="1445"/>
      <c r="P288" s="1441"/>
      <c r="Q288" s="1442"/>
      <c r="R288" s="8"/>
      <c r="S288" s="8"/>
      <c r="T288" s="8"/>
      <c r="U288" s="8"/>
      <c r="V288" s="714"/>
      <c r="W288" s="714"/>
      <c r="X288" s="714"/>
      <c r="Y288" s="714"/>
      <c r="Z288" s="714"/>
      <c r="AA288" s="714"/>
      <c r="AB288" s="714"/>
      <c r="AC288" s="714"/>
      <c r="AD288" s="714"/>
      <c r="AE288" s="714"/>
      <c r="AF288" s="714"/>
      <c r="AG288" s="714"/>
      <c r="AH288" s="714"/>
      <c r="AI288" s="714"/>
      <c r="AJ288" s="714"/>
      <c r="AK288" s="714"/>
      <c r="AL288" s="714"/>
      <c r="AM288" s="714"/>
      <c r="AN288" s="714"/>
      <c r="AO288" s="714"/>
      <c r="AP288" s="715"/>
      <c r="AQ288" s="716"/>
      <c r="AR288" s="708"/>
      <c r="AS288" s="708"/>
    </row>
    <row r="289" spans="1:45" s="712" customFormat="1" ht="12.75" customHeight="1" x14ac:dyDescent="0.25">
      <c r="A289" s="711"/>
      <c r="B289" s="8"/>
      <c r="C289" s="11" t="s">
        <v>148</v>
      </c>
      <c r="D289" s="11"/>
      <c r="E289" s="11"/>
      <c r="F289" s="11"/>
      <c r="G289" s="11"/>
      <c r="H289" s="11"/>
      <c r="I289" s="8"/>
      <c r="J289" s="748"/>
      <c r="K289" s="748"/>
      <c r="L289" s="748"/>
      <c r="M289" s="748"/>
      <c r="N289" s="1611"/>
      <c r="O289" s="1612"/>
      <c r="P289" s="1603"/>
      <c r="Q289" s="1604"/>
      <c r="R289" s="8"/>
      <c r="S289" s="8"/>
      <c r="T289" s="8"/>
      <c r="U289" s="8"/>
      <c r="V289" s="714"/>
      <c r="W289" s="714"/>
      <c r="X289" s="714"/>
      <c r="Y289" s="714"/>
      <c r="Z289" s="714"/>
      <c r="AA289" s="714"/>
      <c r="AB289" s="714"/>
      <c r="AC289" s="714"/>
      <c r="AD289" s="714"/>
      <c r="AE289" s="714"/>
      <c r="AF289" s="714"/>
      <c r="AG289" s="714"/>
      <c r="AH289" s="714"/>
      <c r="AI289" s="714"/>
      <c r="AJ289" s="714"/>
      <c r="AK289" s="714"/>
      <c r="AL289" s="714"/>
      <c r="AM289" s="714"/>
      <c r="AN289" s="714"/>
      <c r="AO289" s="714"/>
      <c r="AP289" s="715"/>
      <c r="AQ289" s="716"/>
      <c r="AR289" s="708"/>
      <c r="AS289" s="708"/>
    </row>
    <row r="290" spans="1:45" s="708" customFormat="1" ht="12.75" customHeight="1" x14ac:dyDescent="0.25">
      <c r="A290" s="8"/>
      <c r="B290" s="1504"/>
      <c r="C290" s="1504"/>
      <c r="D290" s="1504"/>
      <c r="E290" s="1506" t="s">
        <v>689</v>
      </c>
      <c r="F290" s="1504"/>
      <c r="G290" s="1504"/>
      <c r="H290" s="1504"/>
      <c r="I290" s="1504"/>
      <c r="J290" s="1507" t="s">
        <v>438</v>
      </c>
      <c r="K290" s="1507"/>
      <c r="L290" s="1507"/>
      <c r="M290" s="1507"/>
      <c r="N290" s="1989">
        <v>61.269616165468733</v>
      </c>
      <c r="O290" s="1990"/>
      <c r="P290" s="1991">
        <v>32.745984732368555</v>
      </c>
      <c r="Q290" s="1992"/>
      <c r="R290" s="8"/>
      <c r="S290" s="8"/>
      <c r="T290" s="8"/>
      <c r="U290" s="8"/>
      <c r="V290" s="714"/>
      <c r="W290" s="714"/>
      <c r="X290" s="714"/>
      <c r="Y290" s="714"/>
      <c r="Z290" s="714"/>
      <c r="AA290" s="714"/>
      <c r="AB290" s="714"/>
      <c r="AC290" s="714"/>
      <c r="AD290" s="714"/>
      <c r="AE290" s="714"/>
      <c r="AF290" s="714"/>
      <c r="AG290" s="714"/>
      <c r="AH290" s="714"/>
      <c r="AI290" s="714"/>
      <c r="AJ290" s="714"/>
      <c r="AK290" s="714"/>
      <c r="AL290" s="714"/>
      <c r="AM290" s="714"/>
      <c r="AN290" s="714"/>
      <c r="AO290" s="714"/>
      <c r="AP290" s="714"/>
      <c r="AQ290" s="716"/>
    </row>
    <row r="291" spans="1:45" s="708" customFormat="1" ht="12.75" customHeight="1" x14ac:dyDescent="0.25">
      <c r="A291" s="8"/>
      <c r="B291" s="1504"/>
      <c r="C291" s="1504"/>
      <c r="D291" s="1504"/>
      <c r="E291" s="1506" t="s">
        <v>690</v>
      </c>
      <c r="F291" s="1504"/>
      <c r="G291" s="1504"/>
      <c r="H291" s="1504"/>
      <c r="I291" s="1504"/>
      <c r="J291" s="1507" t="s">
        <v>438</v>
      </c>
      <c r="K291" s="1507"/>
      <c r="L291" s="1507"/>
      <c r="M291" s="1507"/>
      <c r="N291" s="1989">
        <v>0</v>
      </c>
      <c r="O291" s="1990"/>
      <c r="P291" s="1991">
        <v>11.558488428546116</v>
      </c>
      <c r="Q291" s="1992"/>
      <c r="R291" s="8"/>
      <c r="S291" s="8"/>
      <c r="T291" s="8"/>
      <c r="U291" s="8"/>
      <c r="V291" s="714"/>
      <c r="W291" s="714"/>
      <c r="X291" s="714"/>
      <c r="Y291" s="714"/>
      <c r="Z291" s="714"/>
      <c r="AA291" s="714"/>
      <c r="AB291" s="714"/>
      <c r="AC291" s="714"/>
      <c r="AD291" s="714"/>
      <c r="AE291" s="714"/>
      <c r="AF291" s="714"/>
      <c r="AG291" s="714"/>
      <c r="AH291" s="714"/>
      <c r="AI291" s="714"/>
      <c r="AJ291" s="714"/>
      <c r="AK291" s="714"/>
      <c r="AL291" s="714"/>
      <c r="AM291" s="714"/>
      <c r="AN291" s="714"/>
      <c r="AO291" s="714"/>
      <c r="AP291" s="714"/>
      <c r="AQ291" s="716"/>
    </row>
    <row r="292" spans="1:45" s="708" customFormat="1" ht="12.75" customHeight="1" x14ac:dyDescent="0.25">
      <c r="A292" s="8"/>
      <c r="B292" s="1504"/>
      <c r="C292" s="1504"/>
      <c r="D292" s="1504"/>
      <c r="E292" s="1506" t="s">
        <v>691</v>
      </c>
      <c r="F292" s="1504"/>
      <c r="G292" s="1504"/>
      <c r="H292" s="1504"/>
      <c r="I292" s="1504"/>
      <c r="J292" s="1507" t="s">
        <v>438</v>
      </c>
      <c r="K292" s="1507"/>
      <c r="L292" s="1507"/>
      <c r="M292" s="1507"/>
      <c r="N292" s="1989">
        <v>6.1678464954664586E-2</v>
      </c>
      <c r="O292" s="1990"/>
      <c r="P292" s="1991">
        <v>0.34880252807924406</v>
      </c>
      <c r="Q292" s="1992"/>
      <c r="R292" s="8"/>
      <c r="S292" s="8"/>
      <c r="T292" s="8"/>
      <c r="U292" s="8"/>
      <c r="V292" s="714"/>
      <c r="W292" s="714"/>
      <c r="X292" s="714"/>
      <c r="Y292" s="714"/>
      <c r="Z292" s="714"/>
      <c r="AA292" s="714"/>
      <c r="AB292" s="714"/>
      <c r="AC292" s="714"/>
      <c r="AD292" s="714"/>
      <c r="AE292" s="714"/>
      <c r="AF292" s="714"/>
      <c r="AG292" s="714"/>
      <c r="AH292" s="714"/>
      <c r="AI292" s="714"/>
      <c r="AJ292" s="714"/>
      <c r="AK292" s="714"/>
      <c r="AL292" s="714"/>
      <c r="AM292" s="714"/>
      <c r="AN292" s="714"/>
      <c r="AO292" s="714"/>
      <c r="AP292" s="714"/>
      <c r="AQ292" s="716"/>
    </row>
    <row r="293" spans="1:45" s="712" customFormat="1" ht="12.75" customHeight="1" x14ac:dyDescent="0.25">
      <c r="A293" s="711"/>
      <c r="B293" s="1504"/>
      <c r="C293" s="1504"/>
      <c r="D293" s="1505" t="s">
        <v>692</v>
      </c>
      <c r="E293" s="1505"/>
      <c r="F293" s="1505"/>
      <c r="G293" s="1505"/>
      <c r="H293" s="1505"/>
      <c r="I293" s="1505"/>
      <c r="J293" s="1508" t="s">
        <v>438</v>
      </c>
      <c r="K293" s="1508"/>
      <c r="L293" s="1508"/>
      <c r="M293" s="1508"/>
      <c r="N293" s="2010">
        <v>61.3312946304234</v>
      </c>
      <c r="O293" s="2011"/>
      <c r="P293" s="2012">
        <v>44.653275688993915</v>
      </c>
      <c r="Q293" s="2013"/>
      <c r="R293" s="8"/>
      <c r="S293" s="8"/>
      <c r="T293" s="8"/>
      <c r="U293" s="8"/>
      <c r="V293" s="714"/>
      <c r="W293" s="714"/>
      <c r="X293" s="714"/>
      <c r="Y293" s="714"/>
      <c r="Z293" s="714"/>
      <c r="AA293" s="714"/>
      <c r="AB293" s="714"/>
      <c r="AC293" s="714"/>
      <c r="AD293" s="714"/>
      <c r="AE293" s="714"/>
      <c r="AF293" s="714"/>
      <c r="AG293" s="714"/>
      <c r="AH293" s="714"/>
      <c r="AI293" s="714"/>
      <c r="AJ293" s="714"/>
      <c r="AK293" s="714"/>
      <c r="AL293" s="714"/>
      <c r="AM293" s="714"/>
      <c r="AN293" s="714"/>
      <c r="AO293" s="714"/>
      <c r="AP293" s="715"/>
      <c r="AQ293" s="716"/>
      <c r="AR293" s="708"/>
      <c r="AS293" s="708"/>
    </row>
    <row r="294" spans="1:45" s="712" customFormat="1" ht="12.75" customHeight="1" x14ac:dyDescent="0.25">
      <c r="A294" s="711"/>
      <c r="B294" s="1504"/>
      <c r="C294" s="1504"/>
      <c r="D294" s="1504" t="s">
        <v>309</v>
      </c>
      <c r="E294" s="1504"/>
      <c r="F294" s="1504"/>
      <c r="G294" s="1504"/>
      <c r="H294" s="1504"/>
      <c r="I294" s="1504"/>
      <c r="J294" s="1507" t="s">
        <v>16</v>
      </c>
      <c r="K294" s="1507"/>
      <c r="L294" s="1507"/>
      <c r="M294" s="1507"/>
      <c r="N294" s="1510"/>
      <c r="O294" s="1511"/>
      <c r="P294" s="2002">
        <v>-0.27193326085695169</v>
      </c>
      <c r="Q294" s="2003"/>
      <c r="R294" s="8"/>
      <c r="S294" s="8"/>
      <c r="T294" s="8"/>
      <c r="U294" s="8"/>
      <c r="V294" s="714"/>
      <c r="W294" s="714"/>
      <c r="X294" s="714"/>
      <c r="Y294" s="714"/>
      <c r="Z294" s="714"/>
      <c r="AA294" s="714"/>
      <c r="AB294" s="714"/>
      <c r="AC294" s="714"/>
      <c r="AD294" s="714"/>
      <c r="AE294" s="714"/>
      <c r="AF294" s="714"/>
      <c r="AG294" s="714"/>
      <c r="AH294" s="714"/>
      <c r="AI294" s="714"/>
      <c r="AJ294" s="714"/>
      <c r="AK294" s="714"/>
      <c r="AL294" s="714"/>
      <c r="AM294" s="714"/>
      <c r="AN294" s="714"/>
      <c r="AO294" s="714"/>
      <c r="AP294" s="715"/>
      <c r="AQ294" s="716"/>
      <c r="AR294" s="708"/>
      <c r="AS294" s="708"/>
    </row>
    <row r="295" spans="1:45" s="712" customFormat="1" ht="12.75" customHeight="1" x14ac:dyDescent="0.25">
      <c r="A295" s="711"/>
      <c r="B295" s="8"/>
      <c r="C295" s="8"/>
      <c r="D295" s="1557" t="s">
        <v>566</v>
      </c>
      <c r="E295" s="1557"/>
      <c r="F295" s="1557"/>
      <c r="G295" s="1557"/>
      <c r="H295" s="1557"/>
      <c r="I295" s="1557"/>
      <c r="J295" s="1156" t="s">
        <v>368</v>
      </c>
      <c r="K295" s="1156"/>
      <c r="L295" s="1156"/>
      <c r="M295" s="1156"/>
      <c r="N295" s="1613">
        <v>12.58242048</v>
      </c>
      <c r="O295" s="1614"/>
      <c r="P295" s="1596">
        <v>12.58242048</v>
      </c>
      <c r="Q295" s="1597"/>
      <c r="R295" s="8"/>
      <c r="S295" s="8"/>
      <c r="T295" s="8"/>
      <c r="U295" s="8"/>
      <c r="V295" s="714"/>
      <c r="W295" s="714"/>
      <c r="X295" s="714"/>
      <c r="Y295" s="714"/>
      <c r="Z295" s="714"/>
      <c r="AA295" s="714"/>
      <c r="AB295" s="714"/>
      <c r="AC295" s="714"/>
      <c r="AD295" s="714"/>
      <c r="AE295" s="714"/>
      <c r="AF295" s="714"/>
      <c r="AG295" s="714"/>
      <c r="AH295" s="714"/>
      <c r="AI295" s="714"/>
      <c r="AJ295" s="714"/>
      <c r="AK295" s="714"/>
      <c r="AL295" s="714"/>
      <c r="AM295" s="714"/>
      <c r="AN295" s="714"/>
      <c r="AO295" s="714"/>
      <c r="AP295" s="715"/>
      <c r="AQ295" s="716"/>
      <c r="AR295" s="708"/>
      <c r="AS295" s="708"/>
    </row>
    <row r="296" spans="1:45" s="712" customFormat="1" ht="12.75" customHeight="1" x14ac:dyDescent="0.25">
      <c r="A296" s="711"/>
      <c r="B296" s="708"/>
      <c r="C296" s="708"/>
      <c r="F296" s="713"/>
      <c r="G296" s="713"/>
      <c r="H296" s="713"/>
      <c r="I296" s="713"/>
      <c r="J296" s="714"/>
      <c r="K296" s="714"/>
      <c r="L296" s="714"/>
      <c r="M296" s="714"/>
      <c r="N296" s="714"/>
      <c r="O296" s="714"/>
      <c r="P296" s="714"/>
      <c r="Q296" s="714"/>
      <c r="R296" s="714"/>
      <c r="S296" s="714"/>
      <c r="T296" s="714"/>
      <c r="U296" s="714"/>
      <c r="V296" s="714"/>
      <c r="W296" s="714"/>
      <c r="X296" s="714"/>
      <c r="Y296" s="714"/>
      <c r="Z296" s="714"/>
      <c r="AA296" s="714"/>
      <c r="AB296" s="714"/>
      <c r="AC296" s="714"/>
      <c r="AD296" s="714"/>
      <c r="AE296" s="714"/>
      <c r="AF296" s="714"/>
      <c r="AG296" s="714"/>
      <c r="AH296" s="714"/>
      <c r="AI296" s="714"/>
      <c r="AJ296" s="714"/>
      <c r="AK296" s="714"/>
      <c r="AL296" s="714"/>
      <c r="AM296" s="714"/>
      <c r="AN296" s="714"/>
      <c r="AO296" s="714"/>
      <c r="AP296" s="715"/>
      <c r="AQ296" s="716"/>
      <c r="AR296" s="708"/>
      <c r="AS296" s="708"/>
    </row>
    <row r="297" spans="1:45" s="712" customFormat="1" ht="12.75" customHeight="1" x14ac:dyDescent="0.25">
      <c r="A297" s="711"/>
      <c r="B297" s="52" t="s">
        <v>616</v>
      </c>
      <c r="C297" s="21"/>
      <c r="D297" s="21"/>
      <c r="E297" s="21"/>
      <c r="F297" s="21"/>
      <c r="G297" s="21"/>
      <c r="H297" s="21"/>
      <c r="I297" s="21"/>
      <c r="J297" s="22"/>
      <c r="K297" s="22"/>
      <c r="L297" s="22"/>
      <c r="M297" s="22"/>
      <c r="N297" s="22"/>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715"/>
      <c r="AQ297" s="716"/>
      <c r="AR297" s="708"/>
      <c r="AS297" s="708"/>
    </row>
    <row r="298" spans="1:45" s="712" customFormat="1" ht="12.75" customHeight="1" x14ac:dyDescent="0.25">
      <c r="A298" s="711"/>
      <c r="B298" s="708"/>
      <c r="C298" s="708"/>
      <c r="F298" s="713"/>
      <c r="G298" s="713"/>
      <c r="H298" s="713"/>
      <c r="I298" s="713"/>
      <c r="J298" s="714"/>
      <c r="K298" s="714"/>
      <c r="L298" s="714"/>
      <c r="M298" s="714"/>
      <c r="N298" s="714"/>
      <c r="O298" s="714"/>
      <c r="P298" s="714"/>
      <c r="Q298" s="714"/>
      <c r="R298" s="714"/>
      <c r="S298" s="714"/>
      <c r="T298" s="714"/>
      <c r="U298" s="714"/>
      <c r="V298" s="714"/>
      <c r="W298" s="714"/>
      <c r="X298" s="714"/>
      <c r="Y298" s="714"/>
      <c r="Z298" s="714"/>
      <c r="AA298" s="714"/>
      <c r="AB298" s="714"/>
      <c r="AC298" s="714"/>
      <c r="AD298" s="714"/>
      <c r="AE298" s="714"/>
      <c r="AF298" s="714"/>
      <c r="AG298" s="714"/>
      <c r="AH298" s="714"/>
      <c r="AI298" s="714"/>
      <c r="AJ298" s="714"/>
      <c r="AK298" s="714"/>
      <c r="AL298" s="714"/>
      <c r="AM298" s="714"/>
      <c r="AN298" s="714"/>
      <c r="AO298" s="714"/>
      <c r="AP298" s="715"/>
      <c r="AQ298" s="716"/>
      <c r="AR298" s="708"/>
      <c r="AS298" s="708"/>
    </row>
    <row r="299" spans="1:45" s="712" customFormat="1" ht="12.75" customHeight="1" x14ac:dyDescent="0.25">
      <c r="A299" s="711"/>
      <c r="B299" s="708"/>
      <c r="C299" s="1993" t="s">
        <v>619</v>
      </c>
      <c r="D299" s="1994"/>
      <c r="E299" s="1994"/>
      <c r="F299" s="1994"/>
      <c r="G299" s="1994"/>
      <c r="H299" s="1994"/>
      <c r="I299" s="1994"/>
      <c r="J299" s="1994"/>
      <c r="K299" s="1994"/>
      <c r="L299" s="1994"/>
      <c r="M299" s="1994"/>
      <c r="N299" s="1994"/>
      <c r="O299" s="1994"/>
      <c r="P299" s="1994"/>
      <c r="Q299" s="1995"/>
      <c r="R299" s="714"/>
      <c r="S299" s="714"/>
      <c r="T299" s="714"/>
      <c r="U299" s="714"/>
      <c r="V299" s="714"/>
      <c r="W299" s="714"/>
      <c r="X299" s="714"/>
      <c r="Y299" s="714"/>
      <c r="Z299" s="714"/>
      <c r="AA299" s="714"/>
      <c r="AB299" s="714"/>
      <c r="AC299" s="714"/>
      <c r="AD299" s="714"/>
      <c r="AE299" s="714"/>
      <c r="AF299" s="714"/>
      <c r="AG299" s="714"/>
      <c r="AH299" s="714"/>
      <c r="AI299" s="714"/>
      <c r="AJ299" s="714"/>
      <c r="AK299" s="714"/>
      <c r="AL299" s="714"/>
      <c r="AM299" s="714"/>
      <c r="AN299" s="714"/>
      <c r="AO299" s="714"/>
      <c r="AP299" s="715"/>
      <c r="AQ299" s="716"/>
      <c r="AR299" s="708"/>
      <c r="AS299" s="708"/>
    </row>
    <row r="300" spans="1:45" s="712" customFormat="1" ht="12.75" customHeight="1" x14ac:dyDescent="0.25">
      <c r="A300" s="711"/>
      <c r="B300" s="708"/>
      <c r="C300" s="1996"/>
      <c r="D300" s="1997"/>
      <c r="E300" s="1997"/>
      <c r="F300" s="1997"/>
      <c r="G300" s="1997"/>
      <c r="H300" s="1997"/>
      <c r="I300" s="1997"/>
      <c r="J300" s="1997"/>
      <c r="K300" s="1997"/>
      <c r="L300" s="1997"/>
      <c r="M300" s="1997"/>
      <c r="N300" s="1997"/>
      <c r="O300" s="1997"/>
      <c r="P300" s="1997"/>
      <c r="Q300" s="1998"/>
      <c r="R300" s="714"/>
      <c r="S300" s="714"/>
      <c r="T300" s="714"/>
      <c r="U300" s="714"/>
      <c r="V300" s="714"/>
      <c r="W300" s="714"/>
      <c r="X300" s="714"/>
      <c r="Y300" s="714"/>
      <c r="Z300" s="714"/>
      <c r="AA300" s="714"/>
      <c r="AB300" s="714"/>
      <c r="AC300" s="714"/>
      <c r="AD300" s="714"/>
      <c r="AE300" s="714"/>
      <c r="AF300" s="714"/>
      <c r="AG300" s="714"/>
      <c r="AH300" s="714"/>
      <c r="AI300" s="714"/>
      <c r="AJ300" s="714"/>
      <c r="AK300" s="714"/>
      <c r="AL300" s="714"/>
      <c r="AM300" s="714"/>
      <c r="AN300" s="714"/>
      <c r="AO300" s="714"/>
      <c r="AP300" s="715"/>
      <c r="AQ300" s="716"/>
      <c r="AR300" s="708"/>
      <c r="AS300" s="708"/>
    </row>
    <row r="301" spans="1:45" s="712" customFormat="1" ht="12.75" customHeight="1" x14ac:dyDescent="0.25">
      <c r="A301" s="711"/>
      <c r="B301" s="708"/>
      <c r="C301" s="1996"/>
      <c r="D301" s="1997"/>
      <c r="E301" s="1997"/>
      <c r="F301" s="1997"/>
      <c r="G301" s="1997"/>
      <c r="H301" s="1997"/>
      <c r="I301" s="1997"/>
      <c r="J301" s="1997"/>
      <c r="K301" s="1997"/>
      <c r="L301" s="1997"/>
      <c r="M301" s="1997"/>
      <c r="N301" s="1997"/>
      <c r="O301" s="1997"/>
      <c r="P301" s="1997"/>
      <c r="Q301" s="1998"/>
      <c r="R301" s="714"/>
      <c r="S301" s="714"/>
      <c r="T301" s="714"/>
      <c r="U301" s="714"/>
      <c r="V301" s="714"/>
      <c r="W301" s="714"/>
      <c r="X301" s="714"/>
      <c r="Y301" s="714"/>
      <c r="Z301" s="714"/>
      <c r="AA301" s="714"/>
      <c r="AB301" s="714"/>
      <c r="AC301" s="714"/>
      <c r="AD301" s="714"/>
      <c r="AE301" s="714"/>
      <c r="AF301" s="714"/>
      <c r="AG301" s="714"/>
      <c r="AH301" s="714"/>
      <c r="AI301" s="714"/>
      <c r="AJ301" s="714"/>
      <c r="AK301" s="714"/>
      <c r="AL301" s="714"/>
      <c r="AM301" s="714"/>
      <c r="AN301" s="714"/>
      <c r="AO301" s="714"/>
      <c r="AP301" s="715"/>
      <c r="AQ301" s="716"/>
      <c r="AR301" s="708"/>
      <c r="AS301" s="708"/>
    </row>
    <row r="302" spans="1:45" s="712" customFormat="1" ht="12.75" customHeight="1" x14ac:dyDescent="0.25">
      <c r="A302" s="711"/>
      <c r="B302" s="708"/>
      <c r="C302" s="1996"/>
      <c r="D302" s="1997"/>
      <c r="E302" s="1997"/>
      <c r="F302" s="1997"/>
      <c r="G302" s="1997"/>
      <c r="H302" s="1997"/>
      <c r="I302" s="1997"/>
      <c r="J302" s="1997"/>
      <c r="K302" s="1997"/>
      <c r="L302" s="1997"/>
      <c r="M302" s="1997"/>
      <c r="N302" s="1997"/>
      <c r="O302" s="1997"/>
      <c r="P302" s="1997"/>
      <c r="Q302" s="1998"/>
      <c r="R302" s="714"/>
      <c r="S302" s="714"/>
      <c r="T302" s="714"/>
      <c r="U302" s="714"/>
      <c r="V302" s="714"/>
      <c r="W302" s="714"/>
      <c r="X302" s="714"/>
      <c r="Y302" s="714"/>
      <c r="Z302" s="714"/>
      <c r="AA302" s="714"/>
      <c r="AB302" s="714"/>
      <c r="AC302" s="714"/>
      <c r="AD302" s="714"/>
      <c r="AE302" s="714"/>
      <c r="AF302" s="714"/>
      <c r="AG302" s="714"/>
      <c r="AH302" s="714"/>
      <c r="AI302" s="714"/>
      <c r="AJ302" s="714"/>
      <c r="AK302" s="714"/>
      <c r="AL302" s="714"/>
      <c r="AM302" s="714"/>
      <c r="AN302" s="714"/>
      <c r="AO302" s="714"/>
      <c r="AP302" s="715"/>
      <c r="AQ302" s="716"/>
      <c r="AR302" s="708"/>
      <c r="AS302" s="708"/>
    </row>
    <row r="303" spans="1:45" s="712" customFormat="1" ht="12.75" customHeight="1" x14ac:dyDescent="0.25">
      <c r="A303" s="711"/>
      <c r="B303" s="708"/>
      <c r="C303" s="1996"/>
      <c r="D303" s="1997"/>
      <c r="E303" s="1997"/>
      <c r="F303" s="1997"/>
      <c r="G303" s="1997"/>
      <c r="H303" s="1997"/>
      <c r="I303" s="1997"/>
      <c r="J303" s="1997"/>
      <c r="K303" s="1997"/>
      <c r="L303" s="1997"/>
      <c r="M303" s="1997"/>
      <c r="N303" s="1997"/>
      <c r="O303" s="1997"/>
      <c r="P303" s="1997"/>
      <c r="Q303" s="1998"/>
      <c r="R303" s="714"/>
      <c r="S303" s="714"/>
      <c r="T303" s="714"/>
      <c r="U303" s="714"/>
      <c r="V303" s="714"/>
      <c r="W303" s="714"/>
      <c r="X303" s="714"/>
      <c r="Y303" s="714"/>
      <c r="Z303" s="714"/>
      <c r="AA303" s="714"/>
      <c r="AB303" s="714"/>
      <c r="AC303" s="714"/>
      <c r="AD303" s="714"/>
      <c r="AE303" s="714"/>
      <c r="AF303" s="714"/>
      <c r="AG303" s="714"/>
      <c r="AH303" s="714"/>
      <c r="AI303" s="714"/>
      <c r="AJ303" s="714"/>
      <c r="AK303" s="714"/>
      <c r="AL303" s="714"/>
      <c r="AM303" s="714"/>
      <c r="AN303" s="714"/>
      <c r="AO303" s="714"/>
      <c r="AP303" s="715"/>
      <c r="AQ303" s="716"/>
      <c r="AR303" s="708"/>
      <c r="AS303" s="708"/>
    </row>
    <row r="304" spans="1:45" s="712" customFormat="1" ht="12.75" customHeight="1" x14ac:dyDescent="0.25">
      <c r="A304" s="711"/>
      <c r="B304" s="708"/>
      <c r="C304" s="1996"/>
      <c r="D304" s="1997"/>
      <c r="E304" s="1997"/>
      <c r="F304" s="1997"/>
      <c r="G304" s="1997"/>
      <c r="H304" s="1997"/>
      <c r="I304" s="1997"/>
      <c r="J304" s="1997"/>
      <c r="K304" s="1997"/>
      <c r="L304" s="1997"/>
      <c r="M304" s="1997"/>
      <c r="N304" s="1997"/>
      <c r="O304" s="1997"/>
      <c r="P304" s="1997"/>
      <c r="Q304" s="1998"/>
      <c r="R304" s="714"/>
      <c r="S304" s="714"/>
      <c r="T304" s="714"/>
      <c r="U304" s="714"/>
      <c r="V304" s="714"/>
      <c r="W304" s="714"/>
      <c r="X304" s="714"/>
      <c r="Y304" s="714"/>
      <c r="Z304" s="714"/>
      <c r="AA304" s="714"/>
      <c r="AB304" s="714"/>
      <c r="AC304" s="714"/>
      <c r="AD304" s="714"/>
      <c r="AE304" s="714"/>
      <c r="AF304" s="714"/>
      <c r="AG304" s="714"/>
      <c r="AH304" s="714"/>
      <c r="AI304" s="714"/>
      <c r="AJ304" s="714"/>
      <c r="AK304" s="714"/>
      <c r="AL304" s="714"/>
      <c r="AM304" s="714"/>
      <c r="AN304" s="714"/>
      <c r="AO304" s="714"/>
      <c r="AP304" s="715"/>
      <c r="AQ304" s="716"/>
      <c r="AR304" s="708"/>
      <c r="AS304" s="708"/>
    </row>
    <row r="305" spans="1:45" s="712" customFormat="1" ht="12.75" customHeight="1" x14ac:dyDescent="0.25">
      <c r="A305" s="711"/>
      <c r="B305" s="708"/>
      <c r="C305" s="1999"/>
      <c r="D305" s="2000"/>
      <c r="E305" s="2000"/>
      <c r="F305" s="2000"/>
      <c r="G305" s="2000"/>
      <c r="H305" s="2000"/>
      <c r="I305" s="2000"/>
      <c r="J305" s="2000"/>
      <c r="K305" s="2000"/>
      <c r="L305" s="2000"/>
      <c r="M305" s="2000"/>
      <c r="N305" s="2000"/>
      <c r="O305" s="2000"/>
      <c r="P305" s="2000"/>
      <c r="Q305" s="2001"/>
      <c r="R305" s="714"/>
      <c r="S305" s="714"/>
      <c r="T305" s="714"/>
      <c r="U305" s="714"/>
      <c r="V305" s="714"/>
      <c r="W305" s="714"/>
      <c r="X305" s="714"/>
      <c r="Y305" s="714"/>
      <c r="Z305" s="714"/>
      <c r="AA305" s="714"/>
      <c r="AB305" s="714"/>
      <c r="AC305" s="714"/>
      <c r="AD305" s="714"/>
      <c r="AE305" s="714"/>
      <c r="AF305" s="714"/>
      <c r="AG305" s="714"/>
      <c r="AH305" s="714"/>
      <c r="AI305" s="714"/>
      <c r="AJ305" s="714"/>
      <c r="AK305" s="714"/>
      <c r="AL305" s="714"/>
      <c r="AM305" s="714"/>
      <c r="AN305" s="714"/>
      <c r="AO305" s="714"/>
      <c r="AP305" s="715"/>
      <c r="AQ305" s="716"/>
      <c r="AR305" s="708"/>
      <c r="AS305" s="708"/>
    </row>
    <row r="306" spans="1:45" s="712" customFormat="1" ht="12.75" customHeight="1" x14ac:dyDescent="0.25">
      <c r="A306" s="711"/>
      <c r="B306" s="708"/>
      <c r="C306" s="708"/>
      <c r="F306" s="713"/>
      <c r="G306" s="713"/>
      <c r="H306" s="713"/>
      <c r="I306" s="713"/>
      <c r="J306" s="714"/>
      <c r="K306" s="714"/>
      <c r="L306" s="714"/>
      <c r="M306" s="714"/>
      <c r="N306" s="714"/>
      <c r="O306" s="714"/>
      <c r="P306" s="714"/>
      <c r="Q306" s="714"/>
      <c r="R306" s="714"/>
      <c r="S306" s="714"/>
      <c r="T306" s="714"/>
      <c r="U306" s="714"/>
      <c r="V306" s="714"/>
      <c r="W306" s="714"/>
      <c r="X306" s="714"/>
      <c r="Y306" s="714"/>
      <c r="Z306" s="714"/>
      <c r="AA306" s="714"/>
      <c r="AB306" s="714"/>
      <c r="AC306" s="714"/>
      <c r="AD306" s="714"/>
      <c r="AE306" s="714"/>
      <c r="AF306" s="714"/>
      <c r="AG306" s="714"/>
      <c r="AH306" s="714"/>
      <c r="AI306" s="714"/>
      <c r="AJ306" s="714"/>
      <c r="AK306" s="714"/>
      <c r="AL306" s="714"/>
      <c r="AM306" s="714"/>
      <c r="AN306" s="714"/>
      <c r="AO306" s="714"/>
      <c r="AP306" s="715"/>
      <c r="AQ306" s="716"/>
      <c r="AR306" s="708"/>
      <c r="AS306" s="708"/>
    </row>
    <row r="307" spans="1:45" s="712" customFormat="1" ht="12.75" customHeight="1" x14ac:dyDescent="0.25">
      <c r="A307" s="44" t="s">
        <v>638</v>
      </c>
      <c r="B307" s="44"/>
      <c r="C307" s="44"/>
      <c r="D307" s="44"/>
      <c r="E307" s="44"/>
      <c r="F307" s="44"/>
      <c r="G307" s="44"/>
      <c r="H307" s="44"/>
      <c r="I307" s="44"/>
      <c r="J307" s="45"/>
      <c r="K307" s="45"/>
      <c r="L307" s="45"/>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715"/>
      <c r="AQ307" s="716"/>
      <c r="AR307" s="708"/>
      <c r="AS307" s="708"/>
    </row>
    <row r="308" spans="1:45" s="712" customFormat="1" ht="12.75" customHeight="1" x14ac:dyDescent="0.25">
      <c r="A308" s="711"/>
      <c r="B308" s="708"/>
      <c r="C308" s="708"/>
      <c r="F308" s="713"/>
      <c r="G308" s="713"/>
      <c r="H308" s="713"/>
      <c r="I308" s="713"/>
      <c r="J308" s="714"/>
      <c r="K308" s="714"/>
      <c r="L308" s="714"/>
      <c r="M308" s="714"/>
      <c r="N308" s="714"/>
      <c r="O308" s="714"/>
      <c r="P308" s="714"/>
      <c r="Q308" s="714"/>
      <c r="R308" s="714"/>
      <c r="S308" s="714"/>
      <c r="T308" s="714"/>
      <c r="U308" s="714"/>
      <c r="V308" s="714"/>
      <c r="W308" s="714"/>
      <c r="X308" s="714"/>
      <c r="Y308" s="714"/>
      <c r="Z308" s="714"/>
      <c r="AA308" s="714"/>
      <c r="AB308" s="714"/>
      <c r="AC308" s="714"/>
      <c r="AD308" s="714"/>
      <c r="AE308" s="714"/>
      <c r="AF308" s="714"/>
      <c r="AG308" s="714"/>
      <c r="AH308" s="714"/>
      <c r="AI308" s="714"/>
      <c r="AJ308" s="714"/>
      <c r="AK308" s="714"/>
      <c r="AL308" s="714"/>
      <c r="AM308" s="714"/>
      <c r="AN308" s="714"/>
      <c r="AO308" s="714"/>
      <c r="AP308" s="715"/>
      <c r="AQ308" s="716"/>
      <c r="AR308" s="708"/>
      <c r="AS308" s="708"/>
    </row>
    <row r="309" spans="1:45" s="712" customFormat="1" ht="12.75" customHeight="1" x14ac:dyDescent="0.25">
      <c r="A309" s="711"/>
      <c r="B309" s="55" t="s">
        <v>550</v>
      </c>
      <c r="C309" s="55"/>
      <c r="D309" s="81"/>
      <c r="E309" s="81"/>
      <c r="F309" s="81"/>
      <c r="G309" s="81"/>
      <c r="H309" s="81"/>
      <c r="I309" s="81"/>
      <c r="J309" s="81"/>
      <c r="K309" s="81"/>
      <c r="L309" s="81"/>
      <c r="M309" s="81"/>
      <c r="N309" s="81"/>
      <c r="O309" s="55"/>
      <c r="P309" s="55"/>
      <c r="Q309" s="55"/>
      <c r="R309" s="797"/>
      <c r="S309" s="797"/>
      <c r="T309" s="797"/>
      <c r="U309" s="797"/>
      <c r="V309" s="797"/>
      <c r="W309" s="797"/>
      <c r="X309" s="797"/>
      <c r="Y309" s="797"/>
      <c r="Z309" s="797"/>
      <c r="AA309" s="797"/>
      <c r="AB309" s="797"/>
      <c r="AC309" s="797"/>
      <c r="AD309" s="797"/>
      <c r="AE309" s="797"/>
      <c r="AF309" s="797"/>
      <c r="AG309" s="797"/>
      <c r="AH309" s="797"/>
      <c r="AI309" s="797"/>
      <c r="AJ309" s="797"/>
      <c r="AK309" s="797"/>
      <c r="AL309" s="797"/>
      <c r="AM309" s="797"/>
      <c r="AN309" s="797"/>
      <c r="AO309" s="797"/>
      <c r="AP309" s="715"/>
      <c r="AQ309" s="716"/>
      <c r="AR309" s="708"/>
      <c r="AS309" s="708"/>
    </row>
    <row r="310" spans="1:45" s="712" customFormat="1" ht="12.75" customHeight="1" x14ac:dyDescent="0.25">
      <c r="A310" s="711"/>
      <c r="B310" s="708"/>
      <c r="C310" s="708"/>
      <c r="F310" s="713"/>
      <c r="G310" s="713"/>
      <c r="H310" s="713"/>
      <c r="I310" s="713"/>
      <c r="J310" s="714"/>
      <c r="K310" s="714"/>
      <c r="L310" s="714"/>
      <c r="M310" s="714"/>
      <c r="N310" s="714"/>
      <c r="O310" s="714"/>
      <c r="P310" s="714"/>
      <c r="Q310" s="714"/>
      <c r="R310" s="714"/>
      <c r="S310" s="714"/>
      <c r="T310" s="714"/>
      <c r="U310" s="714"/>
      <c r="V310" s="714"/>
      <c r="W310" s="714"/>
      <c r="X310" s="714"/>
      <c r="Y310" s="714"/>
      <c r="Z310" s="714"/>
      <c r="AA310" s="714"/>
      <c r="AB310" s="714"/>
      <c r="AC310" s="714"/>
      <c r="AD310" s="714"/>
      <c r="AE310" s="714"/>
      <c r="AF310" s="714"/>
      <c r="AG310" s="714"/>
      <c r="AH310" s="714"/>
      <c r="AI310" s="714"/>
      <c r="AJ310" s="714"/>
      <c r="AK310" s="714"/>
      <c r="AL310" s="714"/>
      <c r="AM310" s="714"/>
      <c r="AN310" s="714"/>
      <c r="AO310" s="714"/>
      <c r="AP310" s="715"/>
      <c r="AQ310" s="716"/>
      <c r="AR310" s="708"/>
      <c r="AS310" s="708"/>
    </row>
    <row r="311" spans="1:45" s="712" customFormat="1" ht="12.75" customHeight="1" x14ac:dyDescent="0.3">
      <c r="A311" s="711"/>
      <c r="B311" s="708"/>
      <c r="C311" s="708" t="s">
        <v>605</v>
      </c>
      <c r="F311" s="713"/>
      <c r="G311" s="713"/>
      <c r="I311" s="713"/>
      <c r="J311" s="714"/>
      <c r="K311" s="714"/>
      <c r="L311" s="714"/>
      <c r="M311" s="714"/>
      <c r="N311" s="714"/>
      <c r="O311" s="2022" t="s">
        <v>608</v>
      </c>
      <c r="P311" s="2026"/>
      <c r="Q311" s="714"/>
      <c r="R311" s="714"/>
      <c r="S311" s="714"/>
      <c r="T311" s="714"/>
      <c r="U311" s="714"/>
      <c r="V311" s="714"/>
      <c r="W311" s="714"/>
      <c r="X311" s="714"/>
      <c r="Y311" s="714"/>
      <c r="Z311" s="714"/>
      <c r="AA311" s="714"/>
      <c r="AB311" s="714"/>
      <c r="AC311" s="714"/>
      <c r="AD311" s="714"/>
      <c r="AE311" s="714"/>
      <c r="AF311" s="714"/>
      <c r="AG311" s="714"/>
      <c r="AH311" s="714"/>
      <c r="AI311" s="714"/>
      <c r="AJ311" s="714"/>
      <c r="AK311" s="714"/>
      <c r="AL311" s="714"/>
      <c r="AM311" s="714"/>
      <c r="AN311" s="714"/>
      <c r="AO311" s="714"/>
      <c r="AP311" s="715"/>
      <c r="AQ311" s="716"/>
      <c r="AR311" s="708"/>
      <c r="AS311" s="708"/>
    </row>
    <row r="312" spans="1:45" s="712" customFormat="1" ht="12.75" customHeight="1" x14ac:dyDescent="0.25">
      <c r="A312" s="711"/>
      <c r="B312" s="708"/>
      <c r="C312" s="708"/>
      <c r="D312" s="708" t="s">
        <v>549</v>
      </c>
      <c r="F312" s="713"/>
      <c r="G312" s="713"/>
      <c r="I312" s="713"/>
      <c r="J312" s="68"/>
      <c r="K312" s="68"/>
      <c r="L312" s="68"/>
      <c r="M312" s="714"/>
      <c r="N312" s="714"/>
      <c r="O312" s="2004" t="s">
        <v>604</v>
      </c>
      <c r="P312" s="2005" t="s">
        <v>539</v>
      </c>
      <c r="Q312" s="714"/>
      <c r="R312" s="714"/>
      <c r="S312" s="714"/>
      <c r="T312" s="714"/>
      <c r="U312" s="714"/>
      <c r="V312" s="714"/>
      <c r="W312" s="714"/>
      <c r="X312" s="714"/>
      <c r="Y312" s="714"/>
      <c r="Z312" s="714"/>
      <c r="AA312" s="714"/>
      <c r="AB312" s="714"/>
      <c r="AC312" s="714"/>
      <c r="AD312" s="714"/>
      <c r="AE312" s="714"/>
      <c r="AF312" s="714"/>
      <c r="AG312" s="714"/>
      <c r="AH312" s="714"/>
      <c r="AI312" s="714"/>
      <c r="AJ312" s="714"/>
      <c r="AK312" s="714"/>
      <c r="AL312" s="714"/>
      <c r="AM312" s="714"/>
      <c r="AN312" s="714"/>
      <c r="AO312" s="714"/>
      <c r="AP312" s="715"/>
      <c r="AQ312" s="716"/>
      <c r="AR312" s="708"/>
      <c r="AS312" s="708"/>
    </row>
    <row r="313" spans="1:45" s="712" customFormat="1" ht="12.75" customHeight="1" x14ac:dyDescent="0.25">
      <c r="A313" s="711"/>
      <c r="B313" s="708"/>
      <c r="C313" s="708"/>
      <c r="D313" s="708" t="s">
        <v>573</v>
      </c>
      <c r="F313" s="713"/>
      <c r="G313" s="713"/>
      <c r="H313" s="713"/>
      <c r="I313" s="713"/>
      <c r="J313" s="714"/>
      <c r="K313" s="714"/>
      <c r="L313" s="714"/>
      <c r="M313" s="714"/>
      <c r="N313" s="714"/>
      <c r="O313" s="2006" t="s">
        <v>535</v>
      </c>
      <c r="P313" s="2007" t="s">
        <v>540</v>
      </c>
      <c r="Q313" s="714"/>
      <c r="R313" s="714"/>
      <c r="S313" s="714"/>
      <c r="T313" s="714"/>
      <c r="U313" s="714"/>
      <c r="V313" s="714"/>
      <c r="W313" s="714"/>
      <c r="X313" s="714"/>
      <c r="Y313" s="714"/>
      <c r="Z313" s="714"/>
      <c r="AA313" s="714"/>
      <c r="AB313" s="714"/>
      <c r="AC313" s="714"/>
      <c r="AD313" s="714"/>
      <c r="AE313" s="714"/>
      <c r="AF313" s="714"/>
      <c r="AG313" s="714"/>
      <c r="AH313" s="714"/>
      <c r="AI313" s="714"/>
      <c r="AJ313" s="714"/>
      <c r="AK313" s="714"/>
      <c r="AL313" s="714"/>
      <c r="AM313" s="714"/>
      <c r="AN313" s="714"/>
      <c r="AO313" s="714"/>
      <c r="AP313" s="715"/>
      <c r="AQ313" s="716"/>
      <c r="AR313" s="708"/>
      <c r="AS313" s="708"/>
    </row>
    <row r="314" spans="1:45" s="712" customFormat="1" ht="12.75" customHeight="1" x14ac:dyDescent="0.25">
      <c r="A314" s="711"/>
      <c r="B314" s="708"/>
      <c r="C314" s="708"/>
      <c r="F314" s="713"/>
      <c r="G314" s="713"/>
      <c r="H314" s="713"/>
      <c r="I314" s="713"/>
      <c r="J314" s="714"/>
      <c r="K314" s="714"/>
      <c r="L314" s="714"/>
      <c r="M314" s="714"/>
      <c r="N314" s="714"/>
      <c r="O314" s="714"/>
      <c r="P314" s="714"/>
      <c r="Q314" s="714"/>
      <c r="R314" s="714"/>
      <c r="S314" s="714"/>
      <c r="T314" s="714"/>
      <c r="U314" s="714"/>
      <c r="V314" s="714"/>
      <c r="W314" s="714"/>
      <c r="X314" s="714"/>
      <c r="Y314" s="714"/>
      <c r="Z314" s="714"/>
      <c r="AA314" s="714"/>
      <c r="AB314" s="714"/>
      <c r="AC314" s="714"/>
      <c r="AD314" s="714"/>
      <c r="AE314" s="714"/>
      <c r="AF314" s="714"/>
      <c r="AG314" s="714"/>
      <c r="AH314" s="714"/>
      <c r="AI314" s="714"/>
      <c r="AJ314" s="714"/>
      <c r="AK314" s="714"/>
      <c r="AL314" s="714"/>
      <c r="AM314" s="714"/>
      <c r="AN314" s="714"/>
      <c r="AO314" s="714"/>
      <c r="AP314" s="715"/>
      <c r="AQ314" s="716"/>
      <c r="AR314" s="708"/>
      <c r="AS314" s="708"/>
    </row>
    <row r="315" spans="1:45" s="712" customFormat="1" ht="12.75" customHeight="1" x14ac:dyDescent="0.25">
      <c r="A315" s="711"/>
      <c r="B315" s="52" t="s">
        <v>615</v>
      </c>
      <c r="C315" s="21"/>
      <c r="D315" s="21"/>
      <c r="E315" s="21"/>
      <c r="F315" s="21"/>
      <c r="G315" s="21"/>
      <c r="H315" s="21"/>
      <c r="I315" s="21"/>
      <c r="J315" s="22"/>
      <c r="K315" s="22"/>
      <c r="L315" s="22"/>
      <c r="M315" s="22"/>
      <c r="N315" s="22"/>
      <c r="O315" s="21"/>
      <c r="P315" s="21"/>
      <c r="Q315" s="21"/>
      <c r="R315" s="21"/>
      <c r="S315" s="21"/>
      <c r="T315" s="21"/>
      <c r="U315" s="21"/>
      <c r="V315" s="714"/>
      <c r="W315" s="714"/>
      <c r="X315" s="714"/>
      <c r="Y315" s="714"/>
      <c r="Z315" s="714"/>
      <c r="AA315" s="714"/>
      <c r="AB315" s="714"/>
      <c r="AC315" s="714"/>
      <c r="AD315" s="714"/>
      <c r="AE315" s="714"/>
      <c r="AF315" s="714"/>
      <c r="AG315" s="714"/>
      <c r="AH315" s="714"/>
      <c r="AI315" s="714"/>
      <c r="AJ315" s="714"/>
      <c r="AK315" s="714"/>
      <c r="AL315" s="714"/>
      <c r="AM315" s="714"/>
      <c r="AN315" s="714"/>
      <c r="AO315" s="714"/>
      <c r="AP315" s="715"/>
      <c r="AQ315" s="716"/>
      <c r="AR315" s="708"/>
      <c r="AS315" s="708"/>
    </row>
    <row r="316" spans="1:45" s="712" customFormat="1" ht="12.75" customHeight="1" x14ac:dyDescent="0.25">
      <c r="A316" s="711"/>
      <c r="B316" s="8"/>
      <c r="C316" s="8"/>
      <c r="D316" s="8"/>
      <c r="E316" s="8"/>
      <c r="F316" s="8"/>
      <c r="G316" s="8"/>
      <c r="H316" s="8"/>
      <c r="I316" s="11"/>
      <c r="J316" s="1157"/>
      <c r="K316" s="1157"/>
      <c r="L316" s="1157"/>
      <c r="M316" s="1157"/>
      <c r="N316" s="1157"/>
      <c r="O316" s="1157"/>
      <c r="P316" s="40"/>
      <c r="Q316" s="8"/>
      <c r="R316" s="8"/>
      <c r="S316" s="8"/>
      <c r="T316" s="8"/>
      <c r="U316" s="8"/>
      <c r="V316" s="714"/>
      <c r="W316" s="714"/>
      <c r="X316" s="714"/>
      <c r="Y316" s="714"/>
      <c r="Z316" s="714"/>
      <c r="AA316" s="714"/>
      <c r="AB316" s="714"/>
      <c r="AC316" s="714"/>
      <c r="AD316" s="714"/>
      <c r="AE316" s="714"/>
      <c r="AF316" s="714"/>
      <c r="AG316" s="714"/>
      <c r="AH316" s="714"/>
      <c r="AI316" s="714"/>
      <c r="AJ316" s="714"/>
      <c r="AK316" s="714"/>
      <c r="AL316" s="714"/>
      <c r="AM316" s="714"/>
      <c r="AN316" s="714"/>
      <c r="AO316" s="714"/>
      <c r="AP316" s="715"/>
      <c r="AQ316" s="716"/>
      <c r="AR316" s="708"/>
      <c r="AS316" s="708"/>
    </row>
    <row r="317" spans="1:45" s="712" customFormat="1" ht="12.75" customHeight="1" x14ac:dyDescent="0.25">
      <c r="A317" s="711"/>
      <c r="B317" s="8"/>
      <c r="C317" s="8"/>
      <c r="D317" s="8"/>
      <c r="E317" s="8"/>
      <c r="F317" s="8"/>
      <c r="G317" s="8"/>
      <c r="H317" s="8"/>
      <c r="I317" s="11"/>
      <c r="J317" s="1157"/>
      <c r="K317" s="1157"/>
      <c r="L317" s="1157"/>
      <c r="M317" s="1157"/>
      <c r="N317" s="1157"/>
      <c r="O317" s="1157"/>
      <c r="P317" s="40"/>
      <c r="Q317" s="8"/>
      <c r="R317" s="8"/>
      <c r="S317" s="8"/>
      <c r="T317" s="8"/>
      <c r="U317" s="8"/>
      <c r="V317" s="714"/>
      <c r="W317" s="714"/>
      <c r="X317" s="714"/>
      <c r="Y317" s="714"/>
      <c r="Z317" s="714"/>
      <c r="AA317" s="714"/>
      <c r="AB317" s="714"/>
      <c r="AC317" s="714"/>
      <c r="AD317" s="714"/>
      <c r="AE317" s="714"/>
      <c r="AF317" s="714"/>
      <c r="AG317" s="714"/>
      <c r="AH317" s="714"/>
      <c r="AI317" s="714"/>
      <c r="AJ317" s="714"/>
      <c r="AK317" s="714"/>
      <c r="AL317" s="714"/>
      <c r="AM317" s="714"/>
      <c r="AN317" s="714"/>
      <c r="AO317" s="714"/>
      <c r="AP317" s="715"/>
      <c r="AQ317" s="716"/>
      <c r="AR317" s="708"/>
      <c r="AS317" s="708"/>
    </row>
    <row r="318" spans="1:45" s="708" customFormat="1" ht="12.75" customHeight="1" x14ac:dyDescent="0.25">
      <c r="A318" s="8"/>
      <c r="B318" s="8"/>
      <c r="C318" s="8"/>
      <c r="D318" s="8"/>
      <c r="E318" s="8"/>
      <c r="F318" s="8"/>
      <c r="G318" s="8"/>
      <c r="H318" s="8"/>
      <c r="I318" s="11"/>
      <c r="J318" s="1157"/>
      <c r="K318" s="1157"/>
      <c r="L318" s="1902" t="s">
        <v>201</v>
      </c>
      <c r="M318" s="1903"/>
      <c r="N318" s="1903"/>
      <c r="O318" s="1904"/>
      <c r="P318" s="1899" t="s">
        <v>202</v>
      </c>
      <c r="Q318" s="1900"/>
      <c r="R318" s="1900"/>
      <c r="S318" s="1901"/>
      <c r="T318" s="8"/>
      <c r="U318" s="8"/>
      <c r="V318" s="714"/>
      <c r="W318" s="714"/>
      <c r="X318" s="714"/>
      <c r="Y318" s="714"/>
      <c r="Z318" s="714"/>
      <c r="AA318" s="714"/>
      <c r="AB318" s="714"/>
      <c r="AC318" s="714"/>
      <c r="AD318" s="714"/>
      <c r="AE318" s="714"/>
      <c r="AF318" s="714"/>
      <c r="AG318" s="714"/>
      <c r="AH318" s="714"/>
      <c r="AI318" s="714"/>
      <c r="AJ318" s="714"/>
      <c r="AK318" s="714"/>
      <c r="AL318" s="714"/>
      <c r="AM318" s="714"/>
      <c r="AN318" s="714"/>
      <c r="AO318" s="714"/>
      <c r="AP318" s="714"/>
      <c r="AQ318" s="716"/>
    </row>
    <row r="319" spans="1:45" s="708" customFormat="1" ht="12.75" customHeight="1" x14ac:dyDescent="0.25">
      <c r="A319" s="8"/>
      <c r="B319" s="8"/>
      <c r="C319" s="8"/>
      <c r="D319" s="8"/>
      <c r="E319" s="8"/>
      <c r="F319" s="8"/>
      <c r="G319" s="8"/>
      <c r="H319" s="8"/>
      <c r="I319" s="11"/>
      <c r="J319" s="1157"/>
      <c r="K319" s="1157"/>
      <c r="L319" s="1873" t="s">
        <v>230</v>
      </c>
      <c r="M319" s="1874"/>
      <c r="N319" s="1874"/>
      <c r="O319" s="1875"/>
      <c r="P319" s="1930" t="s">
        <v>230</v>
      </c>
      <c r="Q319" s="1931"/>
      <c r="R319" s="1931"/>
      <c r="S319" s="1932"/>
      <c r="T319" s="8"/>
      <c r="U319" s="8"/>
      <c r="V319" s="714"/>
      <c r="W319" s="714"/>
      <c r="X319" s="714"/>
      <c r="Y319" s="714"/>
      <c r="Z319" s="714"/>
      <c r="AA319" s="714"/>
      <c r="AB319" s="714"/>
      <c r="AC319" s="714"/>
      <c r="AD319" s="714"/>
      <c r="AE319" s="714"/>
      <c r="AF319" s="714"/>
      <c r="AG319" s="714"/>
      <c r="AH319" s="714"/>
      <c r="AI319" s="714"/>
      <c r="AJ319" s="714"/>
      <c r="AK319" s="714"/>
      <c r="AL319" s="714"/>
      <c r="AM319" s="714"/>
      <c r="AN319" s="714"/>
      <c r="AO319" s="714"/>
      <c r="AP319" s="714"/>
      <c r="AQ319" s="716"/>
    </row>
    <row r="320" spans="1:45" s="708" customFormat="1" ht="38.700000000000003" customHeight="1" x14ac:dyDescent="0.25">
      <c r="A320" s="8"/>
      <c r="B320" s="8"/>
      <c r="C320" s="1159" t="s">
        <v>78</v>
      </c>
      <c r="D320" s="849"/>
      <c r="E320" s="849"/>
      <c r="F320" s="849"/>
      <c r="G320" s="849"/>
      <c r="H320" s="849"/>
      <c r="I320" s="849"/>
      <c r="J320" s="849"/>
      <c r="K320" s="849"/>
      <c r="L320" s="1160" t="s">
        <v>228</v>
      </c>
      <c r="M320" s="1160" t="s">
        <v>219</v>
      </c>
      <c r="N320" s="1161" t="s">
        <v>227</v>
      </c>
      <c r="O320" s="1162" t="s">
        <v>226</v>
      </c>
      <c r="P320" s="1163" t="s">
        <v>228</v>
      </c>
      <c r="Q320" s="1163" t="s">
        <v>219</v>
      </c>
      <c r="R320" s="1164" t="s">
        <v>227</v>
      </c>
      <c r="S320" s="1165" t="s">
        <v>226</v>
      </c>
      <c r="T320" s="8"/>
      <c r="U320" s="8"/>
      <c r="V320" s="714"/>
      <c r="W320" s="714"/>
      <c r="X320" s="714"/>
      <c r="Y320" s="714"/>
      <c r="Z320" s="714"/>
      <c r="AA320" s="714"/>
      <c r="AB320" s="714"/>
      <c r="AC320" s="714"/>
      <c r="AD320" s="714"/>
      <c r="AE320" s="714"/>
      <c r="AF320" s="714"/>
      <c r="AG320" s="714"/>
      <c r="AH320" s="714"/>
      <c r="AI320" s="714"/>
      <c r="AJ320" s="714"/>
      <c r="AK320" s="714"/>
      <c r="AL320" s="714"/>
      <c r="AM320" s="714"/>
      <c r="AN320" s="714"/>
      <c r="AO320" s="714"/>
      <c r="AP320" s="714"/>
      <c r="AQ320" s="716"/>
    </row>
    <row r="321" spans="1:43" s="708" customFormat="1" ht="12.75" customHeight="1" x14ac:dyDescent="0.25">
      <c r="A321" s="8"/>
      <c r="B321" s="8"/>
      <c r="C321" s="857" t="s">
        <v>152</v>
      </c>
      <c r="D321" s="57"/>
      <c r="E321" s="182"/>
      <c r="F321" s="57"/>
      <c r="G321" s="57"/>
      <c r="H321" s="57"/>
      <c r="I321" s="57"/>
      <c r="J321" s="57"/>
      <c r="K321" s="57"/>
      <c r="L321" s="1447">
        <v>0.15</v>
      </c>
      <c r="M321" s="1448" t="s">
        <v>232</v>
      </c>
      <c r="N321" s="1449" t="s">
        <v>232</v>
      </c>
      <c r="O321" s="1450">
        <v>6.5000000000000002E-2</v>
      </c>
      <c r="P321" s="1451">
        <v>0.13710434264377008</v>
      </c>
      <c r="Q321" s="1451" t="s">
        <v>232</v>
      </c>
      <c r="R321" s="1452" t="s">
        <v>232</v>
      </c>
      <c r="S321" s="1453">
        <v>6.0303299414322858E-2</v>
      </c>
      <c r="T321" s="8"/>
      <c r="U321" s="8"/>
      <c r="V321" s="714"/>
      <c r="W321" s="714"/>
      <c r="X321" s="714"/>
      <c r="Y321" s="714"/>
      <c r="Z321" s="714"/>
      <c r="AA321" s="714"/>
      <c r="AB321" s="714"/>
      <c r="AC321" s="714"/>
      <c r="AD321" s="714"/>
      <c r="AE321" s="714"/>
      <c r="AF321" s="714"/>
      <c r="AG321" s="714"/>
      <c r="AH321" s="714"/>
      <c r="AI321" s="714"/>
      <c r="AJ321" s="714"/>
      <c r="AK321" s="714"/>
      <c r="AL321" s="714"/>
      <c r="AM321" s="714"/>
      <c r="AN321" s="714"/>
      <c r="AO321" s="714"/>
      <c r="AP321" s="714"/>
      <c r="AQ321" s="716"/>
    </row>
    <row r="322" spans="1:43" s="708" customFormat="1" ht="12.75" customHeight="1" x14ac:dyDescent="0.25">
      <c r="A322" s="8"/>
      <c r="B322" s="8"/>
      <c r="C322" s="865" t="s">
        <v>239</v>
      </c>
      <c r="D322" s="866"/>
      <c r="E322" s="866"/>
      <c r="F322" s="866"/>
      <c r="G322" s="866"/>
      <c r="H322" s="866"/>
      <c r="I322" s="866"/>
      <c r="J322" s="866"/>
      <c r="K322" s="866"/>
      <c r="L322" s="1486">
        <v>0.08</v>
      </c>
      <c r="M322" s="1486">
        <v>0</v>
      </c>
      <c r="N322" s="1487">
        <v>0</v>
      </c>
      <c r="O322" s="1488">
        <v>0.04</v>
      </c>
      <c r="P322" s="1454">
        <v>0.08</v>
      </c>
      <c r="Q322" s="1454">
        <v>0</v>
      </c>
      <c r="R322" s="1455">
        <v>0</v>
      </c>
      <c r="S322" s="1456">
        <v>0.04</v>
      </c>
      <c r="T322" s="8"/>
      <c r="U322" s="8"/>
      <c r="V322" s="714"/>
      <c r="W322" s="714"/>
      <c r="X322" s="714"/>
      <c r="Y322" s="714"/>
      <c r="Z322" s="714"/>
      <c r="AA322" s="714"/>
      <c r="AB322" s="714"/>
      <c r="AC322" s="714"/>
      <c r="AD322" s="714"/>
      <c r="AE322" s="714"/>
      <c r="AF322" s="714"/>
      <c r="AG322" s="714"/>
      <c r="AH322" s="714"/>
      <c r="AI322" s="714"/>
      <c r="AJ322" s="714"/>
      <c r="AK322" s="714"/>
      <c r="AL322" s="714"/>
      <c r="AM322" s="714"/>
      <c r="AN322" s="714"/>
      <c r="AO322" s="714"/>
      <c r="AP322" s="714"/>
      <c r="AQ322" s="716"/>
    </row>
    <row r="323" spans="1:43" s="708" customFormat="1" ht="12.75" customHeight="1" x14ac:dyDescent="0.25">
      <c r="A323" s="8"/>
      <c r="B323" s="8"/>
      <c r="C323" s="56" t="s">
        <v>80</v>
      </c>
      <c r="D323" s="56"/>
      <c r="E323" s="56"/>
      <c r="F323" s="57"/>
      <c r="G323" s="57"/>
      <c r="H323" s="57"/>
      <c r="I323" s="57"/>
      <c r="J323" s="57"/>
      <c r="K323" s="57"/>
      <c r="L323" s="1457">
        <v>6.9999999999999993E-2</v>
      </c>
      <c r="M323" s="1457" t="s">
        <v>232</v>
      </c>
      <c r="N323" s="1458" t="s">
        <v>232</v>
      </c>
      <c r="O323" s="1458">
        <v>2.5000000000000001E-2</v>
      </c>
      <c r="P323" s="1459">
        <v>5.7104342643770081E-2</v>
      </c>
      <c r="Q323" s="1459" t="s">
        <v>232</v>
      </c>
      <c r="R323" s="1460" t="s">
        <v>232</v>
      </c>
      <c r="S323" s="1461">
        <v>2.0303299414322858E-2</v>
      </c>
      <c r="T323" s="8"/>
      <c r="U323" s="8"/>
      <c r="V323" s="714"/>
      <c r="W323" s="714"/>
      <c r="X323" s="714"/>
      <c r="Y323" s="714"/>
      <c r="Z323" s="714"/>
      <c r="AA323" s="714"/>
      <c r="AB323" s="714"/>
      <c r="AC323" s="714"/>
      <c r="AD323" s="714"/>
      <c r="AE323" s="714"/>
      <c r="AF323" s="714"/>
      <c r="AG323" s="714"/>
      <c r="AH323" s="714"/>
      <c r="AI323" s="714"/>
      <c r="AJ323" s="714"/>
      <c r="AK323" s="714"/>
      <c r="AL323" s="714"/>
      <c r="AM323" s="714"/>
      <c r="AN323" s="714"/>
      <c r="AO323" s="714"/>
      <c r="AP323" s="714"/>
      <c r="AQ323" s="716"/>
    </row>
    <row r="324" spans="1:43" s="708" customFormat="1" ht="12.75" customHeight="1" x14ac:dyDescent="0.25">
      <c r="A324" s="8"/>
      <c r="B324" s="8"/>
      <c r="C324" s="8"/>
      <c r="D324" s="8"/>
      <c r="E324" s="8"/>
      <c r="F324" s="8"/>
      <c r="G324" s="8"/>
      <c r="H324" s="8"/>
      <c r="I324" s="11"/>
      <c r="J324" s="1157"/>
      <c r="K324" s="1157"/>
      <c r="L324" s="1208"/>
      <c r="M324" s="1208"/>
      <c r="N324" s="1208"/>
      <c r="O324" s="1208"/>
      <c r="P324" s="40"/>
      <c r="Q324" s="8"/>
      <c r="R324" s="8"/>
      <c r="S324" s="8"/>
      <c r="T324" s="8"/>
      <c r="U324" s="8"/>
      <c r="V324" s="714"/>
      <c r="W324" s="714"/>
      <c r="X324" s="714"/>
      <c r="Y324" s="714"/>
      <c r="Z324" s="714"/>
      <c r="AA324" s="714"/>
      <c r="AB324" s="714"/>
      <c r="AC324" s="714"/>
      <c r="AD324" s="714"/>
      <c r="AE324" s="714"/>
      <c r="AF324" s="714"/>
      <c r="AG324" s="714"/>
      <c r="AH324" s="714"/>
      <c r="AI324" s="714"/>
      <c r="AJ324" s="714"/>
      <c r="AK324" s="714"/>
      <c r="AL324" s="714"/>
      <c r="AM324" s="714"/>
      <c r="AN324" s="714"/>
      <c r="AO324" s="714"/>
      <c r="AP324" s="714"/>
      <c r="AQ324" s="716"/>
    </row>
    <row r="325" spans="1:43" s="708" customFormat="1" ht="12.75" customHeight="1" x14ac:dyDescent="0.25">
      <c r="A325" s="8"/>
      <c r="B325" s="8"/>
      <c r="C325" s="8"/>
      <c r="D325" s="8"/>
      <c r="E325" s="8"/>
      <c r="F325" s="8"/>
      <c r="G325" s="8"/>
      <c r="H325" s="8"/>
      <c r="I325" s="11"/>
      <c r="J325" s="1157"/>
      <c r="K325" s="1157"/>
      <c r="L325" s="1208"/>
      <c r="M325" s="1208"/>
      <c r="N325" s="1208"/>
      <c r="O325" s="1208"/>
      <c r="P325" s="40"/>
      <c r="Q325" s="8"/>
      <c r="R325" s="8"/>
      <c r="S325" s="8"/>
      <c r="T325" s="8"/>
      <c r="U325" s="8"/>
      <c r="V325" s="714"/>
      <c r="W325" s="714"/>
      <c r="X325" s="714"/>
      <c r="Y325" s="714"/>
      <c r="Z325" s="714"/>
      <c r="AA325" s="714"/>
      <c r="AB325" s="714"/>
      <c r="AC325" s="714"/>
      <c r="AD325" s="714"/>
      <c r="AE325" s="714"/>
      <c r="AF325" s="714"/>
      <c r="AG325" s="714"/>
      <c r="AH325" s="714"/>
      <c r="AI325" s="714"/>
      <c r="AJ325" s="714"/>
      <c r="AK325" s="714"/>
      <c r="AL325" s="714"/>
      <c r="AM325" s="714"/>
      <c r="AN325" s="714"/>
      <c r="AO325" s="714"/>
      <c r="AP325" s="714"/>
      <c r="AQ325" s="716"/>
    </row>
    <row r="326" spans="1:43" s="708" customFormat="1" ht="12.75" customHeight="1" x14ac:dyDescent="0.25">
      <c r="A326" s="8"/>
      <c r="B326" s="8"/>
      <c r="C326" s="8"/>
      <c r="D326" s="8"/>
      <c r="E326" s="8"/>
      <c r="F326" s="8"/>
      <c r="G326" s="8"/>
      <c r="H326" s="8"/>
      <c r="I326" s="11"/>
      <c r="J326" s="1157"/>
      <c r="K326" s="1157"/>
      <c r="L326" s="1902" t="s">
        <v>201</v>
      </c>
      <c r="M326" s="1903"/>
      <c r="N326" s="1903"/>
      <c r="O326" s="1904"/>
      <c r="P326" s="1899" t="s">
        <v>202</v>
      </c>
      <c r="Q326" s="1900"/>
      <c r="R326" s="1900"/>
      <c r="S326" s="1901"/>
      <c r="T326" s="8"/>
      <c r="U326" s="8"/>
      <c r="V326" s="714"/>
      <c r="W326" s="714"/>
      <c r="X326" s="714"/>
      <c r="Y326" s="714"/>
      <c r="Z326" s="714"/>
      <c r="AA326" s="714"/>
      <c r="AB326" s="714"/>
      <c r="AC326" s="714"/>
      <c r="AD326" s="714"/>
      <c r="AE326" s="714"/>
      <c r="AF326" s="714"/>
      <c r="AG326" s="714"/>
      <c r="AH326" s="714"/>
      <c r="AI326" s="714"/>
      <c r="AJ326" s="714"/>
      <c r="AK326" s="714"/>
      <c r="AL326" s="714"/>
      <c r="AM326" s="714"/>
      <c r="AN326" s="714"/>
      <c r="AO326" s="714"/>
      <c r="AP326" s="714"/>
      <c r="AQ326" s="716"/>
    </row>
    <row r="327" spans="1:43" s="708" customFormat="1" ht="12.75" customHeight="1" x14ac:dyDescent="0.25">
      <c r="A327" s="8"/>
      <c r="B327" s="8"/>
      <c r="C327" s="8"/>
      <c r="D327" s="8"/>
      <c r="E327" s="8"/>
      <c r="F327" s="8"/>
      <c r="G327" s="8"/>
      <c r="H327" s="8"/>
      <c r="I327" s="11"/>
      <c r="J327" s="1157"/>
      <c r="K327" s="1157"/>
      <c r="L327" s="1873" t="s">
        <v>230</v>
      </c>
      <c r="M327" s="1874"/>
      <c r="N327" s="1874"/>
      <c r="O327" s="1875"/>
      <c r="P327" s="1930" t="s">
        <v>230</v>
      </c>
      <c r="Q327" s="1931"/>
      <c r="R327" s="1931"/>
      <c r="S327" s="1932"/>
      <c r="T327" s="8"/>
      <c r="U327" s="8"/>
      <c r="V327" s="714"/>
      <c r="W327" s="714"/>
      <c r="X327" s="714"/>
      <c r="Y327" s="714"/>
      <c r="Z327" s="714"/>
      <c r="AA327" s="714"/>
      <c r="AB327" s="714"/>
      <c r="AC327" s="714"/>
      <c r="AD327" s="714"/>
      <c r="AE327" s="714"/>
      <c r="AF327" s="714"/>
      <c r="AG327" s="714"/>
      <c r="AH327" s="714"/>
      <c r="AI327" s="714"/>
      <c r="AJ327" s="714"/>
      <c r="AK327" s="714"/>
      <c r="AL327" s="714"/>
      <c r="AM327" s="714"/>
      <c r="AN327" s="714"/>
      <c r="AO327" s="714"/>
      <c r="AP327" s="714"/>
      <c r="AQ327" s="716"/>
    </row>
    <row r="328" spans="1:43" s="708" customFormat="1" ht="39.450000000000003" customHeight="1" x14ac:dyDescent="0.25">
      <c r="A328" s="8"/>
      <c r="B328" s="8"/>
      <c r="C328" s="876" t="s">
        <v>231</v>
      </c>
      <c r="D328" s="877"/>
      <c r="E328" s="55"/>
      <c r="F328" s="877"/>
      <c r="G328" s="877"/>
      <c r="H328" s="877"/>
      <c r="I328" s="877"/>
      <c r="J328" s="877"/>
      <c r="K328" s="877"/>
      <c r="L328" s="1209" t="s">
        <v>228</v>
      </c>
      <c r="M328" s="1209" t="s">
        <v>219</v>
      </c>
      <c r="N328" s="1210" t="s">
        <v>227</v>
      </c>
      <c r="O328" s="1211" t="s">
        <v>226</v>
      </c>
      <c r="P328" s="1212" t="s">
        <v>228</v>
      </c>
      <c r="Q328" s="1212" t="s">
        <v>219</v>
      </c>
      <c r="R328" s="1213" t="s">
        <v>227</v>
      </c>
      <c r="S328" s="1214" t="s">
        <v>226</v>
      </c>
      <c r="T328" s="8"/>
      <c r="U328" s="8"/>
      <c r="V328" s="714"/>
      <c r="W328" s="714"/>
      <c r="X328" s="714"/>
      <c r="Y328" s="714"/>
      <c r="Z328" s="714"/>
      <c r="AA328" s="714"/>
      <c r="AB328" s="714"/>
      <c r="AC328" s="714"/>
      <c r="AD328" s="714"/>
      <c r="AE328" s="714"/>
      <c r="AF328" s="714"/>
      <c r="AG328" s="714"/>
      <c r="AH328" s="714"/>
      <c r="AI328" s="714"/>
      <c r="AJ328" s="714"/>
      <c r="AK328" s="714"/>
      <c r="AL328" s="714"/>
      <c r="AM328" s="714"/>
      <c r="AN328" s="714"/>
      <c r="AO328" s="714"/>
      <c r="AP328" s="714"/>
      <c r="AQ328" s="716"/>
    </row>
    <row r="329" spans="1:43" s="708" customFormat="1" ht="12.75" customHeight="1" x14ac:dyDescent="0.25">
      <c r="A329" s="8"/>
      <c r="B329" s="8"/>
      <c r="C329" s="845" t="str">
        <f>$C$31</f>
        <v>Power Market Risk</v>
      </c>
      <c r="D329" s="57"/>
      <c r="E329" s="57"/>
      <c r="F329" s="57"/>
      <c r="G329" s="8"/>
      <c r="H329" s="8"/>
      <c r="I329" s="11"/>
      <c r="J329" s="1157"/>
      <c r="K329" s="1157"/>
      <c r="L329" s="1489">
        <v>1.3748887640705814E-2</v>
      </c>
      <c r="M329" s="1489">
        <v>0</v>
      </c>
      <c r="N329" s="1490">
        <v>0</v>
      </c>
      <c r="O329" s="1491">
        <v>5.8042874411811515E-3</v>
      </c>
      <c r="P329" s="1462">
        <v>8.5930547754411342E-3</v>
      </c>
      <c r="Q329" s="1463">
        <v>0</v>
      </c>
      <c r="R329" s="1464">
        <v>0</v>
      </c>
      <c r="S329" s="1465">
        <v>3.6276796507382198E-3</v>
      </c>
      <c r="T329" s="8"/>
      <c r="U329" s="8"/>
      <c r="V329" s="714"/>
      <c r="W329" s="714"/>
      <c r="X329" s="714"/>
      <c r="Y329" s="714"/>
      <c r="Z329" s="714"/>
      <c r="AA329" s="714"/>
      <c r="AB329" s="714"/>
      <c r="AC329" s="714"/>
      <c r="AD329" s="714"/>
      <c r="AE329" s="714"/>
      <c r="AF329" s="714"/>
      <c r="AG329" s="714"/>
      <c r="AH329" s="714"/>
      <c r="AI329" s="714"/>
      <c r="AJ329" s="714"/>
      <c r="AK329" s="714"/>
      <c r="AL329" s="714"/>
      <c r="AM329" s="714"/>
      <c r="AN329" s="714"/>
      <c r="AO329" s="714"/>
      <c r="AP329" s="714"/>
      <c r="AQ329" s="716"/>
    </row>
    <row r="330" spans="1:43" s="708" customFormat="1" ht="12.75" customHeight="1" x14ac:dyDescent="0.25">
      <c r="A330" s="8"/>
      <c r="B330" s="8"/>
      <c r="C330" s="845" t="str">
        <f>$C$32</f>
        <v>Permits Risk</v>
      </c>
      <c r="D330" s="57"/>
      <c r="E330" s="57"/>
      <c r="F330" s="57"/>
      <c r="G330" s="8"/>
      <c r="H330" s="8"/>
      <c r="I330" s="11"/>
      <c r="J330" s="1157"/>
      <c r="K330" s="1157"/>
      <c r="L330" s="1489">
        <v>3.381572254319272E-3</v>
      </c>
      <c r="M330" s="1489" t="s">
        <v>232</v>
      </c>
      <c r="N330" s="1492" t="s">
        <v>232</v>
      </c>
      <c r="O330" s="1491" t="s">
        <v>232</v>
      </c>
      <c r="P330" s="1462">
        <v>2.5361791907394541E-3</v>
      </c>
      <c r="Q330" s="1466" t="s">
        <v>232</v>
      </c>
      <c r="R330" s="1467" t="s">
        <v>232</v>
      </c>
      <c r="S330" s="1468" t="s">
        <v>232</v>
      </c>
      <c r="T330" s="8"/>
      <c r="U330" s="8"/>
      <c r="V330" s="714"/>
      <c r="W330" s="714"/>
      <c r="X330" s="714"/>
      <c r="Y330" s="714"/>
      <c r="Z330" s="714"/>
      <c r="AA330" s="714"/>
      <c r="AB330" s="714"/>
      <c r="AC330" s="714"/>
      <c r="AD330" s="714"/>
      <c r="AE330" s="714"/>
      <c r="AF330" s="714"/>
      <c r="AG330" s="714"/>
      <c r="AH330" s="714"/>
      <c r="AI330" s="714"/>
      <c r="AJ330" s="714"/>
      <c r="AK330" s="714"/>
      <c r="AL330" s="714"/>
      <c r="AM330" s="714"/>
      <c r="AN330" s="714"/>
      <c r="AO330" s="714"/>
      <c r="AP330" s="714"/>
      <c r="AQ330" s="716"/>
    </row>
    <row r="331" spans="1:43" s="708" customFormat="1" ht="12.75" customHeight="1" x14ac:dyDescent="0.25">
      <c r="A331" s="8"/>
      <c r="B331" s="8"/>
      <c r="C331" s="845" t="str">
        <f>$C$33</f>
        <v>Social Acceptance Risk</v>
      </c>
      <c r="D331" s="57"/>
      <c r="E331" s="57"/>
      <c r="F331" s="57"/>
      <c r="G331" s="8"/>
      <c r="H331" s="8"/>
      <c r="I331" s="11"/>
      <c r="J331" s="1157"/>
      <c r="K331" s="1157"/>
      <c r="L331" s="1489">
        <v>2.2817626547363512E-3</v>
      </c>
      <c r="M331" s="1489">
        <v>0</v>
      </c>
      <c r="N331" s="1492">
        <v>0</v>
      </c>
      <c r="O331" s="1491">
        <v>9.6327838780435853E-4</v>
      </c>
      <c r="P331" s="1462">
        <v>1.7113219910522633E-3</v>
      </c>
      <c r="Q331" s="1466">
        <v>0</v>
      </c>
      <c r="R331" s="1467">
        <v>0</v>
      </c>
      <c r="S331" s="1468">
        <v>7.2245879085326887E-4</v>
      </c>
      <c r="T331" s="8"/>
      <c r="U331" s="8"/>
      <c r="V331" s="714"/>
      <c r="W331" s="714"/>
      <c r="X331" s="714"/>
      <c r="Y331" s="714"/>
      <c r="Z331" s="714"/>
      <c r="AA331" s="714"/>
      <c r="AB331" s="714"/>
      <c r="AC331" s="714"/>
      <c r="AD331" s="714"/>
      <c r="AE331" s="714"/>
      <c r="AF331" s="714"/>
      <c r="AG331" s="714"/>
      <c r="AH331" s="714"/>
      <c r="AI331" s="714"/>
      <c r="AJ331" s="714"/>
      <c r="AK331" s="714"/>
      <c r="AL331" s="714"/>
      <c r="AM331" s="714"/>
      <c r="AN331" s="714"/>
      <c r="AO331" s="714"/>
      <c r="AP331" s="714"/>
      <c r="AQ331" s="716"/>
    </row>
    <row r="332" spans="1:43" s="708" customFormat="1" ht="12.75" customHeight="1" x14ac:dyDescent="0.25">
      <c r="A332" s="8"/>
      <c r="B332" s="8"/>
      <c r="C332" s="845" t="str">
        <f>$C$34</f>
        <v>Resource &amp; Technology Risk</v>
      </c>
      <c r="D332" s="57"/>
      <c r="E332" s="57"/>
      <c r="F332" s="57"/>
      <c r="G332" s="8"/>
      <c r="H332" s="8"/>
      <c r="I332" s="11"/>
      <c r="J332" s="1157"/>
      <c r="K332" s="1157"/>
      <c r="L332" s="1489">
        <v>3.6720406402672096E-3</v>
      </c>
      <c r="M332" s="1489">
        <v>0</v>
      </c>
      <c r="N332" s="1492">
        <v>0</v>
      </c>
      <c r="O332" s="1491">
        <v>1.550203909493554E-3</v>
      </c>
      <c r="P332" s="1462">
        <v>3.2130355602338085E-3</v>
      </c>
      <c r="Q332" s="1466">
        <v>0</v>
      </c>
      <c r="R332" s="1467">
        <v>0</v>
      </c>
      <c r="S332" s="1468">
        <v>1.3564284208068599E-3</v>
      </c>
      <c r="T332" s="8"/>
      <c r="U332" s="8"/>
      <c r="V332" s="714"/>
      <c r="W332" s="714"/>
      <c r="X332" s="714"/>
      <c r="Y332" s="714"/>
      <c r="Z332" s="714"/>
      <c r="AA332" s="714"/>
      <c r="AB332" s="714"/>
      <c r="AC332" s="714"/>
      <c r="AD332" s="714"/>
      <c r="AE332" s="714"/>
      <c r="AF332" s="714"/>
      <c r="AG332" s="714"/>
      <c r="AH332" s="714"/>
      <c r="AI332" s="714"/>
      <c r="AJ332" s="714"/>
      <c r="AK332" s="714"/>
      <c r="AL332" s="714"/>
      <c r="AM332" s="714"/>
      <c r="AN332" s="714"/>
      <c r="AO332" s="714"/>
      <c r="AP332" s="714"/>
      <c r="AQ332" s="716"/>
    </row>
    <row r="333" spans="1:43" s="708" customFormat="1" ht="12.75" customHeight="1" x14ac:dyDescent="0.25">
      <c r="A333" s="8"/>
      <c r="B333" s="8"/>
      <c r="C333" s="845" t="str">
        <f>$C$35</f>
        <v>Grid/Transmission Risk</v>
      </c>
      <c r="D333" s="57"/>
      <c r="E333" s="57"/>
      <c r="F333" s="57"/>
      <c r="G333" s="8"/>
      <c r="H333" s="8"/>
      <c r="I333" s="11"/>
      <c r="J333" s="1157"/>
      <c r="K333" s="1157"/>
      <c r="L333" s="1489">
        <v>1.0404837705597761E-2</v>
      </c>
      <c r="M333" s="1489">
        <v>0</v>
      </c>
      <c r="N333" s="1492">
        <v>0</v>
      </c>
      <c r="O333" s="1491">
        <v>4.3925494483878736E-3</v>
      </c>
      <c r="P333" s="1462">
        <v>7.8036282791983207E-3</v>
      </c>
      <c r="Q333" s="1466">
        <v>0</v>
      </c>
      <c r="R333" s="1467">
        <v>0</v>
      </c>
      <c r="S333" s="1468">
        <v>3.294412086290905E-3</v>
      </c>
      <c r="T333" s="8"/>
      <c r="U333" s="8"/>
      <c r="V333" s="714"/>
      <c r="W333" s="714"/>
      <c r="X333" s="714"/>
      <c r="Y333" s="714"/>
      <c r="Z333" s="714"/>
      <c r="AA333" s="714"/>
      <c r="AB333" s="714"/>
      <c r="AC333" s="714"/>
      <c r="AD333" s="714"/>
      <c r="AE333" s="714"/>
      <c r="AF333" s="714"/>
      <c r="AG333" s="714"/>
      <c r="AH333" s="714"/>
      <c r="AI333" s="714"/>
      <c r="AJ333" s="714"/>
      <c r="AK333" s="714"/>
      <c r="AL333" s="714"/>
      <c r="AM333" s="714"/>
      <c r="AN333" s="714"/>
      <c r="AO333" s="714"/>
      <c r="AP333" s="714"/>
      <c r="AQ333" s="716"/>
    </row>
    <row r="334" spans="1:43" s="708" customFormat="1" ht="12.75" customHeight="1" x14ac:dyDescent="0.25">
      <c r="A334" s="8"/>
      <c r="B334" s="8"/>
      <c r="C334" s="845" t="str">
        <f>$C$36</f>
        <v>Counterparty Risk</v>
      </c>
      <c r="D334" s="57"/>
      <c r="E334" s="57"/>
      <c r="F334" s="57"/>
      <c r="G334" s="8"/>
      <c r="H334" s="8"/>
      <c r="I334" s="11"/>
      <c r="J334" s="1157"/>
      <c r="K334" s="1157"/>
      <c r="L334" s="1489">
        <v>9.3552268844190409E-3</v>
      </c>
      <c r="M334" s="1489">
        <v>0</v>
      </c>
      <c r="N334" s="1492">
        <v>0</v>
      </c>
      <c r="O334" s="1491">
        <v>3.9494413899978697E-3</v>
      </c>
      <c r="P334" s="1462">
        <v>7.0164201633142811E-3</v>
      </c>
      <c r="Q334" s="1466">
        <v>0</v>
      </c>
      <c r="R334" s="1467">
        <v>0</v>
      </c>
      <c r="S334" s="1468">
        <v>2.9620810424984025E-3</v>
      </c>
      <c r="T334" s="8"/>
      <c r="U334" s="8"/>
      <c r="V334" s="714"/>
      <c r="W334" s="714"/>
      <c r="X334" s="714"/>
      <c r="Y334" s="714"/>
      <c r="Z334" s="714"/>
      <c r="AA334" s="714"/>
      <c r="AB334" s="714"/>
      <c r="AC334" s="714"/>
      <c r="AD334" s="714"/>
      <c r="AE334" s="714"/>
      <c r="AF334" s="714"/>
      <c r="AG334" s="714"/>
      <c r="AH334" s="714"/>
      <c r="AI334" s="714"/>
      <c r="AJ334" s="714"/>
      <c r="AK334" s="714"/>
      <c r="AL334" s="714"/>
      <c r="AM334" s="714"/>
      <c r="AN334" s="714"/>
      <c r="AO334" s="714"/>
      <c r="AP334" s="714"/>
      <c r="AQ334" s="716"/>
    </row>
    <row r="335" spans="1:43" s="708" customFormat="1" ht="12.75" customHeight="1" x14ac:dyDescent="0.25">
      <c r="A335" s="8"/>
      <c r="B335" s="8"/>
      <c r="C335" s="845" t="str">
        <f>$C$37</f>
        <v>Financial Sector Risk</v>
      </c>
      <c r="D335" s="57"/>
      <c r="E335" s="57"/>
      <c r="F335" s="57"/>
      <c r="G335" s="8"/>
      <c r="H335" s="8"/>
      <c r="I335" s="11"/>
      <c r="J335" s="1157"/>
      <c r="K335" s="1157"/>
      <c r="L335" s="1489">
        <v>7.3997562893099869E-3</v>
      </c>
      <c r="M335" s="1489" t="s">
        <v>232</v>
      </c>
      <c r="N335" s="1492" t="s">
        <v>232</v>
      </c>
      <c r="O335" s="1491" t="s">
        <v>232</v>
      </c>
      <c r="P335" s="1462">
        <v>6.4747867531462387E-3</v>
      </c>
      <c r="Q335" s="1466" t="s">
        <v>232</v>
      </c>
      <c r="R335" s="1467" t="s">
        <v>232</v>
      </c>
      <c r="S335" s="1468" t="s">
        <v>232</v>
      </c>
      <c r="T335" s="8"/>
      <c r="U335" s="8"/>
      <c r="V335" s="714"/>
      <c r="W335" s="714"/>
      <c r="X335" s="714"/>
      <c r="Y335" s="714"/>
      <c r="Z335" s="714"/>
      <c r="AA335" s="714"/>
      <c r="AB335" s="714"/>
      <c r="AC335" s="714"/>
      <c r="AD335" s="714"/>
      <c r="AE335" s="714"/>
      <c r="AF335" s="714"/>
      <c r="AG335" s="714"/>
      <c r="AH335" s="714"/>
      <c r="AI335" s="714"/>
      <c r="AJ335" s="714"/>
      <c r="AK335" s="714"/>
      <c r="AL335" s="714"/>
      <c r="AM335" s="714"/>
      <c r="AN335" s="714"/>
      <c r="AO335" s="714"/>
      <c r="AP335" s="714"/>
      <c r="AQ335" s="716"/>
    </row>
    <row r="336" spans="1:43" s="708" customFormat="1" ht="12.75" customHeight="1" x14ac:dyDescent="0.25">
      <c r="A336" s="8"/>
      <c r="B336" s="8"/>
      <c r="C336" s="845" t="str">
        <f>$C$38</f>
        <v>Political Risk</v>
      </c>
      <c r="D336" s="57"/>
      <c r="E336" s="57"/>
      <c r="F336" s="57"/>
      <c r="G336" s="8"/>
      <c r="H336" s="8"/>
      <c r="I336" s="11"/>
      <c r="J336" s="1157"/>
      <c r="K336" s="1157"/>
      <c r="L336" s="1489">
        <v>1.0396540386853266E-2</v>
      </c>
      <c r="M336" s="1489">
        <v>0</v>
      </c>
      <c r="N336" s="1492">
        <v>0</v>
      </c>
      <c r="O336" s="1491">
        <v>4.3890466178867675E-3</v>
      </c>
      <c r="P336" s="1462">
        <v>1.0396540386853266E-2</v>
      </c>
      <c r="Q336" s="1466">
        <v>0</v>
      </c>
      <c r="R336" s="1467">
        <v>0</v>
      </c>
      <c r="S336" s="1468">
        <v>4.3890466178867675E-3</v>
      </c>
      <c r="T336" s="8"/>
      <c r="U336" s="8"/>
      <c r="V336" s="714"/>
      <c r="W336" s="714"/>
      <c r="X336" s="714"/>
      <c r="Y336" s="714"/>
      <c r="Z336" s="714"/>
      <c r="AA336" s="714"/>
      <c r="AB336" s="714"/>
      <c r="AC336" s="714"/>
      <c r="AD336" s="714"/>
      <c r="AE336" s="714"/>
      <c r="AF336" s="714"/>
      <c r="AG336" s="714"/>
      <c r="AH336" s="714"/>
      <c r="AI336" s="714"/>
      <c r="AJ336" s="714"/>
      <c r="AK336" s="714"/>
      <c r="AL336" s="714"/>
      <c r="AM336" s="714"/>
      <c r="AN336" s="714"/>
      <c r="AO336" s="714"/>
      <c r="AP336" s="714"/>
      <c r="AQ336" s="716"/>
    </row>
    <row r="337" spans="1:43" s="708" customFormat="1" ht="12.75" customHeight="1" x14ac:dyDescent="0.25">
      <c r="A337" s="8"/>
      <c r="B337" s="8"/>
      <c r="C337" s="866" t="str">
        <f>$C$39</f>
        <v>Currency/Macro Risk</v>
      </c>
      <c r="D337" s="866"/>
      <c r="E337" s="866"/>
      <c r="F337" s="866"/>
      <c r="G337" s="866"/>
      <c r="H337" s="866"/>
      <c r="I337" s="866"/>
      <c r="J337" s="866"/>
      <c r="K337" s="866"/>
      <c r="L337" s="1493">
        <v>9.3593755437912859E-3</v>
      </c>
      <c r="M337" s="1489">
        <v>0</v>
      </c>
      <c r="N337" s="1492">
        <v>0</v>
      </c>
      <c r="O337" s="1494">
        <v>3.9511928052484227E-3</v>
      </c>
      <c r="P337" s="1469">
        <v>9.3593755437912859E-3</v>
      </c>
      <c r="Q337" s="1469">
        <v>0</v>
      </c>
      <c r="R337" s="1470">
        <v>0</v>
      </c>
      <c r="S337" s="1471">
        <v>3.9511928052484227E-3</v>
      </c>
      <c r="T337" s="8"/>
      <c r="U337" s="8"/>
      <c r="V337" s="714"/>
      <c r="W337" s="714"/>
      <c r="X337" s="714"/>
      <c r="Y337" s="714"/>
      <c r="Z337" s="714"/>
      <c r="AA337" s="714"/>
      <c r="AB337" s="714"/>
      <c r="AC337" s="714"/>
      <c r="AD337" s="714"/>
      <c r="AE337" s="714"/>
      <c r="AF337" s="714"/>
      <c r="AG337" s="714"/>
      <c r="AH337" s="714"/>
      <c r="AI337" s="714"/>
      <c r="AJ337" s="714"/>
      <c r="AK337" s="714"/>
      <c r="AL337" s="714"/>
      <c r="AM337" s="714"/>
      <c r="AN337" s="714"/>
      <c r="AO337" s="714"/>
      <c r="AP337" s="714"/>
      <c r="AQ337" s="716"/>
    </row>
    <row r="338" spans="1:43" s="708" customFormat="1" ht="12.75" customHeight="1" x14ac:dyDescent="0.25">
      <c r="A338" s="8"/>
      <c r="B338" s="8"/>
      <c r="C338" s="56" t="s">
        <v>81</v>
      </c>
      <c r="D338" s="132"/>
      <c r="E338" s="56"/>
      <c r="F338" s="57"/>
      <c r="G338" s="57"/>
      <c r="H338" s="57"/>
      <c r="I338" s="57"/>
      <c r="J338" s="57"/>
      <c r="K338" s="57"/>
      <c r="L338" s="1472">
        <v>6.9999999999999979E-2</v>
      </c>
      <c r="M338" s="1473" t="s">
        <v>232</v>
      </c>
      <c r="N338" s="1474" t="s">
        <v>232</v>
      </c>
      <c r="O338" s="1475">
        <v>2.4999999999999994E-2</v>
      </c>
      <c r="P338" s="1476">
        <v>5.7104342643770054E-2</v>
      </c>
      <c r="Q338" s="1477">
        <v>0</v>
      </c>
      <c r="R338" s="1478">
        <v>0</v>
      </c>
      <c r="S338" s="1479">
        <v>2.0303299414322847E-2</v>
      </c>
      <c r="T338" s="8"/>
      <c r="U338" s="8"/>
      <c r="V338" s="714"/>
      <c r="W338" s="714"/>
      <c r="X338" s="714"/>
      <c r="Y338" s="714"/>
      <c r="Z338" s="714"/>
      <c r="AA338" s="714"/>
      <c r="AB338" s="714"/>
      <c r="AC338" s="714"/>
      <c r="AD338" s="714"/>
      <c r="AE338" s="714"/>
      <c r="AF338" s="714"/>
      <c r="AG338" s="714"/>
      <c r="AH338" s="714"/>
      <c r="AI338" s="714"/>
      <c r="AJ338" s="714"/>
      <c r="AK338" s="714"/>
      <c r="AL338" s="714"/>
      <c r="AM338" s="714"/>
      <c r="AN338" s="714"/>
      <c r="AO338" s="714"/>
      <c r="AP338" s="714"/>
      <c r="AQ338" s="716"/>
    </row>
    <row r="339" spans="1:43" s="708" customFormat="1" ht="12.75" customHeight="1" x14ac:dyDescent="0.25">
      <c r="A339" s="8"/>
      <c r="B339" s="8"/>
      <c r="C339" s="8"/>
      <c r="D339" s="8"/>
      <c r="E339" s="8"/>
      <c r="F339" s="8"/>
      <c r="G339" s="8"/>
      <c r="H339" s="8"/>
      <c r="I339" s="11"/>
      <c r="J339" s="1157"/>
      <c r="K339" s="1157"/>
      <c r="L339" s="1208"/>
      <c r="M339" s="1208"/>
      <c r="N339" s="1208"/>
      <c r="O339" s="1208"/>
      <c r="P339" s="40"/>
      <c r="Q339" s="8"/>
      <c r="R339" s="8"/>
      <c r="S339" s="8"/>
      <c r="T339" s="8"/>
      <c r="U339" s="8"/>
      <c r="V339" s="714"/>
      <c r="W339" s="714"/>
      <c r="X339" s="714"/>
      <c r="Y339" s="714"/>
      <c r="Z339" s="714"/>
      <c r="AA339" s="714"/>
      <c r="AB339" s="714"/>
      <c r="AC339" s="714"/>
      <c r="AD339" s="714"/>
      <c r="AE339" s="714"/>
      <c r="AF339" s="714"/>
      <c r="AG339" s="714"/>
      <c r="AH339" s="714"/>
      <c r="AI339" s="714"/>
      <c r="AJ339" s="714"/>
      <c r="AK339" s="714"/>
      <c r="AL339" s="714"/>
      <c r="AM339" s="714"/>
      <c r="AN339" s="714"/>
      <c r="AO339" s="714"/>
      <c r="AP339" s="714"/>
      <c r="AQ339" s="716"/>
    </row>
    <row r="340" spans="1:43" s="708" customFormat="1" ht="12.75" customHeight="1" x14ac:dyDescent="0.25">
      <c r="A340" s="8"/>
      <c r="B340" s="8"/>
      <c r="C340" s="8"/>
      <c r="D340" s="8"/>
      <c r="E340" s="8"/>
      <c r="F340" s="8"/>
      <c r="G340" s="8"/>
      <c r="H340" s="8"/>
      <c r="I340" s="11"/>
      <c r="J340" s="1157"/>
      <c r="K340" s="1157"/>
      <c r="L340" s="1208"/>
      <c r="M340" s="1208"/>
      <c r="N340" s="1208"/>
      <c r="O340" s="1208"/>
      <c r="P340" s="40"/>
      <c r="Q340" s="8"/>
      <c r="R340" s="8"/>
      <c r="S340" s="8"/>
      <c r="T340" s="8"/>
      <c r="U340" s="8"/>
      <c r="V340" s="714"/>
      <c r="W340" s="714"/>
      <c r="X340" s="714"/>
      <c r="Y340" s="714"/>
      <c r="Z340" s="714"/>
      <c r="AA340" s="714"/>
      <c r="AB340" s="714"/>
      <c r="AC340" s="714"/>
      <c r="AD340" s="714"/>
      <c r="AE340" s="714"/>
      <c r="AF340" s="714"/>
      <c r="AG340" s="714"/>
      <c r="AH340" s="714"/>
      <c r="AI340" s="714"/>
      <c r="AJ340" s="714"/>
      <c r="AK340" s="714"/>
      <c r="AL340" s="714"/>
      <c r="AM340" s="714"/>
      <c r="AN340" s="714"/>
      <c r="AO340" s="714"/>
      <c r="AP340" s="714"/>
      <c r="AQ340" s="716"/>
    </row>
    <row r="341" spans="1:43" s="708" customFormat="1" ht="12.75" customHeight="1" x14ac:dyDescent="0.25">
      <c r="A341" s="8"/>
      <c r="B341" s="8"/>
      <c r="C341" s="8"/>
      <c r="D341" s="8"/>
      <c r="E341" s="8"/>
      <c r="F341" s="8"/>
      <c r="G341" s="8"/>
      <c r="H341" s="8"/>
      <c r="I341" s="11"/>
      <c r="J341" s="1157"/>
      <c r="K341" s="1157"/>
      <c r="L341" s="1208"/>
      <c r="M341" s="1208"/>
      <c r="N341" s="1208"/>
      <c r="O341" s="1208"/>
      <c r="P341" s="40"/>
      <c r="Q341" s="8"/>
      <c r="R341" s="8"/>
      <c r="S341" s="8"/>
      <c r="T341" s="8"/>
      <c r="U341" s="8"/>
      <c r="V341" s="714"/>
      <c r="W341" s="714"/>
      <c r="X341" s="714"/>
      <c r="Y341" s="714"/>
      <c r="Z341" s="714"/>
      <c r="AA341" s="714"/>
      <c r="AB341" s="714"/>
      <c r="AC341" s="714"/>
      <c r="AD341" s="714"/>
      <c r="AE341" s="714"/>
      <c r="AF341" s="714"/>
      <c r="AG341" s="714"/>
      <c r="AH341" s="714"/>
      <c r="AI341" s="714"/>
      <c r="AJ341" s="714"/>
      <c r="AK341" s="714"/>
      <c r="AL341" s="714"/>
      <c r="AM341" s="714"/>
      <c r="AN341" s="714"/>
      <c r="AO341" s="714"/>
      <c r="AP341" s="714"/>
      <c r="AQ341" s="716"/>
    </row>
    <row r="342" spans="1:43" s="708" customFormat="1" ht="12.75" customHeight="1" x14ac:dyDescent="0.25">
      <c r="A342" s="8"/>
      <c r="B342" s="8"/>
      <c r="C342" s="8"/>
      <c r="D342" s="8"/>
      <c r="E342" s="8"/>
      <c r="F342" s="8"/>
      <c r="G342" s="8"/>
      <c r="H342" s="8"/>
      <c r="I342" s="8"/>
      <c r="J342" s="1156"/>
      <c r="K342" s="1156"/>
      <c r="L342" s="1207"/>
      <c r="M342" s="1207"/>
      <c r="N342" s="1621" t="s">
        <v>483</v>
      </c>
      <c r="O342" s="1622"/>
      <c r="P342" s="1622"/>
      <c r="Q342" s="1623"/>
      <c r="R342" s="8"/>
      <c r="S342" s="8"/>
      <c r="T342" s="8"/>
      <c r="U342" s="8"/>
      <c r="V342" s="714"/>
      <c r="W342" s="714"/>
      <c r="X342" s="714"/>
      <c r="Y342" s="714"/>
      <c r="Z342" s="714"/>
      <c r="AA342" s="714"/>
      <c r="AB342" s="714"/>
      <c r="AC342" s="714"/>
      <c r="AD342" s="714"/>
      <c r="AE342" s="714"/>
      <c r="AF342" s="714"/>
      <c r="AG342" s="714"/>
      <c r="AH342" s="714"/>
      <c r="AI342" s="714"/>
      <c r="AJ342" s="714"/>
      <c r="AK342" s="714"/>
      <c r="AL342" s="714"/>
      <c r="AM342" s="714"/>
      <c r="AN342" s="714"/>
      <c r="AO342" s="714"/>
      <c r="AP342" s="714"/>
      <c r="AQ342" s="716"/>
    </row>
    <row r="343" spans="1:43" s="708" customFormat="1" ht="12.75" customHeight="1" x14ac:dyDescent="0.25">
      <c r="A343" s="8"/>
      <c r="B343" s="8"/>
      <c r="C343" s="8"/>
      <c r="D343" s="8"/>
      <c r="E343" s="8"/>
      <c r="F343" s="8"/>
      <c r="G343" s="8"/>
      <c r="H343" s="8"/>
      <c r="I343" s="8"/>
      <c r="J343" s="1156"/>
      <c r="K343" s="1156"/>
      <c r="L343" s="1207"/>
      <c r="M343" s="1207"/>
      <c r="N343" s="1577" t="s">
        <v>201</v>
      </c>
      <c r="O343" s="1578"/>
      <c r="P343" s="1579" t="s">
        <v>202</v>
      </c>
      <c r="Q343" s="1580"/>
      <c r="R343" s="8"/>
      <c r="S343" s="8"/>
      <c r="T343" s="8"/>
      <c r="U343" s="8"/>
      <c r="V343" s="714"/>
      <c r="W343" s="714"/>
      <c r="X343" s="714"/>
      <c r="Y343" s="714"/>
      <c r="Z343" s="714"/>
      <c r="AA343" s="714"/>
      <c r="AB343" s="714"/>
      <c r="AC343" s="714"/>
      <c r="AD343" s="714"/>
      <c r="AE343" s="714"/>
      <c r="AF343" s="714"/>
      <c r="AG343" s="714"/>
      <c r="AH343" s="714"/>
      <c r="AI343" s="714"/>
      <c r="AJ343" s="714"/>
      <c r="AK343" s="714"/>
      <c r="AL343" s="714"/>
      <c r="AM343" s="714"/>
      <c r="AN343" s="714"/>
      <c r="AO343" s="714"/>
      <c r="AP343" s="714"/>
      <c r="AQ343" s="716"/>
    </row>
    <row r="344" spans="1:43" s="708" customFormat="1" ht="12.75" customHeight="1" x14ac:dyDescent="0.25">
      <c r="A344" s="8"/>
      <c r="B344" s="8"/>
      <c r="C344" s="11" t="s">
        <v>484</v>
      </c>
      <c r="D344" s="712"/>
      <c r="E344" s="11"/>
      <c r="F344" s="11"/>
      <c r="G344" s="11"/>
      <c r="H344" s="11"/>
      <c r="I344" s="11"/>
      <c r="J344" s="1157" t="s">
        <v>435</v>
      </c>
      <c r="K344" s="1157"/>
      <c r="L344" s="1208"/>
      <c r="M344" s="1208"/>
      <c r="N344" s="1638">
        <v>9.8897241760966093E-2</v>
      </c>
      <c r="O344" s="1639"/>
      <c r="P344" s="2051">
        <v>9.3171290449344718E-2</v>
      </c>
      <c r="Q344" s="2052"/>
      <c r="R344" s="8"/>
      <c r="S344" s="8"/>
      <c r="T344" s="8"/>
      <c r="U344" s="8"/>
      <c r="V344" s="714"/>
      <c r="W344" s="714"/>
      <c r="X344" s="714"/>
      <c r="Y344" s="714"/>
      <c r="Z344" s="714"/>
      <c r="AA344" s="714"/>
      <c r="AB344" s="714"/>
      <c r="AC344" s="714"/>
      <c r="AD344" s="714"/>
      <c r="AE344" s="714"/>
      <c r="AF344" s="714"/>
      <c r="AG344" s="714"/>
      <c r="AH344" s="714"/>
      <c r="AI344" s="714"/>
      <c r="AJ344" s="714"/>
      <c r="AK344" s="714"/>
      <c r="AL344" s="714"/>
      <c r="AM344" s="714"/>
      <c r="AN344" s="714"/>
      <c r="AO344" s="714"/>
      <c r="AP344" s="714"/>
      <c r="AQ344" s="716"/>
    </row>
    <row r="345" spans="1:43" s="708" customFormat="1" ht="12.75" customHeight="1" x14ac:dyDescent="0.25">
      <c r="A345" s="8"/>
      <c r="B345" s="8"/>
      <c r="C345" s="712"/>
      <c r="D345" s="8" t="s">
        <v>485</v>
      </c>
      <c r="E345" s="712"/>
      <c r="F345" s="11"/>
      <c r="G345" s="11"/>
      <c r="H345" s="11"/>
      <c r="I345" s="11"/>
      <c r="J345" s="1156" t="s">
        <v>435</v>
      </c>
      <c r="K345" s="1156"/>
      <c r="L345" s="1207"/>
      <c r="M345" s="1208"/>
      <c r="N345" s="1536">
        <v>9.2667334686651212E-2</v>
      </c>
      <c r="O345" s="2034"/>
      <c r="P345" s="2039">
        <v>8.7302140550471544E-2</v>
      </c>
      <c r="Q345" s="2040"/>
      <c r="R345" s="8"/>
      <c r="S345" s="8"/>
      <c r="T345" s="8"/>
      <c r="U345" s="8"/>
      <c r="V345" s="714"/>
      <c r="W345" s="714"/>
      <c r="X345" s="714"/>
      <c r="Y345" s="714"/>
      <c r="Z345" s="714"/>
      <c r="AA345" s="714"/>
      <c r="AB345" s="714"/>
      <c r="AC345" s="714"/>
      <c r="AD345" s="714"/>
      <c r="AE345" s="714"/>
      <c r="AF345" s="714"/>
      <c r="AG345" s="714"/>
      <c r="AH345" s="714"/>
      <c r="AI345" s="714"/>
      <c r="AJ345" s="714"/>
      <c r="AK345" s="714"/>
      <c r="AL345" s="714"/>
      <c r="AM345" s="714"/>
      <c r="AN345" s="714"/>
      <c r="AO345" s="714"/>
      <c r="AP345" s="714"/>
      <c r="AQ345" s="716"/>
    </row>
    <row r="346" spans="1:43" s="708" customFormat="1" ht="12.75" customHeight="1" x14ac:dyDescent="0.25">
      <c r="A346" s="8"/>
      <c r="B346" s="8"/>
      <c r="C346" s="712"/>
      <c r="D346" s="8" t="s">
        <v>521</v>
      </c>
      <c r="E346" s="712"/>
      <c r="F346" s="11"/>
      <c r="G346" s="11"/>
      <c r="H346" s="11"/>
      <c r="I346" s="11"/>
      <c r="J346" s="1156" t="s">
        <v>435</v>
      </c>
      <c r="K346" s="1156"/>
      <c r="L346" s="1207"/>
      <c r="M346" s="1208"/>
      <c r="N346" s="2029">
        <v>6.2299070743148839E-3</v>
      </c>
      <c r="O346" s="2036"/>
      <c r="P346" s="2041">
        <v>5.8691498988731744E-3</v>
      </c>
      <c r="Q346" s="2042"/>
      <c r="R346" s="8"/>
      <c r="S346" s="8"/>
      <c r="T346" s="8"/>
      <c r="U346" s="8"/>
      <c r="V346" s="714"/>
      <c r="W346" s="714"/>
      <c r="X346" s="714"/>
      <c r="Y346" s="714"/>
      <c r="Z346" s="714"/>
      <c r="AA346" s="714"/>
      <c r="AB346" s="714"/>
      <c r="AC346" s="714"/>
      <c r="AD346" s="714"/>
      <c r="AE346" s="714"/>
      <c r="AF346" s="714"/>
      <c r="AG346" s="714"/>
      <c r="AH346" s="714"/>
      <c r="AI346" s="714"/>
      <c r="AJ346" s="714"/>
      <c r="AK346" s="714"/>
      <c r="AL346" s="714"/>
      <c r="AM346" s="714"/>
      <c r="AN346" s="714"/>
      <c r="AO346" s="714"/>
      <c r="AP346" s="714"/>
      <c r="AQ346" s="716"/>
    </row>
    <row r="347" spans="1:43" s="708" customFormat="1" ht="12.75" customHeight="1" x14ac:dyDescent="0.25">
      <c r="A347" s="8"/>
      <c r="B347" s="8"/>
      <c r="C347" s="8"/>
      <c r="D347" s="8"/>
      <c r="E347" s="8"/>
      <c r="F347" s="8"/>
      <c r="G347" s="8"/>
      <c r="H347" s="8"/>
      <c r="I347" s="11"/>
      <c r="J347" s="1157"/>
      <c r="K347" s="1157"/>
      <c r="L347" s="1208"/>
      <c r="M347" s="1208"/>
      <c r="N347" s="1208"/>
      <c r="O347" s="1208"/>
      <c r="P347" s="40"/>
      <c r="Q347" s="8"/>
      <c r="R347" s="8"/>
      <c r="S347" s="8"/>
      <c r="T347" s="8"/>
      <c r="U347" s="8"/>
      <c r="V347" s="714"/>
      <c r="W347" s="714"/>
      <c r="X347" s="714"/>
      <c r="Y347" s="714"/>
      <c r="Z347" s="714"/>
      <c r="AA347" s="714"/>
      <c r="AB347" s="714"/>
      <c r="AC347" s="714"/>
      <c r="AD347" s="714"/>
      <c r="AE347" s="714"/>
      <c r="AF347" s="714"/>
      <c r="AG347" s="714"/>
      <c r="AH347" s="714"/>
      <c r="AI347" s="714"/>
      <c r="AJ347" s="714"/>
      <c r="AK347" s="714"/>
      <c r="AL347" s="714"/>
      <c r="AM347" s="714"/>
      <c r="AN347" s="714"/>
      <c r="AO347" s="714"/>
      <c r="AP347" s="714"/>
      <c r="AQ347" s="716"/>
    </row>
    <row r="348" spans="1:43" s="708" customFormat="1" ht="12.75" customHeight="1" x14ac:dyDescent="0.25">
      <c r="A348" s="8"/>
      <c r="B348" s="8"/>
      <c r="C348" s="8"/>
      <c r="D348" s="8"/>
      <c r="E348" s="8"/>
      <c r="F348" s="8"/>
      <c r="G348" s="8"/>
      <c r="H348" s="8"/>
      <c r="I348" s="8"/>
      <c r="J348" s="1157"/>
      <c r="K348" s="1157"/>
      <c r="L348" s="1208"/>
      <c r="M348" s="1208"/>
      <c r="N348" s="1574" t="s">
        <v>483</v>
      </c>
      <c r="O348" s="1575"/>
      <c r="P348" s="1575"/>
      <c r="Q348" s="1576"/>
      <c r="R348" s="8"/>
      <c r="S348" s="8"/>
      <c r="T348" s="8"/>
      <c r="U348" s="8"/>
      <c r="V348" s="714"/>
      <c r="W348" s="714"/>
      <c r="X348" s="714"/>
      <c r="Y348" s="714"/>
      <c r="Z348" s="714"/>
      <c r="AA348" s="714"/>
      <c r="AB348" s="714"/>
      <c r="AC348" s="714"/>
      <c r="AD348" s="714"/>
      <c r="AE348" s="714"/>
      <c r="AF348" s="714"/>
      <c r="AG348" s="714"/>
      <c r="AH348" s="714"/>
      <c r="AI348" s="714"/>
      <c r="AJ348" s="714"/>
      <c r="AK348" s="714"/>
      <c r="AL348" s="714"/>
      <c r="AM348" s="714"/>
      <c r="AN348" s="714"/>
      <c r="AO348" s="714"/>
      <c r="AP348" s="714"/>
      <c r="AQ348" s="716"/>
    </row>
    <row r="349" spans="1:43" s="708" customFormat="1" ht="12.75" customHeight="1" x14ac:dyDescent="0.25">
      <c r="A349" s="8"/>
      <c r="B349" s="8"/>
      <c r="C349" s="11"/>
      <c r="D349" s="11"/>
      <c r="E349" s="11"/>
      <c r="F349" s="11"/>
      <c r="G349" s="11"/>
      <c r="H349" s="11"/>
      <c r="I349" s="8"/>
      <c r="J349" s="1157"/>
      <c r="K349" s="1157"/>
      <c r="L349" s="1208"/>
      <c r="M349" s="1208"/>
      <c r="N349" s="1577" t="s">
        <v>201</v>
      </c>
      <c r="O349" s="1578"/>
      <c r="P349" s="1579" t="s">
        <v>202</v>
      </c>
      <c r="Q349" s="1580"/>
      <c r="R349" s="8"/>
      <c r="S349" s="8"/>
      <c r="T349" s="8"/>
      <c r="U349" s="8"/>
      <c r="V349" s="714"/>
      <c r="W349" s="714"/>
      <c r="X349" s="714"/>
      <c r="Y349" s="714"/>
      <c r="Z349" s="714"/>
      <c r="AA349" s="714"/>
      <c r="AB349" s="714"/>
      <c r="AC349" s="714"/>
      <c r="AD349" s="714"/>
      <c r="AE349" s="714"/>
      <c r="AF349" s="714"/>
      <c r="AG349" s="714"/>
      <c r="AH349" s="714"/>
      <c r="AI349" s="714"/>
      <c r="AJ349" s="714"/>
      <c r="AK349" s="714"/>
      <c r="AL349" s="714"/>
      <c r="AM349" s="714"/>
      <c r="AN349" s="714"/>
      <c r="AO349" s="714"/>
      <c r="AP349" s="714"/>
      <c r="AQ349" s="716"/>
    </row>
    <row r="350" spans="1:43" s="708" customFormat="1" ht="12.75" customHeight="1" x14ac:dyDescent="0.25">
      <c r="A350" s="8"/>
      <c r="B350" s="8"/>
      <c r="C350" s="11" t="s">
        <v>146</v>
      </c>
      <c r="D350" s="11"/>
      <c r="E350" s="11"/>
      <c r="F350" s="11"/>
      <c r="G350" s="11"/>
      <c r="H350" s="11"/>
      <c r="I350" s="8"/>
      <c r="J350" s="1157"/>
      <c r="K350" s="1157"/>
      <c r="L350" s="1208"/>
      <c r="M350" s="1208"/>
      <c r="N350" s="1587"/>
      <c r="O350" s="1588"/>
      <c r="P350" s="1583"/>
      <c r="Q350" s="1584"/>
      <c r="R350" s="8"/>
      <c r="S350" s="8"/>
      <c r="T350" s="8"/>
      <c r="U350" s="8"/>
      <c r="V350" s="714"/>
      <c r="W350" s="714"/>
      <c r="X350" s="714"/>
      <c r="Y350" s="714"/>
      <c r="Z350" s="714"/>
      <c r="AA350" s="714"/>
      <c r="AB350" s="714"/>
      <c r="AC350" s="714"/>
      <c r="AD350" s="714"/>
      <c r="AE350" s="714"/>
      <c r="AF350" s="714"/>
      <c r="AG350" s="714"/>
      <c r="AH350" s="714"/>
      <c r="AI350" s="714"/>
      <c r="AJ350" s="714"/>
      <c r="AK350" s="714"/>
      <c r="AL350" s="714"/>
      <c r="AM350" s="714"/>
      <c r="AN350" s="714"/>
      <c r="AO350" s="714"/>
      <c r="AP350" s="714"/>
      <c r="AQ350" s="716"/>
    </row>
    <row r="351" spans="1:43" s="708" customFormat="1" ht="12.75" customHeight="1" x14ac:dyDescent="0.25">
      <c r="A351" s="8"/>
      <c r="B351" s="8"/>
      <c r="C351" s="11"/>
      <c r="D351" s="11" t="s">
        <v>246</v>
      </c>
      <c r="E351" s="11"/>
      <c r="F351" s="11"/>
      <c r="G351" s="11"/>
      <c r="H351" s="11"/>
      <c r="I351" s="8"/>
      <c r="J351" s="1157"/>
      <c r="K351" s="1157"/>
      <c r="L351" s="1208"/>
      <c r="M351" s="1208"/>
      <c r="N351" s="1585">
        <v>1.4712145984853697</v>
      </c>
      <c r="O351" s="1586"/>
      <c r="P351" s="2049">
        <v>1.7097240383060428</v>
      </c>
      <c r="Q351" s="2050"/>
      <c r="R351" s="8"/>
      <c r="S351" s="8"/>
      <c r="T351" s="8"/>
      <c r="U351" s="8"/>
      <c r="V351" s="714"/>
      <c r="W351" s="714"/>
      <c r="X351" s="714"/>
      <c r="Y351" s="714"/>
      <c r="Z351" s="714"/>
      <c r="AA351" s="714"/>
      <c r="AB351" s="714"/>
      <c r="AC351" s="714"/>
      <c r="AD351" s="714"/>
      <c r="AE351" s="714"/>
      <c r="AF351" s="714"/>
      <c r="AG351" s="714"/>
      <c r="AH351" s="714"/>
      <c r="AI351" s="714"/>
      <c r="AJ351" s="714"/>
      <c r="AK351" s="714"/>
      <c r="AL351" s="714"/>
      <c r="AM351" s="714"/>
      <c r="AN351" s="714"/>
      <c r="AO351" s="714"/>
      <c r="AP351" s="714"/>
      <c r="AQ351" s="716"/>
    </row>
    <row r="352" spans="1:43" s="708" customFormat="1" ht="12.75" customHeight="1" x14ac:dyDescent="0.25">
      <c r="A352" s="8"/>
      <c r="B352" s="8"/>
      <c r="C352" s="8"/>
      <c r="D352" s="8" t="s">
        <v>490</v>
      </c>
      <c r="E352" s="8"/>
      <c r="F352" s="8"/>
      <c r="G352" s="8"/>
      <c r="H352" s="8"/>
      <c r="I352" s="8"/>
      <c r="J352" s="1156" t="s">
        <v>437</v>
      </c>
      <c r="K352" s="1156"/>
      <c r="L352" s="1207"/>
      <c r="M352" s="1207"/>
      <c r="N352" s="1547">
        <v>934558832.11678815</v>
      </c>
      <c r="O352" s="1548"/>
      <c r="P352" s="2037">
        <v>934558832.11678815</v>
      </c>
      <c r="Q352" s="2038"/>
      <c r="R352" s="8"/>
      <c r="S352" s="8"/>
      <c r="T352" s="8"/>
      <c r="U352" s="8"/>
      <c r="V352" s="714"/>
      <c r="W352" s="714"/>
      <c r="X352" s="714"/>
      <c r="Y352" s="714"/>
      <c r="Z352" s="714"/>
      <c r="AA352" s="714"/>
      <c r="AB352" s="714"/>
      <c r="AC352" s="714"/>
      <c r="AD352" s="714"/>
      <c r="AE352" s="714"/>
      <c r="AF352" s="714"/>
      <c r="AG352" s="714"/>
      <c r="AH352" s="714"/>
      <c r="AI352" s="714"/>
      <c r="AJ352" s="714"/>
      <c r="AK352" s="714"/>
      <c r="AL352" s="714"/>
      <c r="AM352" s="714"/>
      <c r="AN352" s="714"/>
      <c r="AO352" s="714"/>
      <c r="AP352" s="714"/>
      <c r="AQ352" s="716"/>
    </row>
    <row r="353" spans="1:43" s="708" customFormat="1" ht="12.75" customHeight="1" x14ac:dyDescent="0.25">
      <c r="A353" s="8"/>
      <c r="B353" s="8"/>
      <c r="C353" s="8"/>
      <c r="D353" s="1158" t="s">
        <v>563</v>
      </c>
      <c r="E353" s="8"/>
      <c r="F353" s="8"/>
      <c r="G353" s="8"/>
      <c r="H353" s="8"/>
      <c r="I353" s="8"/>
      <c r="J353" s="1156" t="s">
        <v>437</v>
      </c>
      <c r="K353" s="1156"/>
      <c r="L353" s="1207"/>
      <c r="M353" s="1207"/>
      <c r="N353" s="1547">
        <v>634453380.10621774</v>
      </c>
      <c r="O353" s="1548"/>
      <c r="P353" s="2037">
        <v>542225065.89193404</v>
      </c>
      <c r="Q353" s="2038"/>
      <c r="R353" s="8"/>
      <c r="S353" s="8"/>
      <c r="T353" s="8"/>
      <c r="U353" s="8"/>
      <c r="V353" s="714"/>
      <c r="W353" s="714"/>
      <c r="X353" s="714"/>
      <c r="Y353" s="714"/>
      <c r="Z353" s="714"/>
      <c r="AA353" s="714"/>
      <c r="AB353" s="714"/>
      <c r="AC353" s="714"/>
      <c r="AD353" s="714"/>
      <c r="AE353" s="714"/>
      <c r="AF353" s="714"/>
      <c r="AG353" s="714"/>
      <c r="AH353" s="714"/>
      <c r="AI353" s="714"/>
      <c r="AJ353" s="714"/>
      <c r="AK353" s="714"/>
      <c r="AL353" s="714"/>
      <c r="AM353" s="714"/>
      <c r="AN353" s="714"/>
      <c r="AO353" s="714"/>
      <c r="AP353" s="714"/>
      <c r="AQ353" s="716"/>
    </row>
    <row r="354" spans="1:43" s="708" customFormat="1" ht="12.75" customHeight="1" x14ac:dyDescent="0.25">
      <c r="A354" s="8"/>
      <c r="B354" s="8"/>
      <c r="C354" s="8"/>
      <c r="D354" s="8" t="s">
        <v>307</v>
      </c>
      <c r="E354" s="8"/>
      <c r="F354" s="8"/>
      <c r="G354" s="8"/>
      <c r="H354" s="8"/>
      <c r="I354" s="8"/>
      <c r="J354" s="1156" t="s">
        <v>437</v>
      </c>
      <c r="K354" s="1156"/>
      <c r="L354" s="1207"/>
      <c r="M354" s="1207"/>
      <c r="N354" s="1547">
        <v>0</v>
      </c>
      <c r="O354" s="1548"/>
      <c r="P354" s="2037">
        <v>0</v>
      </c>
      <c r="Q354" s="2038"/>
      <c r="R354" s="8"/>
      <c r="S354" s="8"/>
      <c r="T354" s="8"/>
      <c r="U354" s="8"/>
      <c r="V354" s="714"/>
      <c r="W354" s="714"/>
      <c r="X354" s="714"/>
      <c r="Y354" s="714"/>
      <c r="Z354" s="714"/>
      <c r="AA354" s="714"/>
      <c r="AB354" s="714"/>
      <c r="AC354" s="714"/>
      <c r="AD354" s="714"/>
      <c r="AE354" s="714"/>
      <c r="AF354" s="714"/>
      <c r="AG354" s="714"/>
      <c r="AH354" s="714"/>
      <c r="AI354" s="714"/>
      <c r="AJ354" s="714"/>
      <c r="AK354" s="714"/>
      <c r="AL354" s="714"/>
      <c r="AM354" s="714"/>
      <c r="AN354" s="714"/>
      <c r="AO354" s="714"/>
      <c r="AP354" s="714"/>
      <c r="AQ354" s="716"/>
    </row>
    <row r="355" spans="1:43" s="708" customFormat="1" ht="12.75" customHeight="1" x14ac:dyDescent="0.25">
      <c r="A355" s="8"/>
      <c r="B355" s="8"/>
      <c r="C355" s="8"/>
      <c r="D355" s="8" t="s">
        <v>306</v>
      </c>
      <c r="E355" s="8"/>
      <c r="F355" s="8"/>
      <c r="G355" s="8"/>
      <c r="H355" s="8"/>
      <c r="I355" s="8"/>
      <c r="J355" s="1156" t="s">
        <v>437</v>
      </c>
      <c r="K355" s="1156"/>
      <c r="L355" s="1207"/>
      <c r="M355" s="1207"/>
      <c r="N355" s="1547">
        <v>776064.38062053395</v>
      </c>
      <c r="O355" s="1548"/>
      <c r="P355" s="2037">
        <v>4388780.0727800559</v>
      </c>
      <c r="Q355" s="2038"/>
      <c r="R355" s="8"/>
      <c r="S355" s="8"/>
      <c r="T355" s="8"/>
      <c r="U355" s="8"/>
      <c r="V355" s="714"/>
      <c r="W355" s="714"/>
      <c r="X355" s="714"/>
      <c r="Y355" s="714"/>
      <c r="Z355" s="714"/>
      <c r="AA355" s="714"/>
      <c r="AB355" s="714"/>
      <c r="AC355" s="714"/>
      <c r="AD355" s="714"/>
      <c r="AE355" s="714"/>
      <c r="AF355" s="714"/>
      <c r="AG355" s="714"/>
      <c r="AH355" s="714"/>
      <c r="AI355" s="714"/>
      <c r="AJ355" s="714"/>
      <c r="AK355" s="714"/>
      <c r="AL355" s="714"/>
      <c r="AM355" s="714"/>
      <c r="AN355" s="714"/>
      <c r="AO355" s="714"/>
      <c r="AP355" s="714"/>
      <c r="AQ355" s="716"/>
    </row>
    <row r="356" spans="1:43" s="708" customFormat="1" ht="12.75" customHeight="1" x14ac:dyDescent="0.25">
      <c r="A356" s="8"/>
      <c r="B356" s="8"/>
      <c r="C356" s="8"/>
      <c r="D356" s="8"/>
      <c r="E356" s="8"/>
      <c r="F356" s="8"/>
      <c r="G356" s="8"/>
      <c r="H356" s="8"/>
      <c r="I356" s="8"/>
      <c r="J356" s="1156"/>
      <c r="K356" s="1156"/>
      <c r="L356" s="1207"/>
      <c r="M356" s="1207"/>
      <c r="N356" s="1438"/>
      <c r="O356" s="1437"/>
      <c r="P356" s="1439"/>
      <c r="Q356" s="1440"/>
      <c r="R356" s="8"/>
      <c r="S356" s="8"/>
      <c r="T356" s="8"/>
      <c r="U356" s="8"/>
      <c r="V356" s="714"/>
      <c r="W356" s="714"/>
      <c r="X356" s="714"/>
      <c r="Y356" s="714"/>
      <c r="Z356" s="714"/>
      <c r="AA356" s="714"/>
      <c r="AB356" s="714"/>
      <c r="AC356" s="714"/>
      <c r="AD356" s="714"/>
      <c r="AE356" s="714"/>
      <c r="AF356" s="714"/>
      <c r="AG356" s="714"/>
      <c r="AH356" s="714"/>
      <c r="AI356" s="714"/>
      <c r="AJ356" s="714"/>
      <c r="AK356" s="714"/>
      <c r="AL356" s="714"/>
      <c r="AM356" s="714"/>
      <c r="AN356" s="714"/>
      <c r="AO356" s="714"/>
      <c r="AP356" s="714"/>
      <c r="AQ356" s="716"/>
    </row>
    <row r="357" spans="1:43" s="708" customFormat="1" ht="12.75" customHeight="1" x14ac:dyDescent="0.25">
      <c r="A357" s="8"/>
      <c r="B357" s="8"/>
      <c r="C357" s="11" t="s">
        <v>147</v>
      </c>
      <c r="D357" s="8"/>
      <c r="E357" s="8"/>
      <c r="F357" s="8"/>
      <c r="G357" s="8"/>
      <c r="H357" s="8"/>
      <c r="I357" s="8"/>
      <c r="J357" s="1156"/>
      <c r="K357" s="1156"/>
      <c r="L357" s="1207"/>
      <c r="M357" s="1207"/>
      <c r="N357" s="1438"/>
      <c r="O357" s="1437"/>
      <c r="P357" s="1439"/>
      <c r="Q357" s="1440"/>
      <c r="R357" s="8"/>
      <c r="S357" s="8"/>
      <c r="T357" s="8"/>
      <c r="U357" s="8"/>
      <c r="V357" s="714"/>
      <c r="W357" s="714"/>
      <c r="X357" s="714"/>
      <c r="Y357" s="714"/>
      <c r="Z357" s="714"/>
      <c r="AA357" s="714"/>
      <c r="AB357" s="714"/>
      <c r="AC357" s="714"/>
      <c r="AD357" s="714"/>
      <c r="AE357" s="714"/>
      <c r="AF357" s="714"/>
      <c r="AG357" s="714"/>
      <c r="AH357" s="714"/>
      <c r="AI357" s="714"/>
      <c r="AJ357" s="714"/>
      <c r="AK357" s="714"/>
      <c r="AL357" s="714"/>
      <c r="AM357" s="714"/>
      <c r="AN357" s="714"/>
      <c r="AO357" s="714"/>
      <c r="AP357" s="714"/>
      <c r="AQ357" s="716"/>
    </row>
    <row r="358" spans="1:43" s="708" customFormat="1" ht="12.75" customHeight="1" x14ac:dyDescent="0.25">
      <c r="A358" s="8"/>
      <c r="B358" s="8"/>
      <c r="C358" s="8"/>
      <c r="D358" s="11" t="s">
        <v>246</v>
      </c>
      <c r="E358" s="11"/>
      <c r="F358" s="11"/>
      <c r="G358" s="11"/>
      <c r="H358" s="11"/>
      <c r="I358" s="8"/>
      <c r="J358" s="1157"/>
      <c r="K358" s="1157"/>
      <c r="L358" s="1208"/>
      <c r="M358" s="1208"/>
      <c r="N358" s="1598"/>
      <c r="O358" s="1590"/>
      <c r="P358" s="2049">
        <v>21.014567302266762</v>
      </c>
      <c r="Q358" s="2050"/>
      <c r="R358" s="8"/>
      <c r="S358" s="8"/>
      <c r="T358" s="8"/>
      <c r="U358" s="8"/>
      <c r="V358" s="714"/>
      <c r="W358" s="714"/>
      <c r="X358" s="714"/>
      <c r="Y358" s="714"/>
      <c r="Z358" s="714"/>
      <c r="AA358" s="714"/>
      <c r="AB358" s="714"/>
      <c r="AC358" s="714"/>
      <c r="AD358" s="714"/>
      <c r="AE358" s="714"/>
      <c r="AF358" s="714"/>
      <c r="AG358" s="714"/>
      <c r="AH358" s="714"/>
      <c r="AI358" s="714"/>
      <c r="AJ358" s="714"/>
      <c r="AK358" s="714"/>
      <c r="AL358" s="714"/>
      <c r="AM358" s="714"/>
      <c r="AN358" s="714"/>
      <c r="AO358" s="714"/>
      <c r="AP358" s="714"/>
      <c r="AQ358" s="716"/>
    </row>
    <row r="359" spans="1:43" s="708" customFormat="1" ht="12.75" customHeight="1" x14ac:dyDescent="0.25">
      <c r="A359" s="8"/>
      <c r="B359" s="8"/>
      <c r="C359" s="8"/>
      <c r="D359" s="8" t="s">
        <v>307</v>
      </c>
      <c r="E359" s="8"/>
      <c r="F359" s="8"/>
      <c r="G359" s="8"/>
      <c r="H359" s="8"/>
      <c r="I359" s="8"/>
      <c r="J359" s="1156" t="s">
        <v>437</v>
      </c>
      <c r="K359" s="1156"/>
      <c r="L359" s="1207"/>
      <c r="M359" s="1207"/>
      <c r="N359" s="1547">
        <v>0</v>
      </c>
      <c r="O359" s="1548"/>
      <c r="P359" s="2037">
        <v>0</v>
      </c>
      <c r="Q359" s="2038"/>
      <c r="R359" s="8"/>
      <c r="S359" s="8"/>
      <c r="T359" s="8"/>
      <c r="U359" s="8"/>
      <c r="V359" s="714"/>
      <c r="W359" s="714"/>
      <c r="X359" s="714"/>
      <c r="Y359" s="714"/>
      <c r="Z359" s="714"/>
      <c r="AA359" s="714"/>
      <c r="AB359" s="714"/>
      <c r="AC359" s="714"/>
      <c r="AD359" s="714"/>
      <c r="AE359" s="714"/>
      <c r="AF359" s="714"/>
      <c r="AG359" s="714"/>
      <c r="AH359" s="714"/>
      <c r="AI359" s="714"/>
      <c r="AJ359" s="714"/>
      <c r="AK359" s="714"/>
      <c r="AL359" s="714"/>
      <c r="AM359" s="714"/>
      <c r="AN359" s="714"/>
      <c r="AO359" s="714"/>
      <c r="AP359" s="714"/>
      <c r="AQ359" s="716"/>
    </row>
    <row r="360" spans="1:43" s="708" customFormat="1" ht="12.75" customHeight="1" x14ac:dyDescent="0.25">
      <c r="A360" s="8"/>
      <c r="B360" s="8"/>
      <c r="C360" s="8"/>
      <c r="D360" s="8" t="s">
        <v>306</v>
      </c>
      <c r="E360" s="8"/>
      <c r="F360" s="8"/>
      <c r="G360" s="8"/>
      <c r="H360" s="8"/>
      <c r="I360" s="8"/>
      <c r="J360" s="1156" t="s">
        <v>437</v>
      </c>
      <c r="K360" s="1156"/>
      <c r="L360" s="1207"/>
      <c r="M360" s="1207"/>
      <c r="N360" s="1547">
        <v>776064.38062053395</v>
      </c>
      <c r="O360" s="1548"/>
      <c r="P360" s="2037">
        <v>4388780.0727800559</v>
      </c>
      <c r="Q360" s="2038"/>
      <c r="R360" s="8"/>
      <c r="S360" s="8"/>
      <c r="T360" s="8"/>
      <c r="U360" s="8"/>
      <c r="V360" s="714"/>
      <c r="W360" s="714"/>
      <c r="X360" s="714"/>
      <c r="Y360" s="714"/>
      <c r="Z360" s="714"/>
      <c r="AA360" s="714"/>
      <c r="AB360" s="714"/>
      <c r="AC360" s="714"/>
      <c r="AD360" s="714"/>
      <c r="AE360" s="714"/>
      <c r="AF360" s="714"/>
      <c r="AG360" s="714"/>
      <c r="AH360" s="714"/>
      <c r="AI360" s="714"/>
      <c r="AJ360" s="714"/>
      <c r="AK360" s="714"/>
      <c r="AL360" s="714"/>
      <c r="AM360" s="714"/>
      <c r="AN360" s="714"/>
      <c r="AO360" s="714"/>
      <c r="AP360" s="714"/>
      <c r="AQ360" s="716"/>
    </row>
    <row r="361" spans="1:43" s="708" customFormat="1" ht="12.75" customHeight="1" x14ac:dyDescent="0.25">
      <c r="A361" s="8"/>
      <c r="B361" s="8"/>
      <c r="C361" s="8"/>
      <c r="D361" s="1557" t="s">
        <v>564</v>
      </c>
      <c r="E361" s="1557"/>
      <c r="F361" s="1557"/>
      <c r="G361" s="1557"/>
      <c r="H361" s="1557"/>
      <c r="I361" s="1557"/>
      <c r="J361" s="1156" t="s">
        <v>437</v>
      </c>
      <c r="K361" s="1156"/>
      <c r="L361" s="1207"/>
      <c r="M361" s="1207"/>
      <c r="N361" s="1547">
        <v>634453380.10621774</v>
      </c>
      <c r="O361" s="1548"/>
      <c r="P361" s="2037">
        <v>542225065.89193404</v>
      </c>
      <c r="Q361" s="2038"/>
      <c r="R361" s="29"/>
      <c r="S361" s="8"/>
      <c r="T361" s="8"/>
      <c r="U361" s="8"/>
      <c r="V361" s="714"/>
      <c r="W361" s="714"/>
      <c r="X361" s="714"/>
      <c r="Y361" s="714"/>
      <c r="Z361" s="714"/>
      <c r="AA361" s="714"/>
      <c r="AB361" s="714"/>
      <c r="AC361" s="714"/>
      <c r="AD361" s="714"/>
      <c r="AE361" s="714"/>
      <c r="AF361" s="714"/>
      <c r="AG361" s="714"/>
      <c r="AH361" s="714"/>
      <c r="AI361" s="714"/>
      <c r="AJ361" s="714"/>
      <c r="AK361" s="714"/>
      <c r="AL361" s="714"/>
      <c r="AM361" s="714"/>
      <c r="AN361" s="714"/>
      <c r="AO361" s="714"/>
      <c r="AP361" s="714"/>
      <c r="AQ361" s="716"/>
    </row>
    <row r="362" spans="1:43" s="708" customFormat="1" ht="12.75" customHeight="1" x14ac:dyDescent="0.25">
      <c r="A362" s="757"/>
      <c r="B362" s="8"/>
      <c r="C362" s="8"/>
      <c r="D362" s="1557" t="s">
        <v>565</v>
      </c>
      <c r="E362" s="1557"/>
      <c r="F362" s="1557"/>
      <c r="G362" s="1557"/>
      <c r="H362" s="1557"/>
      <c r="I362" s="1557"/>
      <c r="J362" s="1156" t="s">
        <v>437</v>
      </c>
      <c r="K362" s="1156"/>
      <c r="L362" s="1207"/>
      <c r="M362" s="1207"/>
      <c r="N362" s="1598"/>
      <c r="O362" s="1590"/>
      <c r="P362" s="2037">
        <v>92228314.214283705</v>
      </c>
      <c r="Q362" s="2038"/>
      <c r="R362" s="8"/>
      <c r="S362" s="8"/>
      <c r="T362" s="8"/>
      <c r="U362" s="8"/>
      <c r="V362" s="714"/>
      <c r="W362" s="714"/>
      <c r="X362" s="714"/>
      <c r="Y362" s="714"/>
      <c r="Z362" s="714"/>
      <c r="AA362" s="714"/>
      <c r="AB362" s="714"/>
      <c r="AC362" s="714"/>
      <c r="AD362" s="714"/>
      <c r="AE362" s="714"/>
      <c r="AF362" s="714"/>
      <c r="AG362" s="714"/>
      <c r="AH362" s="714"/>
      <c r="AI362" s="714"/>
      <c r="AJ362" s="714"/>
      <c r="AK362" s="714"/>
      <c r="AL362" s="714"/>
      <c r="AM362" s="714"/>
      <c r="AN362" s="714"/>
      <c r="AO362" s="714"/>
      <c r="AP362" s="714"/>
      <c r="AQ362" s="716"/>
    </row>
    <row r="363" spans="1:43" s="708" customFormat="1" ht="12.75" customHeight="1" x14ac:dyDescent="0.25">
      <c r="A363" s="8"/>
      <c r="B363" s="8"/>
      <c r="C363" s="8"/>
      <c r="D363" s="8"/>
      <c r="E363" s="8"/>
      <c r="F363" s="8"/>
      <c r="G363" s="8"/>
      <c r="H363" s="8"/>
      <c r="I363" s="8"/>
      <c r="J363" s="1156"/>
      <c r="K363" s="1156"/>
      <c r="L363" s="1207"/>
      <c r="M363" s="1207"/>
      <c r="N363" s="1438"/>
      <c r="O363" s="1437"/>
      <c r="P363" s="1439"/>
      <c r="Q363" s="1440"/>
      <c r="R363" s="8"/>
      <c r="S363" s="8"/>
      <c r="T363" s="8"/>
      <c r="U363" s="8"/>
      <c r="V363" s="714"/>
      <c r="W363" s="714"/>
      <c r="X363" s="714"/>
      <c r="Y363" s="714"/>
      <c r="Z363" s="714"/>
      <c r="AA363" s="714"/>
      <c r="AB363" s="714"/>
      <c r="AC363" s="714"/>
      <c r="AD363" s="714"/>
      <c r="AE363" s="714"/>
      <c r="AF363" s="714"/>
      <c r="AG363" s="714"/>
      <c r="AH363" s="714"/>
      <c r="AI363" s="714"/>
      <c r="AJ363" s="714"/>
      <c r="AK363" s="714"/>
      <c r="AL363" s="714"/>
      <c r="AM363" s="714"/>
      <c r="AN363" s="714"/>
      <c r="AO363" s="714"/>
      <c r="AP363" s="714"/>
      <c r="AQ363" s="716"/>
    </row>
    <row r="364" spans="1:43" s="708" customFormat="1" ht="12.75" customHeight="1" x14ac:dyDescent="0.25">
      <c r="A364" s="8"/>
      <c r="B364" s="8"/>
      <c r="C364" s="11" t="s">
        <v>187</v>
      </c>
      <c r="D364" s="11"/>
      <c r="E364" s="11"/>
      <c r="F364" s="11"/>
      <c r="G364" s="11"/>
      <c r="H364" s="11"/>
      <c r="I364" s="8"/>
      <c r="J364" s="748"/>
      <c r="K364" s="748"/>
      <c r="L364" s="748"/>
      <c r="M364" s="748"/>
      <c r="N364" s="1611"/>
      <c r="O364" s="1612"/>
      <c r="P364" s="1603"/>
      <c r="Q364" s="1604"/>
      <c r="R364" s="8"/>
      <c r="S364" s="8"/>
      <c r="T364" s="8"/>
      <c r="U364" s="8"/>
      <c r="V364" s="714"/>
      <c r="W364" s="714"/>
      <c r="X364" s="714"/>
      <c r="Y364" s="714"/>
      <c r="Z364" s="714"/>
      <c r="AA364" s="714"/>
      <c r="AB364" s="714"/>
      <c r="AC364" s="714"/>
      <c r="AD364" s="714"/>
      <c r="AE364" s="714"/>
      <c r="AF364" s="714"/>
      <c r="AG364" s="714"/>
      <c r="AH364" s="714"/>
      <c r="AI364" s="714"/>
      <c r="AJ364" s="714"/>
      <c r="AK364" s="714"/>
      <c r="AL364" s="714"/>
      <c r="AM364" s="714"/>
      <c r="AN364" s="714"/>
      <c r="AO364" s="714"/>
      <c r="AP364" s="714"/>
      <c r="AQ364" s="716"/>
    </row>
    <row r="365" spans="1:43" s="708" customFormat="1" ht="12.75" customHeight="1" x14ac:dyDescent="0.25">
      <c r="A365" s="8"/>
      <c r="B365" s="8"/>
      <c r="C365" s="8"/>
      <c r="D365" s="8" t="s">
        <v>491</v>
      </c>
      <c r="E365" s="8"/>
      <c r="F365" s="8"/>
      <c r="G365" s="8"/>
      <c r="H365" s="8"/>
      <c r="I365" s="8"/>
      <c r="J365" s="1156" t="s">
        <v>435</v>
      </c>
      <c r="K365" s="1156"/>
      <c r="L365" s="1207"/>
      <c r="M365" s="1207"/>
      <c r="N365" s="1609">
        <v>9.8897241760966093E-2</v>
      </c>
      <c r="O365" s="1610"/>
      <c r="P365" s="2045">
        <v>9.3171290449344718E-2</v>
      </c>
      <c r="Q365" s="2046"/>
      <c r="R365" s="8"/>
      <c r="S365" s="8"/>
      <c r="T365" s="8"/>
      <c r="U365" s="8"/>
      <c r="V365" s="714"/>
      <c r="W365" s="714"/>
      <c r="X365" s="714"/>
      <c r="Y365" s="714"/>
      <c r="Z365" s="714"/>
      <c r="AA365" s="714"/>
      <c r="AB365" s="714"/>
      <c r="AC365" s="714"/>
      <c r="AD365" s="714"/>
      <c r="AE365" s="714"/>
      <c r="AF365" s="714"/>
      <c r="AG365" s="714"/>
      <c r="AH365" s="714"/>
      <c r="AI365" s="714"/>
      <c r="AJ365" s="714"/>
      <c r="AK365" s="714"/>
      <c r="AL365" s="714"/>
      <c r="AM365" s="714"/>
      <c r="AN365" s="714"/>
      <c r="AO365" s="714"/>
      <c r="AP365" s="714"/>
      <c r="AQ365" s="716"/>
    </row>
    <row r="366" spans="1:43" s="708" customFormat="1" ht="12.75" customHeight="1" x14ac:dyDescent="0.25">
      <c r="A366" s="8"/>
      <c r="B366" s="8"/>
      <c r="C366" s="8"/>
      <c r="D366" s="8" t="s">
        <v>492</v>
      </c>
      <c r="E366" s="8"/>
      <c r="F366" s="8"/>
      <c r="G366" s="8"/>
      <c r="H366" s="8"/>
      <c r="I366" s="8"/>
      <c r="J366" s="1156" t="s">
        <v>16</v>
      </c>
      <c r="K366" s="1156"/>
      <c r="L366" s="1207"/>
      <c r="M366" s="1207"/>
      <c r="N366" s="1443"/>
      <c r="O366" s="1437"/>
      <c r="P366" s="2002">
        <v>-5.7897987948551277E-2</v>
      </c>
      <c r="Q366" s="2003"/>
      <c r="R366" s="8"/>
      <c r="S366" s="8"/>
      <c r="T366" s="8"/>
      <c r="U366" s="8"/>
      <c r="V366" s="714"/>
      <c r="W366" s="714"/>
      <c r="X366" s="714"/>
      <c r="Y366" s="714"/>
      <c r="Z366" s="714"/>
      <c r="AA366" s="714"/>
      <c r="AB366" s="714"/>
      <c r="AC366" s="714"/>
      <c r="AD366" s="714"/>
      <c r="AE366" s="714"/>
      <c r="AF366" s="714"/>
      <c r="AG366" s="714"/>
      <c r="AH366" s="714"/>
      <c r="AI366" s="714"/>
      <c r="AJ366" s="714"/>
      <c r="AK366" s="714"/>
      <c r="AL366" s="714"/>
      <c r="AM366" s="714"/>
      <c r="AN366" s="714"/>
      <c r="AO366" s="714"/>
      <c r="AP366" s="714"/>
      <c r="AQ366" s="716"/>
    </row>
    <row r="367" spans="1:43" s="708" customFormat="1" ht="12.75" customHeight="1" x14ac:dyDescent="0.25">
      <c r="A367" s="8"/>
      <c r="B367" s="8"/>
      <c r="C367" s="8"/>
      <c r="D367" s="8" t="s">
        <v>277</v>
      </c>
      <c r="E367" s="8"/>
      <c r="F367" s="8"/>
      <c r="G367" s="8"/>
      <c r="H367" s="8"/>
      <c r="I367" s="8"/>
      <c r="J367" s="1156" t="s">
        <v>435</v>
      </c>
      <c r="K367" s="1156"/>
      <c r="L367" s="1207"/>
      <c r="M367" s="1207"/>
      <c r="N367" s="1609">
        <v>5.9507503425933327E-2</v>
      </c>
      <c r="O367" s="1610"/>
      <c r="P367" s="2047">
        <v>5.9507503425933327E-2</v>
      </c>
      <c r="Q367" s="2048"/>
      <c r="R367" s="8"/>
      <c r="S367" s="8"/>
      <c r="T367" s="8"/>
      <c r="U367" s="8"/>
      <c r="V367" s="714"/>
      <c r="W367" s="714"/>
      <c r="X367" s="714"/>
      <c r="Y367" s="714"/>
      <c r="Z367" s="714"/>
      <c r="AA367" s="714"/>
      <c r="AB367" s="714"/>
      <c r="AC367" s="714"/>
      <c r="AD367" s="714"/>
      <c r="AE367" s="714"/>
      <c r="AF367" s="714"/>
      <c r="AG367" s="714"/>
      <c r="AH367" s="714"/>
      <c r="AI367" s="714"/>
      <c r="AJ367" s="714"/>
      <c r="AK367" s="714"/>
      <c r="AL367" s="714"/>
      <c r="AM367" s="714"/>
      <c r="AN367" s="714"/>
      <c r="AO367" s="714"/>
      <c r="AP367" s="714"/>
      <c r="AQ367" s="716"/>
    </row>
    <row r="368" spans="1:43" s="708" customFormat="1" ht="12.75" customHeight="1" x14ac:dyDescent="0.25">
      <c r="A368" s="8"/>
      <c r="B368" s="8"/>
      <c r="C368" s="8"/>
      <c r="D368" s="8" t="s">
        <v>308</v>
      </c>
      <c r="E368" s="8"/>
      <c r="F368" s="8"/>
      <c r="G368" s="8"/>
      <c r="H368" s="8"/>
      <c r="I368" s="8"/>
      <c r="J368" s="1156" t="s">
        <v>435</v>
      </c>
      <c r="K368" s="1156"/>
      <c r="L368" s="1207"/>
      <c r="M368" s="1207"/>
      <c r="N368" s="1609">
        <v>3.9389738335032766E-2</v>
      </c>
      <c r="O368" s="1610"/>
      <c r="P368" s="2047">
        <v>3.3663787023411391E-2</v>
      </c>
      <c r="Q368" s="2048"/>
      <c r="R368" s="8"/>
      <c r="S368" s="8"/>
      <c r="T368" s="8"/>
      <c r="U368" s="8"/>
      <c r="V368" s="714"/>
      <c r="W368" s="714"/>
      <c r="X368" s="714"/>
      <c r="Y368" s="714"/>
      <c r="Z368" s="714"/>
      <c r="AA368" s="714"/>
      <c r="AB368" s="714"/>
      <c r="AC368" s="714"/>
      <c r="AD368" s="714"/>
      <c r="AE368" s="714"/>
      <c r="AF368" s="714"/>
      <c r="AG368" s="714"/>
      <c r="AH368" s="714"/>
      <c r="AI368" s="714"/>
      <c r="AJ368" s="714"/>
      <c r="AK368" s="714"/>
      <c r="AL368" s="714"/>
      <c r="AM368" s="714"/>
      <c r="AN368" s="714"/>
      <c r="AO368" s="714"/>
      <c r="AP368" s="714"/>
      <c r="AQ368" s="716"/>
    </row>
    <row r="369" spans="1:45" s="708" customFormat="1" ht="12.75" customHeight="1" x14ac:dyDescent="0.25">
      <c r="A369" s="8"/>
      <c r="B369" s="8"/>
      <c r="C369" s="8"/>
      <c r="D369" s="8"/>
      <c r="E369" s="8"/>
      <c r="F369" s="8"/>
      <c r="G369" s="8"/>
      <c r="H369" s="8"/>
      <c r="I369" s="8"/>
      <c r="J369" s="1156"/>
      <c r="K369" s="1156"/>
      <c r="L369" s="1207"/>
      <c r="M369" s="1207"/>
      <c r="N369" s="1443"/>
      <c r="O369" s="1445"/>
      <c r="P369" s="1441"/>
      <c r="Q369" s="1442"/>
      <c r="R369" s="8"/>
      <c r="S369" s="8"/>
      <c r="T369" s="8"/>
      <c r="U369" s="8"/>
      <c r="V369" s="714"/>
      <c r="W369" s="714"/>
      <c r="X369" s="714"/>
      <c r="Y369" s="714"/>
      <c r="Z369" s="714"/>
      <c r="AA369" s="714"/>
      <c r="AB369" s="714"/>
      <c r="AC369" s="714"/>
      <c r="AD369" s="714"/>
      <c r="AE369" s="714"/>
      <c r="AF369" s="714"/>
      <c r="AG369" s="714"/>
      <c r="AH369" s="714"/>
      <c r="AI369" s="714"/>
      <c r="AJ369" s="714"/>
      <c r="AK369" s="714"/>
      <c r="AL369" s="714"/>
      <c r="AM369" s="714"/>
      <c r="AN369" s="714"/>
      <c r="AO369" s="714"/>
      <c r="AP369" s="714"/>
      <c r="AQ369" s="716"/>
    </row>
    <row r="370" spans="1:45" s="708" customFormat="1" ht="12.75" customHeight="1" x14ac:dyDescent="0.25">
      <c r="A370" s="8"/>
      <c r="B370" s="8"/>
      <c r="C370" s="11" t="s">
        <v>148</v>
      </c>
      <c r="D370" s="11"/>
      <c r="E370" s="11"/>
      <c r="F370" s="11"/>
      <c r="G370" s="11"/>
      <c r="H370" s="11"/>
      <c r="I370" s="8"/>
      <c r="J370" s="748"/>
      <c r="K370" s="748"/>
      <c r="L370" s="748"/>
      <c r="M370" s="748"/>
      <c r="N370" s="1611"/>
      <c r="O370" s="1612"/>
      <c r="P370" s="1603"/>
      <c r="Q370" s="1604"/>
      <c r="R370" s="8"/>
      <c r="S370" s="8"/>
      <c r="T370" s="8"/>
      <c r="U370" s="8"/>
      <c r="V370" s="714"/>
      <c r="W370" s="714"/>
      <c r="X370" s="714"/>
      <c r="Y370" s="714"/>
      <c r="Z370" s="714"/>
      <c r="AA370" s="714"/>
      <c r="AB370" s="714"/>
      <c r="AC370" s="714"/>
      <c r="AD370" s="714"/>
      <c r="AE370" s="714"/>
      <c r="AF370" s="714"/>
      <c r="AG370" s="714"/>
      <c r="AH370" s="714"/>
      <c r="AI370" s="714"/>
      <c r="AJ370" s="714"/>
      <c r="AK370" s="714"/>
      <c r="AL370" s="714"/>
      <c r="AM370" s="714"/>
      <c r="AN370" s="714"/>
      <c r="AO370" s="714"/>
      <c r="AP370" s="714"/>
      <c r="AQ370" s="716"/>
    </row>
    <row r="371" spans="1:45" s="708" customFormat="1" ht="12.75" customHeight="1" x14ac:dyDescent="0.25">
      <c r="A371" s="8"/>
      <c r="B371" s="8"/>
      <c r="C371" s="11"/>
      <c r="D371" s="1504"/>
      <c r="E371" s="1506" t="s">
        <v>689</v>
      </c>
      <c r="F371" s="1504"/>
      <c r="G371" s="1504"/>
      <c r="H371" s="1504"/>
      <c r="I371" s="1504"/>
      <c r="J371" s="1507" t="s">
        <v>438</v>
      </c>
      <c r="K371" s="1508"/>
      <c r="L371" s="1508"/>
      <c r="M371" s="1508"/>
      <c r="N371" s="1989">
        <v>50.423794143161373</v>
      </c>
      <c r="O371" s="1990"/>
      <c r="P371" s="1991">
        <v>43.093859941639309</v>
      </c>
      <c r="Q371" s="1992"/>
      <c r="R371" s="8"/>
      <c r="S371" s="8"/>
      <c r="T371" s="8"/>
      <c r="U371" s="8"/>
      <c r="V371" s="714"/>
      <c r="W371" s="714"/>
      <c r="X371" s="714"/>
      <c r="Y371" s="714"/>
      <c r="Z371" s="714"/>
      <c r="AA371" s="714"/>
      <c r="AB371" s="714"/>
      <c r="AC371" s="714"/>
      <c r="AD371" s="714"/>
      <c r="AE371" s="714"/>
      <c r="AF371" s="714"/>
      <c r="AG371" s="714"/>
      <c r="AH371" s="714"/>
      <c r="AI371" s="714"/>
      <c r="AJ371" s="714"/>
      <c r="AK371" s="714"/>
      <c r="AL371" s="714"/>
      <c r="AM371" s="714"/>
      <c r="AN371" s="714"/>
      <c r="AO371" s="714"/>
      <c r="AP371" s="714"/>
      <c r="AQ371" s="716"/>
    </row>
    <row r="372" spans="1:45" s="708" customFormat="1" ht="12.75" customHeight="1" x14ac:dyDescent="0.25">
      <c r="A372" s="8"/>
      <c r="B372" s="8"/>
      <c r="C372" s="11"/>
      <c r="D372" s="1504"/>
      <c r="E372" s="1506" t="s">
        <v>690</v>
      </c>
      <c r="F372" s="1504"/>
      <c r="G372" s="1504"/>
      <c r="H372" s="1504"/>
      <c r="I372" s="1504"/>
      <c r="J372" s="1507" t="s">
        <v>438</v>
      </c>
      <c r="K372" s="1508"/>
      <c r="L372" s="1508"/>
      <c r="M372" s="1508"/>
      <c r="N372" s="1989">
        <v>0</v>
      </c>
      <c r="O372" s="1990"/>
      <c r="P372" s="1991">
        <v>0</v>
      </c>
      <c r="Q372" s="1992"/>
      <c r="R372" s="8"/>
      <c r="S372" s="8"/>
      <c r="T372" s="8"/>
      <c r="U372" s="8"/>
      <c r="V372" s="714"/>
      <c r="W372" s="714"/>
      <c r="X372" s="714"/>
      <c r="Y372" s="714"/>
      <c r="Z372" s="714"/>
      <c r="AA372" s="714"/>
      <c r="AB372" s="714"/>
      <c r="AC372" s="714"/>
      <c r="AD372" s="714"/>
      <c r="AE372" s="714"/>
      <c r="AF372" s="714"/>
      <c r="AG372" s="714"/>
      <c r="AH372" s="714"/>
      <c r="AI372" s="714"/>
      <c r="AJ372" s="714"/>
      <c r="AK372" s="714"/>
      <c r="AL372" s="714"/>
      <c r="AM372" s="714"/>
      <c r="AN372" s="714"/>
      <c r="AO372" s="714"/>
      <c r="AP372" s="714"/>
      <c r="AQ372" s="716"/>
    </row>
    <row r="373" spans="1:45" s="708" customFormat="1" ht="12.75" customHeight="1" x14ac:dyDescent="0.25">
      <c r="A373" s="8"/>
      <c r="B373" s="8"/>
      <c r="C373" s="11"/>
      <c r="D373" s="1504"/>
      <c r="E373" s="1506" t="s">
        <v>691</v>
      </c>
      <c r="F373" s="1504"/>
      <c r="G373" s="1504"/>
      <c r="H373" s="1504"/>
      <c r="I373" s="1504"/>
      <c r="J373" s="1507" t="s">
        <v>438</v>
      </c>
      <c r="K373" s="1508"/>
      <c r="L373" s="1508"/>
      <c r="M373" s="1508"/>
      <c r="N373" s="1989">
        <v>6.1678464954664586E-2</v>
      </c>
      <c r="O373" s="1990"/>
      <c r="P373" s="1991">
        <v>0.34880252807924406</v>
      </c>
      <c r="Q373" s="1992"/>
      <c r="R373" s="8"/>
      <c r="S373" s="8"/>
      <c r="T373" s="8"/>
      <c r="U373" s="8"/>
      <c r="V373" s="714"/>
      <c r="W373" s="714"/>
      <c r="X373" s="714"/>
      <c r="Y373" s="714"/>
      <c r="Z373" s="714"/>
      <c r="AA373" s="714"/>
      <c r="AB373" s="714"/>
      <c r="AC373" s="714"/>
      <c r="AD373" s="714"/>
      <c r="AE373" s="714"/>
      <c r="AF373" s="714"/>
      <c r="AG373" s="714"/>
      <c r="AH373" s="714"/>
      <c r="AI373" s="714"/>
      <c r="AJ373" s="714"/>
      <c r="AK373" s="714"/>
      <c r="AL373" s="714"/>
      <c r="AM373" s="714"/>
      <c r="AN373" s="714"/>
      <c r="AO373" s="714"/>
      <c r="AP373" s="714"/>
      <c r="AQ373" s="716"/>
    </row>
    <row r="374" spans="1:45" s="708" customFormat="1" ht="12.75" customHeight="1" x14ac:dyDescent="0.25">
      <c r="A374" s="8"/>
      <c r="B374" s="8"/>
      <c r="C374" s="8"/>
      <c r="D374" s="1505" t="s">
        <v>692</v>
      </c>
      <c r="E374" s="1505"/>
      <c r="F374" s="1505"/>
      <c r="G374" s="1505"/>
      <c r="H374" s="1505"/>
      <c r="I374" s="1505"/>
      <c r="J374" s="1508" t="s">
        <v>438</v>
      </c>
      <c r="K374" s="1508"/>
      <c r="L374" s="1508"/>
      <c r="M374" s="1508"/>
      <c r="N374" s="2010">
        <v>50.485472608116041</v>
      </c>
      <c r="O374" s="2011"/>
      <c r="P374" s="2012">
        <v>43.442662469718556</v>
      </c>
      <c r="Q374" s="2013"/>
      <c r="R374" s="8"/>
      <c r="S374" s="8"/>
      <c r="T374" s="8"/>
      <c r="U374" s="8"/>
      <c r="V374" s="714"/>
      <c r="W374" s="714"/>
      <c r="X374" s="714"/>
      <c r="Y374" s="714"/>
      <c r="Z374" s="714"/>
      <c r="AA374" s="714"/>
      <c r="AB374" s="714"/>
      <c r="AC374" s="714"/>
      <c r="AD374" s="714"/>
      <c r="AE374" s="714"/>
      <c r="AF374" s="714"/>
      <c r="AG374" s="714"/>
      <c r="AH374" s="714"/>
      <c r="AI374" s="714"/>
      <c r="AJ374" s="714"/>
      <c r="AK374" s="714"/>
      <c r="AL374" s="714"/>
      <c r="AM374" s="714"/>
      <c r="AN374" s="714"/>
      <c r="AO374" s="714"/>
      <c r="AP374" s="714"/>
      <c r="AQ374" s="716"/>
    </row>
    <row r="375" spans="1:45" s="708" customFormat="1" ht="12.75" customHeight="1" x14ac:dyDescent="0.25">
      <c r="A375" s="8"/>
      <c r="B375" s="8"/>
      <c r="C375" s="8"/>
      <c r="D375" s="8" t="s">
        <v>309</v>
      </c>
      <c r="E375" s="8"/>
      <c r="F375" s="8"/>
      <c r="G375" s="8"/>
      <c r="H375" s="8"/>
      <c r="I375" s="8"/>
      <c r="J375" s="1502" t="s">
        <v>16</v>
      </c>
      <c r="K375" s="1156"/>
      <c r="L375" s="1207"/>
      <c r="M375" s="1207"/>
      <c r="N375" s="1510"/>
      <c r="O375" s="1511"/>
      <c r="P375" s="2002">
        <v>-0.13950171751517448</v>
      </c>
      <c r="Q375" s="2003"/>
      <c r="R375" s="8"/>
      <c r="S375" s="8"/>
      <c r="T375" s="8"/>
      <c r="U375" s="8"/>
      <c r="V375" s="714"/>
      <c r="W375" s="714"/>
      <c r="X375" s="714"/>
      <c r="Y375" s="714"/>
      <c r="Z375" s="714"/>
      <c r="AA375" s="714"/>
      <c r="AB375" s="714"/>
      <c r="AC375" s="714"/>
      <c r="AD375" s="714"/>
      <c r="AE375" s="714"/>
      <c r="AF375" s="714"/>
      <c r="AG375" s="714"/>
      <c r="AH375" s="714"/>
      <c r="AI375" s="714"/>
      <c r="AJ375" s="714"/>
      <c r="AK375" s="714"/>
      <c r="AL375" s="714"/>
      <c r="AM375" s="714"/>
      <c r="AN375" s="714"/>
      <c r="AO375" s="714"/>
      <c r="AP375" s="714"/>
      <c r="AQ375" s="716"/>
    </row>
    <row r="376" spans="1:45" s="708" customFormat="1" ht="12.75" customHeight="1" x14ac:dyDescent="0.25">
      <c r="A376" s="8"/>
      <c r="B376" s="8"/>
      <c r="C376" s="8"/>
      <c r="D376" s="1557" t="s">
        <v>566</v>
      </c>
      <c r="E376" s="1557"/>
      <c r="F376" s="1557"/>
      <c r="G376" s="1557"/>
      <c r="H376" s="1557"/>
      <c r="I376" s="1557"/>
      <c r="J376" s="1502" t="s">
        <v>368</v>
      </c>
      <c r="K376" s="1156"/>
      <c r="L376" s="1207"/>
      <c r="M376" s="1207"/>
      <c r="N376" s="2053">
        <v>12.58242048</v>
      </c>
      <c r="O376" s="2054"/>
      <c r="P376" s="2055">
        <v>12.58242048</v>
      </c>
      <c r="Q376" s="2056"/>
      <c r="R376" s="8"/>
      <c r="S376" s="8"/>
      <c r="T376" s="8"/>
      <c r="U376" s="8"/>
      <c r="V376" s="714"/>
      <c r="W376" s="714"/>
      <c r="X376" s="714"/>
      <c r="Y376" s="714"/>
      <c r="Z376" s="714"/>
      <c r="AA376" s="714"/>
      <c r="AB376" s="714"/>
      <c r="AC376" s="714"/>
      <c r="AD376" s="714"/>
      <c r="AE376" s="714"/>
      <c r="AF376" s="714"/>
      <c r="AG376" s="714"/>
      <c r="AH376" s="714"/>
      <c r="AI376" s="714"/>
      <c r="AJ376" s="714"/>
      <c r="AK376" s="714"/>
      <c r="AL376" s="714"/>
      <c r="AM376" s="714"/>
      <c r="AN376" s="714"/>
      <c r="AO376" s="714"/>
      <c r="AP376" s="714"/>
      <c r="AQ376" s="716"/>
    </row>
    <row r="377" spans="1:45" s="712" customFormat="1" ht="12.75" customHeight="1" x14ac:dyDescent="0.25">
      <c r="A377" s="711"/>
      <c r="B377" s="708"/>
      <c r="C377" s="708"/>
      <c r="F377" s="713"/>
      <c r="G377" s="713"/>
      <c r="H377" s="713"/>
      <c r="I377" s="713"/>
      <c r="J377" s="714"/>
      <c r="K377" s="714"/>
      <c r="L377" s="714"/>
      <c r="M377" s="714"/>
      <c r="N377" s="714"/>
      <c r="O377" s="714"/>
      <c r="P377" s="714"/>
      <c r="Q377" s="714"/>
      <c r="R377" s="714"/>
      <c r="S377" s="714"/>
      <c r="T377" s="714"/>
      <c r="U377" s="714"/>
      <c r="V377" s="714"/>
      <c r="W377" s="714"/>
      <c r="X377" s="714"/>
      <c r="Y377" s="714"/>
      <c r="Z377" s="714"/>
      <c r="AA377" s="714"/>
      <c r="AB377" s="714"/>
      <c r="AC377" s="714"/>
      <c r="AD377" s="714"/>
      <c r="AE377" s="714"/>
      <c r="AF377" s="714"/>
      <c r="AG377" s="714"/>
      <c r="AH377" s="714"/>
      <c r="AI377" s="714"/>
      <c r="AJ377" s="714"/>
      <c r="AK377" s="714"/>
      <c r="AL377" s="714"/>
      <c r="AM377" s="714"/>
      <c r="AN377" s="714"/>
      <c r="AO377" s="714"/>
      <c r="AP377" s="715"/>
      <c r="AQ377" s="716"/>
      <c r="AR377" s="708"/>
      <c r="AS377" s="708"/>
    </row>
    <row r="378" spans="1:45" s="712" customFormat="1" ht="12.75" customHeight="1" x14ac:dyDescent="0.25">
      <c r="A378" s="711"/>
      <c r="B378" s="708"/>
      <c r="C378" s="708"/>
      <c r="F378" s="713"/>
      <c r="G378" s="713"/>
      <c r="H378" s="713"/>
      <c r="I378" s="713"/>
      <c r="J378" s="714"/>
      <c r="K378" s="714"/>
      <c r="L378" s="714"/>
      <c r="M378" s="714"/>
      <c r="N378" s="714"/>
      <c r="O378" s="714"/>
      <c r="P378" s="714"/>
      <c r="Q378" s="714"/>
      <c r="R378" s="714"/>
      <c r="S378" s="714"/>
      <c r="T378" s="714"/>
      <c r="U378" s="714"/>
      <c r="V378" s="714"/>
      <c r="W378" s="714"/>
      <c r="X378" s="714"/>
      <c r="Y378" s="714"/>
      <c r="Z378" s="714"/>
      <c r="AA378" s="714"/>
      <c r="AB378" s="714"/>
      <c r="AC378" s="714"/>
      <c r="AD378" s="714"/>
      <c r="AE378" s="714"/>
      <c r="AF378" s="714"/>
      <c r="AG378" s="714"/>
      <c r="AH378" s="714"/>
      <c r="AI378" s="714"/>
      <c r="AJ378" s="714"/>
      <c r="AK378" s="714"/>
      <c r="AL378" s="714"/>
      <c r="AM378" s="714"/>
      <c r="AN378" s="714"/>
      <c r="AO378" s="714"/>
      <c r="AP378" s="715"/>
      <c r="AQ378" s="716"/>
      <c r="AR378" s="708"/>
      <c r="AS378" s="708"/>
    </row>
    <row r="379" spans="1:45" s="712" customFormat="1" ht="12.75" customHeight="1" x14ac:dyDescent="0.25">
      <c r="A379" s="711"/>
      <c r="B379" s="52" t="s">
        <v>616</v>
      </c>
      <c r="C379" s="21"/>
      <c r="D379" s="21"/>
      <c r="E379" s="21"/>
      <c r="F379" s="21"/>
      <c r="G379" s="21"/>
      <c r="H379" s="21"/>
      <c r="I379" s="21"/>
      <c r="J379" s="22"/>
      <c r="K379" s="22"/>
      <c r="L379" s="22"/>
      <c r="M379" s="22"/>
      <c r="N379" s="22"/>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715"/>
      <c r="AQ379" s="716"/>
      <c r="AR379" s="708"/>
      <c r="AS379" s="708"/>
    </row>
    <row r="380" spans="1:45" s="712" customFormat="1" ht="12.75" customHeight="1" x14ac:dyDescent="0.25">
      <c r="A380" s="711"/>
      <c r="B380" s="708"/>
      <c r="C380" s="708"/>
      <c r="F380" s="713"/>
      <c r="G380" s="713"/>
      <c r="H380" s="713"/>
      <c r="I380" s="713"/>
      <c r="J380" s="714"/>
      <c r="K380" s="714"/>
      <c r="L380" s="714"/>
      <c r="M380" s="714"/>
      <c r="N380" s="714"/>
      <c r="O380" s="714"/>
      <c r="P380" s="714"/>
      <c r="Q380" s="714"/>
      <c r="R380" s="714"/>
      <c r="S380" s="714"/>
      <c r="T380" s="714"/>
      <c r="U380" s="714"/>
      <c r="V380" s="714"/>
      <c r="W380" s="714"/>
      <c r="X380" s="714"/>
      <c r="Y380" s="714"/>
      <c r="Z380" s="714"/>
      <c r="AA380" s="714"/>
      <c r="AB380" s="714"/>
      <c r="AC380" s="714"/>
      <c r="AD380" s="714"/>
      <c r="AE380" s="714"/>
      <c r="AF380" s="714"/>
      <c r="AG380" s="714"/>
      <c r="AH380" s="714"/>
      <c r="AI380" s="714"/>
      <c r="AJ380" s="714"/>
      <c r="AK380" s="714"/>
      <c r="AL380" s="714"/>
      <c r="AM380" s="714"/>
      <c r="AN380" s="714"/>
      <c r="AO380" s="714"/>
      <c r="AP380" s="715"/>
      <c r="AQ380" s="716"/>
      <c r="AR380" s="708"/>
      <c r="AS380" s="708"/>
    </row>
    <row r="381" spans="1:45" s="712" customFormat="1" ht="12.75" customHeight="1" x14ac:dyDescent="0.25">
      <c r="A381" s="711"/>
      <c r="B381" s="708"/>
      <c r="C381" s="1993" t="s">
        <v>619</v>
      </c>
      <c r="D381" s="1994"/>
      <c r="E381" s="1994"/>
      <c r="F381" s="1994"/>
      <c r="G381" s="1994"/>
      <c r="H381" s="1994"/>
      <c r="I381" s="1994"/>
      <c r="J381" s="1994"/>
      <c r="K381" s="1994"/>
      <c r="L381" s="1994"/>
      <c r="M381" s="1994"/>
      <c r="N381" s="1994"/>
      <c r="O381" s="1994"/>
      <c r="P381" s="1994"/>
      <c r="Q381" s="1995"/>
      <c r="R381" s="714"/>
      <c r="S381" s="714"/>
      <c r="T381" s="714"/>
      <c r="U381" s="714"/>
      <c r="V381" s="714"/>
      <c r="W381" s="714"/>
      <c r="X381" s="714"/>
      <c r="Y381" s="714"/>
      <c r="Z381" s="714"/>
      <c r="AA381" s="714"/>
      <c r="AB381" s="714"/>
      <c r="AC381" s="714"/>
      <c r="AD381" s="714"/>
      <c r="AE381" s="714"/>
      <c r="AF381" s="714"/>
      <c r="AG381" s="714"/>
      <c r="AH381" s="714"/>
      <c r="AI381" s="714"/>
      <c r="AJ381" s="714"/>
      <c r="AK381" s="714"/>
      <c r="AL381" s="714"/>
      <c r="AM381" s="714"/>
      <c r="AN381" s="714"/>
      <c r="AO381" s="714"/>
      <c r="AP381" s="715"/>
      <c r="AQ381" s="716"/>
      <c r="AR381" s="708"/>
      <c r="AS381" s="708"/>
    </row>
    <row r="382" spans="1:45" s="712" customFormat="1" ht="12.75" customHeight="1" x14ac:dyDescent="0.25">
      <c r="A382" s="711"/>
      <c r="B382" s="708"/>
      <c r="C382" s="1996"/>
      <c r="D382" s="1997"/>
      <c r="E382" s="1997"/>
      <c r="F382" s="1997"/>
      <c r="G382" s="1997"/>
      <c r="H382" s="1997"/>
      <c r="I382" s="1997"/>
      <c r="J382" s="1997"/>
      <c r="K382" s="1997"/>
      <c r="L382" s="1997"/>
      <c r="M382" s="1997"/>
      <c r="N382" s="1997"/>
      <c r="O382" s="1997"/>
      <c r="P382" s="1997"/>
      <c r="Q382" s="1998"/>
      <c r="R382" s="714"/>
      <c r="S382" s="714"/>
      <c r="T382" s="714"/>
      <c r="U382" s="714"/>
      <c r="V382" s="714"/>
      <c r="W382" s="714"/>
      <c r="X382" s="714"/>
      <c r="Y382" s="714"/>
      <c r="Z382" s="714"/>
      <c r="AA382" s="714"/>
      <c r="AB382" s="714"/>
      <c r="AC382" s="714"/>
      <c r="AD382" s="714"/>
      <c r="AE382" s="714"/>
      <c r="AF382" s="714"/>
      <c r="AG382" s="714"/>
      <c r="AH382" s="714"/>
      <c r="AI382" s="714"/>
      <c r="AJ382" s="714"/>
      <c r="AK382" s="714"/>
      <c r="AL382" s="714"/>
      <c r="AM382" s="714"/>
      <c r="AN382" s="714"/>
      <c r="AO382" s="714"/>
      <c r="AP382" s="715"/>
      <c r="AQ382" s="716"/>
      <c r="AR382" s="708"/>
      <c r="AS382" s="708"/>
    </row>
    <row r="383" spans="1:45" s="712" customFormat="1" ht="12.75" customHeight="1" x14ac:dyDescent="0.25">
      <c r="A383" s="711"/>
      <c r="B383" s="708"/>
      <c r="C383" s="1996"/>
      <c r="D383" s="1997"/>
      <c r="E383" s="1997"/>
      <c r="F383" s="1997"/>
      <c r="G383" s="1997"/>
      <c r="H383" s="1997"/>
      <c r="I383" s="1997"/>
      <c r="J383" s="1997"/>
      <c r="K383" s="1997"/>
      <c r="L383" s="1997"/>
      <c r="M383" s="1997"/>
      <c r="N383" s="1997"/>
      <c r="O383" s="1997"/>
      <c r="P383" s="1997"/>
      <c r="Q383" s="1998"/>
      <c r="R383" s="714"/>
      <c r="S383" s="714"/>
      <c r="T383" s="714"/>
      <c r="U383" s="714"/>
      <c r="V383" s="714"/>
      <c r="W383" s="714"/>
      <c r="X383" s="714"/>
      <c r="Y383" s="714"/>
      <c r="Z383" s="714"/>
      <c r="AA383" s="714"/>
      <c r="AB383" s="714"/>
      <c r="AC383" s="714"/>
      <c r="AD383" s="714"/>
      <c r="AE383" s="714"/>
      <c r="AF383" s="714"/>
      <c r="AG383" s="714"/>
      <c r="AH383" s="714"/>
      <c r="AI383" s="714"/>
      <c r="AJ383" s="714"/>
      <c r="AK383" s="714"/>
      <c r="AL383" s="714"/>
      <c r="AM383" s="714"/>
      <c r="AN383" s="714"/>
      <c r="AO383" s="714"/>
      <c r="AP383" s="715"/>
      <c r="AQ383" s="716"/>
      <c r="AR383" s="708"/>
      <c r="AS383" s="708"/>
    </row>
    <row r="384" spans="1:45" s="712" customFormat="1" ht="12.75" customHeight="1" x14ac:dyDescent="0.25">
      <c r="A384" s="711"/>
      <c r="B384" s="708"/>
      <c r="C384" s="1996"/>
      <c r="D384" s="1997"/>
      <c r="E384" s="1997"/>
      <c r="F384" s="1997"/>
      <c r="G384" s="1997"/>
      <c r="H384" s="1997"/>
      <c r="I384" s="1997"/>
      <c r="J384" s="1997"/>
      <c r="K384" s="1997"/>
      <c r="L384" s="1997"/>
      <c r="M384" s="1997"/>
      <c r="N384" s="1997"/>
      <c r="O384" s="1997"/>
      <c r="P384" s="1997"/>
      <c r="Q384" s="1998"/>
      <c r="R384" s="714"/>
      <c r="S384" s="714"/>
      <c r="T384" s="714"/>
      <c r="U384" s="714"/>
      <c r="V384" s="714"/>
      <c r="W384" s="714"/>
      <c r="X384" s="714"/>
      <c r="Y384" s="714"/>
      <c r="Z384" s="714"/>
      <c r="AA384" s="714"/>
      <c r="AB384" s="714"/>
      <c r="AC384" s="714"/>
      <c r="AD384" s="714"/>
      <c r="AE384" s="714"/>
      <c r="AF384" s="714"/>
      <c r="AG384" s="714"/>
      <c r="AH384" s="714"/>
      <c r="AI384" s="714"/>
      <c r="AJ384" s="714"/>
      <c r="AK384" s="714"/>
      <c r="AL384" s="714"/>
      <c r="AM384" s="714"/>
      <c r="AN384" s="714"/>
      <c r="AO384" s="714"/>
      <c r="AP384" s="715"/>
      <c r="AQ384" s="716"/>
      <c r="AR384" s="708"/>
      <c r="AS384" s="708"/>
    </row>
    <row r="385" spans="1:45" s="712" customFormat="1" ht="12.75" customHeight="1" x14ac:dyDescent="0.25">
      <c r="A385" s="711"/>
      <c r="B385" s="708"/>
      <c r="C385" s="1996"/>
      <c r="D385" s="1997"/>
      <c r="E385" s="1997"/>
      <c r="F385" s="1997"/>
      <c r="G385" s="1997"/>
      <c r="H385" s="1997"/>
      <c r="I385" s="1997"/>
      <c r="J385" s="1997"/>
      <c r="K385" s="1997"/>
      <c r="L385" s="1997"/>
      <c r="M385" s="1997"/>
      <c r="N385" s="1997"/>
      <c r="O385" s="1997"/>
      <c r="P385" s="1997"/>
      <c r="Q385" s="1998"/>
      <c r="R385" s="714"/>
      <c r="S385" s="714"/>
      <c r="T385" s="714"/>
      <c r="U385" s="714"/>
      <c r="V385" s="714"/>
      <c r="W385" s="714"/>
      <c r="X385" s="714"/>
      <c r="Y385" s="714"/>
      <c r="Z385" s="714"/>
      <c r="AA385" s="714"/>
      <c r="AB385" s="714"/>
      <c r="AC385" s="714"/>
      <c r="AD385" s="714"/>
      <c r="AE385" s="714"/>
      <c r="AF385" s="714"/>
      <c r="AG385" s="714"/>
      <c r="AH385" s="714"/>
      <c r="AI385" s="714"/>
      <c r="AJ385" s="714"/>
      <c r="AK385" s="714"/>
      <c r="AL385" s="714"/>
      <c r="AM385" s="714"/>
      <c r="AN385" s="714"/>
      <c r="AO385" s="714"/>
      <c r="AP385" s="715"/>
      <c r="AQ385" s="716"/>
      <c r="AR385" s="708"/>
      <c r="AS385" s="708"/>
    </row>
    <row r="386" spans="1:45" s="712" customFormat="1" ht="12.75" customHeight="1" x14ac:dyDescent="0.25">
      <c r="A386" s="711"/>
      <c r="B386" s="708"/>
      <c r="C386" s="1996"/>
      <c r="D386" s="1997"/>
      <c r="E386" s="1997"/>
      <c r="F386" s="1997"/>
      <c r="G386" s="1997"/>
      <c r="H386" s="1997"/>
      <c r="I386" s="1997"/>
      <c r="J386" s="1997"/>
      <c r="K386" s="1997"/>
      <c r="L386" s="1997"/>
      <c r="M386" s="1997"/>
      <c r="N386" s="1997"/>
      <c r="O386" s="1997"/>
      <c r="P386" s="1997"/>
      <c r="Q386" s="1998"/>
      <c r="R386" s="714"/>
      <c r="S386" s="714"/>
      <c r="T386" s="714"/>
      <c r="U386" s="714"/>
      <c r="V386" s="714"/>
      <c r="W386" s="714"/>
      <c r="X386" s="714"/>
      <c r="Y386" s="714"/>
      <c r="Z386" s="714"/>
      <c r="AA386" s="714"/>
      <c r="AB386" s="714"/>
      <c r="AC386" s="714"/>
      <c r="AD386" s="714"/>
      <c r="AE386" s="714"/>
      <c r="AF386" s="714"/>
      <c r="AG386" s="714"/>
      <c r="AH386" s="714"/>
      <c r="AI386" s="714"/>
      <c r="AJ386" s="714"/>
      <c r="AK386" s="714"/>
      <c r="AL386" s="714"/>
      <c r="AM386" s="714"/>
      <c r="AN386" s="714"/>
      <c r="AO386" s="714"/>
      <c r="AP386" s="715"/>
      <c r="AQ386" s="716"/>
      <c r="AR386" s="708"/>
      <c r="AS386" s="708"/>
    </row>
    <row r="387" spans="1:45" s="712" customFormat="1" ht="12.75" customHeight="1" x14ac:dyDescent="0.25">
      <c r="A387" s="711"/>
      <c r="B387" s="708"/>
      <c r="C387" s="1999"/>
      <c r="D387" s="2000"/>
      <c r="E387" s="2000"/>
      <c r="F387" s="2000"/>
      <c r="G387" s="2000"/>
      <c r="H387" s="2000"/>
      <c r="I387" s="2000"/>
      <c r="J387" s="2000"/>
      <c r="K387" s="2000"/>
      <c r="L387" s="2000"/>
      <c r="M387" s="2000"/>
      <c r="N387" s="2000"/>
      <c r="O387" s="2000"/>
      <c r="P387" s="2000"/>
      <c r="Q387" s="2001"/>
      <c r="R387" s="714"/>
      <c r="S387" s="714"/>
      <c r="T387" s="714"/>
      <c r="U387" s="714"/>
      <c r="V387" s="714"/>
      <c r="W387" s="714"/>
      <c r="X387" s="714"/>
      <c r="Y387" s="714"/>
      <c r="Z387" s="714"/>
      <c r="AA387" s="714"/>
      <c r="AB387" s="714"/>
      <c r="AC387" s="714"/>
      <c r="AD387" s="714"/>
      <c r="AE387" s="714"/>
      <c r="AF387" s="714"/>
      <c r="AG387" s="714"/>
      <c r="AH387" s="714"/>
      <c r="AI387" s="714"/>
      <c r="AJ387" s="714"/>
      <c r="AK387" s="714"/>
      <c r="AL387" s="714"/>
      <c r="AM387" s="714"/>
      <c r="AN387" s="714"/>
      <c r="AO387" s="714"/>
      <c r="AP387" s="715"/>
      <c r="AQ387" s="716"/>
      <c r="AR387" s="708"/>
      <c r="AS387" s="708"/>
    </row>
    <row r="388" spans="1:45" s="712" customFormat="1" ht="12.75" customHeight="1" x14ac:dyDescent="0.25">
      <c r="A388" s="711"/>
      <c r="B388" s="708"/>
      <c r="C388" s="708"/>
      <c r="F388" s="713"/>
      <c r="G388" s="713"/>
      <c r="H388" s="713"/>
      <c r="I388" s="713"/>
      <c r="J388" s="714"/>
      <c r="K388" s="714"/>
      <c r="L388" s="714"/>
      <c r="M388" s="714"/>
      <c r="N388" s="714"/>
      <c r="O388" s="714"/>
      <c r="P388" s="714"/>
      <c r="Q388" s="714"/>
      <c r="R388" s="714"/>
      <c r="S388" s="714"/>
      <c r="T388" s="714"/>
      <c r="U388" s="714"/>
      <c r="V388" s="714"/>
      <c r="W388" s="714"/>
      <c r="X388" s="714"/>
      <c r="Y388" s="714"/>
      <c r="Z388" s="714"/>
      <c r="AA388" s="714"/>
      <c r="AB388" s="714"/>
      <c r="AC388" s="714"/>
      <c r="AD388" s="714"/>
      <c r="AE388" s="714"/>
      <c r="AF388" s="714"/>
      <c r="AG388" s="714"/>
      <c r="AH388" s="714"/>
      <c r="AI388" s="714"/>
      <c r="AJ388" s="714"/>
      <c r="AK388" s="714"/>
      <c r="AL388" s="714"/>
      <c r="AM388" s="714"/>
      <c r="AN388" s="714"/>
      <c r="AO388" s="714"/>
      <c r="AP388" s="715"/>
      <c r="AQ388" s="716"/>
      <c r="AR388" s="708"/>
      <c r="AS388" s="708"/>
    </row>
    <row r="389" spans="1:45" s="712" customFormat="1" ht="12.75" customHeight="1" x14ac:dyDescent="0.25">
      <c r="A389" s="711"/>
      <c r="B389" s="708"/>
      <c r="C389" s="708"/>
      <c r="F389" s="713"/>
      <c r="G389" s="713"/>
      <c r="H389" s="713"/>
      <c r="I389" s="713"/>
      <c r="J389" s="714"/>
      <c r="K389" s="714"/>
      <c r="L389" s="714"/>
      <c r="M389" s="714"/>
      <c r="N389" s="714"/>
      <c r="O389" s="714"/>
      <c r="P389" s="714"/>
      <c r="Q389" s="714"/>
      <c r="R389" s="714"/>
      <c r="S389" s="714"/>
      <c r="T389" s="714"/>
      <c r="U389" s="714"/>
      <c r="V389" s="714"/>
      <c r="W389" s="714"/>
      <c r="X389" s="714"/>
      <c r="Y389" s="714"/>
      <c r="Z389" s="714"/>
      <c r="AA389" s="714"/>
      <c r="AB389" s="714"/>
      <c r="AC389" s="714"/>
      <c r="AD389" s="714"/>
      <c r="AE389" s="714"/>
      <c r="AF389" s="714"/>
      <c r="AG389" s="714"/>
      <c r="AH389" s="714"/>
      <c r="AI389" s="714"/>
      <c r="AJ389" s="714"/>
      <c r="AK389" s="714"/>
      <c r="AL389" s="714"/>
      <c r="AM389" s="714"/>
      <c r="AN389" s="714"/>
      <c r="AO389" s="714"/>
      <c r="AP389" s="715"/>
      <c r="AQ389" s="716"/>
      <c r="AR389" s="708"/>
      <c r="AS389" s="708"/>
    </row>
    <row r="390" spans="1:45" s="712" customFormat="1" ht="12.75" customHeight="1" x14ac:dyDescent="0.25">
      <c r="A390" s="44" t="s">
        <v>639</v>
      </c>
      <c r="B390" s="44"/>
      <c r="C390" s="44"/>
      <c r="D390" s="44"/>
      <c r="E390" s="44"/>
      <c r="F390" s="44"/>
      <c r="G390" s="44"/>
      <c r="H390" s="44"/>
      <c r="I390" s="44"/>
      <c r="J390" s="45"/>
      <c r="K390" s="45"/>
      <c r="L390" s="45"/>
      <c r="M390" s="46"/>
      <c r="N390" s="46"/>
      <c r="O390" s="46"/>
      <c r="P390" s="46"/>
      <c r="Q390" s="46"/>
      <c r="R390" s="46"/>
      <c r="S390" s="46"/>
      <c r="T390" s="46"/>
      <c r="U390" s="46"/>
      <c r="V390" s="46"/>
      <c r="W390" s="46"/>
      <c r="X390" s="46"/>
      <c r="Y390" s="46"/>
      <c r="Z390" s="46"/>
      <c r="AA390" s="46"/>
      <c r="AB390" s="46"/>
      <c r="AC390" s="46"/>
      <c r="AD390" s="46"/>
      <c r="AE390" s="46"/>
      <c r="AF390" s="46"/>
      <c r="AG390" s="46"/>
      <c r="AH390" s="46"/>
      <c r="AI390" s="46"/>
      <c r="AJ390" s="46"/>
      <c r="AK390" s="46"/>
      <c r="AL390" s="46"/>
      <c r="AM390" s="46"/>
      <c r="AN390" s="46"/>
      <c r="AO390" s="46"/>
      <c r="AP390" s="715"/>
      <c r="AQ390" s="716"/>
      <c r="AR390" s="708"/>
      <c r="AS390" s="708"/>
    </row>
    <row r="391" spans="1:45" s="712" customFormat="1" ht="12.75" customHeight="1" x14ac:dyDescent="0.25">
      <c r="A391" s="711"/>
      <c r="B391" s="708"/>
      <c r="C391" s="708"/>
      <c r="F391" s="713"/>
      <c r="G391" s="713"/>
      <c r="H391" s="713"/>
      <c r="I391" s="713"/>
      <c r="J391" s="714"/>
      <c r="K391" s="714"/>
      <c r="L391" s="714"/>
      <c r="M391" s="714"/>
      <c r="N391" s="714"/>
      <c r="O391" s="714"/>
      <c r="P391" s="714"/>
      <c r="Q391" s="714"/>
      <c r="R391" s="714"/>
      <c r="S391" s="714"/>
      <c r="T391" s="714"/>
      <c r="U391" s="714"/>
      <c r="V391" s="714"/>
      <c r="W391" s="714"/>
      <c r="X391" s="714"/>
      <c r="Y391" s="714"/>
      <c r="Z391" s="714"/>
      <c r="AA391" s="714"/>
      <c r="AB391" s="714"/>
      <c r="AC391" s="714"/>
      <c r="AD391" s="714"/>
      <c r="AE391" s="714"/>
      <c r="AF391" s="714"/>
      <c r="AG391" s="714"/>
      <c r="AH391" s="714"/>
      <c r="AI391" s="714"/>
      <c r="AJ391" s="714"/>
      <c r="AK391" s="714"/>
      <c r="AL391" s="714"/>
      <c r="AM391" s="714"/>
      <c r="AN391" s="714"/>
      <c r="AO391" s="714"/>
      <c r="AP391" s="715"/>
      <c r="AQ391" s="716"/>
      <c r="AR391" s="708"/>
      <c r="AS391" s="708"/>
    </row>
    <row r="392" spans="1:45" s="712" customFormat="1" ht="12.75" customHeight="1" x14ac:dyDescent="0.25">
      <c r="A392" s="711"/>
      <c r="B392" s="55" t="s">
        <v>550</v>
      </c>
      <c r="C392" s="55"/>
      <c r="D392" s="81"/>
      <c r="E392" s="81"/>
      <c r="F392" s="81"/>
      <c r="G392" s="81"/>
      <c r="H392" s="81"/>
      <c r="I392" s="81"/>
      <c r="J392" s="81"/>
      <c r="K392" s="81"/>
      <c r="L392" s="81"/>
      <c r="M392" s="81"/>
      <c r="N392" s="81"/>
      <c r="O392" s="55"/>
      <c r="P392" s="55"/>
      <c r="Q392" s="55"/>
      <c r="R392" s="797"/>
      <c r="S392" s="797"/>
      <c r="T392" s="797"/>
      <c r="U392" s="797"/>
      <c r="V392" s="797"/>
      <c r="W392" s="797"/>
      <c r="X392" s="797"/>
      <c r="Y392" s="797"/>
      <c r="Z392" s="797"/>
      <c r="AA392" s="797"/>
      <c r="AB392" s="797"/>
      <c r="AC392" s="797"/>
      <c r="AD392" s="797"/>
      <c r="AE392" s="797"/>
      <c r="AF392" s="797"/>
      <c r="AG392" s="797"/>
      <c r="AH392" s="797"/>
      <c r="AI392" s="797"/>
      <c r="AJ392" s="797"/>
      <c r="AK392" s="797"/>
      <c r="AL392" s="797"/>
      <c r="AM392" s="797"/>
      <c r="AN392" s="797"/>
      <c r="AO392" s="797"/>
      <c r="AP392" s="715"/>
      <c r="AQ392" s="716"/>
      <c r="AR392" s="708"/>
      <c r="AS392" s="708"/>
    </row>
    <row r="393" spans="1:45" s="712" customFormat="1" ht="12.75" customHeight="1" x14ac:dyDescent="0.25">
      <c r="A393" s="711"/>
      <c r="B393" s="708"/>
      <c r="C393" s="708"/>
      <c r="F393" s="713"/>
      <c r="G393" s="713"/>
      <c r="H393" s="713"/>
      <c r="I393" s="713"/>
      <c r="J393" s="714"/>
      <c r="K393" s="714"/>
      <c r="L393" s="714"/>
      <c r="M393" s="714"/>
      <c r="N393" s="714"/>
      <c r="O393" s="714"/>
      <c r="P393" s="714"/>
      <c r="Q393" s="714"/>
      <c r="R393" s="714"/>
      <c r="S393" s="714"/>
      <c r="T393" s="714"/>
      <c r="U393" s="714"/>
      <c r="V393" s="714"/>
      <c r="W393" s="714"/>
      <c r="X393" s="714"/>
      <c r="Y393" s="714"/>
      <c r="Z393" s="714"/>
      <c r="AA393" s="714"/>
      <c r="AB393" s="714"/>
      <c r="AC393" s="714"/>
      <c r="AD393" s="714"/>
      <c r="AE393" s="714"/>
      <c r="AF393" s="714"/>
      <c r="AG393" s="714"/>
      <c r="AH393" s="714"/>
      <c r="AI393" s="714"/>
      <c r="AJ393" s="714"/>
      <c r="AK393" s="714"/>
      <c r="AL393" s="714"/>
      <c r="AM393" s="714"/>
      <c r="AN393" s="714"/>
      <c r="AO393" s="714"/>
      <c r="AP393" s="715"/>
      <c r="AQ393" s="716"/>
      <c r="AR393" s="708"/>
      <c r="AS393" s="708"/>
    </row>
    <row r="394" spans="1:45" s="712" customFormat="1" ht="12.75" customHeight="1" x14ac:dyDescent="0.3">
      <c r="A394" s="711"/>
      <c r="B394" s="708"/>
      <c r="C394" s="708" t="s">
        <v>307</v>
      </c>
      <c r="F394" s="713"/>
      <c r="G394" s="713"/>
      <c r="I394" s="713"/>
      <c r="J394" s="714"/>
      <c r="K394" s="714"/>
      <c r="L394" s="714"/>
      <c r="M394" s="714"/>
      <c r="N394" s="714"/>
      <c r="O394" s="2022" t="s">
        <v>608</v>
      </c>
      <c r="P394" s="2026"/>
      <c r="Q394" s="714"/>
      <c r="R394" s="714"/>
      <c r="S394" s="714"/>
      <c r="T394" s="714"/>
      <c r="U394" s="714"/>
      <c r="V394" s="714"/>
      <c r="W394" s="714"/>
      <c r="X394" s="714"/>
      <c r="Y394" s="714"/>
      <c r="Z394" s="714"/>
      <c r="AA394" s="714"/>
      <c r="AB394" s="714"/>
      <c r="AC394" s="714"/>
      <c r="AD394" s="714"/>
      <c r="AE394" s="714"/>
      <c r="AF394" s="714"/>
      <c r="AG394" s="714"/>
      <c r="AH394" s="714"/>
      <c r="AI394" s="714"/>
      <c r="AJ394" s="714"/>
      <c r="AK394" s="714"/>
      <c r="AL394" s="714"/>
      <c r="AM394" s="714"/>
      <c r="AN394" s="714"/>
      <c r="AO394" s="714"/>
      <c r="AP394" s="715"/>
      <c r="AQ394" s="716"/>
      <c r="AR394" s="708"/>
      <c r="AS394" s="708"/>
    </row>
    <row r="395" spans="1:45" s="712" customFormat="1" ht="12.75" customHeight="1" x14ac:dyDescent="0.25">
      <c r="A395" s="711"/>
      <c r="B395" s="708"/>
      <c r="C395" s="708"/>
      <c r="D395" s="708" t="s">
        <v>549</v>
      </c>
      <c r="F395" s="713"/>
      <c r="G395" s="713"/>
      <c r="I395" s="713"/>
      <c r="J395" s="68"/>
      <c r="K395" s="68"/>
      <c r="L395" s="68"/>
      <c r="M395" s="714"/>
      <c r="N395" s="714"/>
      <c r="O395" s="2004" t="s">
        <v>604</v>
      </c>
      <c r="P395" s="2005" t="s">
        <v>539</v>
      </c>
      <c r="Q395" s="714"/>
      <c r="R395" s="714"/>
      <c r="S395" s="714"/>
      <c r="T395" s="714"/>
      <c r="U395" s="714"/>
      <c r="V395" s="714"/>
      <c r="W395" s="714"/>
      <c r="X395" s="714"/>
      <c r="Y395" s="714"/>
      <c r="Z395" s="714"/>
      <c r="AA395" s="714"/>
      <c r="AB395" s="714"/>
      <c r="AC395" s="714"/>
      <c r="AD395" s="714"/>
      <c r="AE395" s="714"/>
      <c r="AF395" s="714"/>
      <c r="AG395" s="714"/>
      <c r="AH395" s="714"/>
      <c r="AI395" s="714"/>
      <c r="AJ395" s="714"/>
      <c r="AK395" s="714"/>
      <c r="AL395" s="714"/>
      <c r="AM395" s="714"/>
      <c r="AN395" s="714"/>
      <c r="AO395" s="714"/>
      <c r="AP395" s="715"/>
      <c r="AQ395" s="716"/>
      <c r="AR395" s="708"/>
      <c r="AS395" s="708"/>
    </row>
    <row r="396" spans="1:45" s="712" customFormat="1" ht="12.75" customHeight="1" x14ac:dyDescent="0.25">
      <c r="A396" s="711"/>
      <c r="B396" s="708"/>
      <c r="C396" s="708"/>
      <c r="D396" s="708" t="s">
        <v>573</v>
      </c>
      <c r="F396" s="713"/>
      <c r="G396" s="713"/>
      <c r="H396" s="713"/>
      <c r="I396" s="713"/>
      <c r="J396" s="714"/>
      <c r="K396" s="714"/>
      <c r="L396" s="714"/>
      <c r="M396" s="714"/>
      <c r="N396" s="714"/>
      <c r="O396" s="2006" t="s">
        <v>536</v>
      </c>
      <c r="P396" s="2007" t="s">
        <v>540</v>
      </c>
      <c r="Q396" s="714"/>
      <c r="R396" s="714"/>
      <c r="S396" s="714"/>
      <c r="T396" s="714"/>
      <c r="U396" s="714"/>
      <c r="V396" s="714"/>
      <c r="W396" s="714"/>
      <c r="X396" s="714"/>
      <c r="Y396" s="714"/>
      <c r="Z396" s="714"/>
      <c r="AA396" s="714"/>
      <c r="AB396" s="714"/>
      <c r="AC396" s="714"/>
      <c r="AD396" s="714"/>
      <c r="AE396" s="714"/>
      <c r="AF396" s="714"/>
      <c r="AG396" s="714"/>
      <c r="AH396" s="714"/>
      <c r="AI396" s="714"/>
      <c r="AJ396" s="714"/>
      <c r="AK396" s="714"/>
      <c r="AL396" s="714"/>
      <c r="AM396" s="714"/>
      <c r="AN396" s="714"/>
      <c r="AO396" s="714"/>
      <c r="AP396" s="715"/>
      <c r="AQ396" s="716"/>
      <c r="AR396" s="708"/>
      <c r="AS396" s="708"/>
    </row>
    <row r="397" spans="1:45" s="712" customFormat="1" ht="12.75" customHeight="1" x14ac:dyDescent="0.25">
      <c r="A397" s="711"/>
      <c r="B397" s="708"/>
      <c r="C397" s="708"/>
      <c r="F397" s="713"/>
      <c r="G397" s="713"/>
      <c r="H397" s="713"/>
      <c r="I397" s="713"/>
      <c r="J397" s="714"/>
      <c r="K397" s="714"/>
      <c r="L397" s="714"/>
      <c r="M397" s="714"/>
      <c r="N397" s="714"/>
      <c r="O397" s="714"/>
      <c r="P397" s="714"/>
      <c r="Q397" s="714"/>
      <c r="R397" s="714"/>
      <c r="S397" s="714"/>
      <c r="T397" s="714"/>
      <c r="U397" s="714"/>
      <c r="V397" s="714"/>
      <c r="W397" s="714"/>
      <c r="X397" s="714"/>
      <c r="Y397" s="714"/>
      <c r="Z397" s="714"/>
      <c r="AA397" s="714"/>
      <c r="AB397" s="714"/>
      <c r="AC397" s="714"/>
      <c r="AD397" s="714"/>
      <c r="AE397" s="714"/>
      <c r="AF397" s="714"/>
      <c r="AG397" s="714"/>
      <c r="AH397" s="714"/>
      <c r="AI397" s="714"/>
      <c r="AJ397" s="714"/>
      <c r="AK397" s="714"/>
      <c r="AL397" s="714"/>
      <c r="AM397" s="714"/>
      <c r="AN397" s="714"/>
      <c r="AO397" s="714"/>
      <c r="AP397" s="715"/>
      <c r="AQ397" s="716"/>
      <c r="AR397" s="708"/>
      <c r="AS397" s="708"/>
    </row>
    <row r="398" spans="1:45" s="712" customFormat="1" ht="12.75" customHeight="1" x14ac:dyDescent="0.25">
      <c r="A398" s="711"/>
      <c r="B398" s="52" t="s">
        <v>567</v>
      </c>
      <c r="C398" s="21"/>
      <c r="D398" s="21"/>
      <c r="E398" s="21"/>
      <c r="F398" s="21"/>
      <c r="G398" s="21"/>
      <c r="H398" s="21"/>
      <c r="I398" s="21"/>
      <c r="J398" s="22"/>
      <c r="K398" s="22"/>
      <c r="L398" s="22"/>
      <c r="M398" s="22"/>
      <c r="N398" s="22"/>
      <c r="O398" s="21"/>
      <c r="P398" s="21"/>
      <c r="Q398" s="21"/>
      <c r="R398" s="21"/>
      <c r="S398" s="21"/>
      <c r="T398" s="21"/>
      <c r="U398" s="21"/>
      <c r="V398" s="714"/>
      <c r="W398" s="714"/>
      <c r="X398" s="714"/>
      <c r="Y398" s="714"/>
      <c r="Z398" s="714"/>
      <c r="AA398" s="714"/>
      <c r="AB398" s="714"/>
      <c r="AC398" s="714"/>
      <c r="AD398" s="714"/>
      <c r="AE398" s="714"/>
      <c r="AF398" s="714"/>
      <c r="AG398" s="714"/>
      <c r="AH398" s="714"/>
      <c r="AI398" s="714"/>
      <c r="AJ398" s="714"/>
      <c r="AK398" s="714"/>
      <c r="AL398" s="714"/>
      <c r="AM398" s="714"/>
      <c r="AN398" s="714"/>
      <c r="AO398" s="714"/>
      <c r="AP398" s="715"/>
      <c r="AQ398" s="716"/>
      <c r="AR398" s="708"/>
      <c r="AS398" s="708"/>
    </row>
    <row r="399" spans="1:45" s="712" customFormat="1" ht="12.75" customHeight="1" x14ac:dyDescent="0.25">
      <c r="A399" s="711"/>
      <c r="B399" s="8"/>
      <c r="C399" s="8"/>
      <c r="D399" s="8"/>
      <c r="E399" s="8"/>
      <c r="F399" s="8"/>
      <c r="G399" s="8"/>
      <c r="H399" s="8"/>
      <c r="I399" s="11"/>
      <c r="J399" s="1157"/>
      <c r="K399" s="1157"/>
      <c r="L399" s="1157"/>
      <c r="M399" s="1157"/>
      <c r="N399" s="1157"/>
      <c r="O399" s="1157"/>
      <c r="P399" s="40"/>
      <c r="Q399" s="8"/>
      <c r="R399" s="8"/>
      <c r="S399" s="8"/>
      <c r="T399" s="8"/>
      <c r="U399" s="8"/>
      <c r="V399" s="714"/>
      <c r="W399" s="714"/>
      <c r="X399" s="714"/>
      <c r="Y399" s="714"/>
      <c r="Z399" s="714"/>
      <c r="AA399" s="714"/>
      <c r="AB399" s="714"/>
      <c r="AC399" s="714"/>
      <c r="AD399" s="714"/>
      <c r="AE399" s="714"/>
      <c r="AF399" s="714"/>
      <c r="AG399" s="714"/>
      <c r="AH399" s="714"/>
      <c r="AI399" s="714"/>
      <c r="AJ399" s="714"/>
      <c r="AK399" s="714"/>
      <c r="AL399" s="714"/>
      <c r="AM399" s="714"/>
      <c r="AN399" s="714"/>
      <c r="AO399" s="714"/>
      <c r="AP399" s="715"/>
      <c r="AQ399" s="716"/>
      <c r="AR399" s="708"/>
      <c r="AS399" s="708"/>
    </row>
    <row r="400" spans="1:45" s="712" customFormat="1" ht="12.75" customHeight="1" x14ac:dyDescent="0.25">
      <c r="A400" s="711"/>
      <c r="B400" s="8"/>
      <c r="C400" s="8"/>
      <c r="D400" s="8"/>
      <c r="E400" s="8"/>
      <c r="F400" s="8"/>
      <c r="G400" s="8"/>
      <c r="H400" s="8"/>
      <c r="I400" s="11"/>
      <c r="J400" s="1157"/>
      <c r="K400" s="1157"/>
      <c r="L400" s="1157"/>
      <c r="M400" s="1157"/>
      <c r="N400" s="1157"/>
      <c r="O400" s="1157"/>
      <c r="P400" s="40"/>
      <c r="Q400" s="8"/>
      <c r="R400" s="8"/>
      <c r="S400" s="8"/>
      <c r="T400" s="8"/>
      <c r="U400" s="8"/>
      <c r="V400" s="714"/>
      <c r="W400" s="714"/>
      <c r="X400" s="714"/>
      <c r="Y400" s="714"/>
      <c r="Z400" s="714"/>
      <c r="AA400" s="714"/>
      <c r="AB400" s="714"/>
      <c r="AC400" s="714"/>
      <c r="AD400" s="714"/>
      <c r="AE400" s="714"/>
      <c r="AF400" s="714"/>
      <c r="AG400" s="714"/>
      <c r="AH400" s="714"/>
      <c r="AI400" s="714"/>
      <c r="AJ400" s="714"/>
      <c r="AK400" s="714"/>
      <c r="AL400" s="714"/>
      <c r="AM400" s="714"/>
      <c r="AN400" s="714"/>
      <c r="AO400" s="714"/>
      <c r="AP400" s="715"/>
      <c r="AQ400" s="716"/>
      <c r="AR400" s="708"/>
      <c r="AS400" s="708"/>
    </row>
    <row r="401" spans="1:43" s="708" customFormat="1" ht="12.75" customHeight="1" x14ac:dyDescent="0.25">
      <c r="A401" s="8"/>
      <c r="B401" s="8"/>
      <c r="C401" s="8"/>
      <c r="D401" s="8"/>
      <c r="E401" s="8"/>
      <c r="F401" s="8"/>
      <c r="G401" s="8"/>
      <c r="H401" s="8"/>
      <c r="I401" s="11"/>
      <c r="J401" s="1157"/>
      <c r="K401" s="1157"/>
      <c r="L401" s="1902" t="s">
        <v>201</v>
      </c>
      <c r="M401" s="1903"/>
      <c r="N401" s="1903"/>
      <c r="O401" s="1904"/>
      <c r="P401" s="1899" t="s">
        <v>202</v>
      </c>
      <c r="Q401" s="1900"/>
      <c r="R401" s="1900"/>
      <c r="S401" s="1901"/>
      <c r="T401" s="8"/>
      <c r="U401" s="8"/>
      <c r="V401" s="714"/>
      <c r="W401" s="714"/>
      <c r="X401" s="714"/>
      <c r="Y401" s="714"/>
      <c r="Z401" s="714"/>
      <c r="AA401" s="714"/>
      <c r="AB401" s="714"/>
      <c r="AC401" s="714"/>
      <c r="AD401" s="714"/>
      <c r="AE401" s="714"/>
      <c r="AF401" s="714"/>
      <c r="AG401" s="714"/>
      <c r="AH401" s="714"/>
      <c r="AI401" s="714"/>
      <c r="AJ401" s="714"/>
      <c r="AK401" s="714"/>
      <c r="AL401" s="714"/>
      <c r="AM401" s="714"/>
      <c r="AN401" s="714"/>
      <c r="AO401" s="714"/>
      <c r="AP401" s="714"/>
      <c r="AQ401" s="716"/>
    </row>
    <row r="402" spans="1:43" s="708" customFormat="1" ht="12.75" customHeight="1" x14ac:dyDescent="0.25">
      <c r="A402" s="8"/>
      <c r="B402" s="8"/>
      <c r="C402" s="8"/>
      <c r="D402" s="8"/>
      <c r="E402" s="8"/>
      <c r="F402" s="8"/>
      <c r="G402" s="8"/>
      <c r="H402" s="8"/>
      <c r="I402" s="11"/>
      <c r="J402" s="1157"/>
      <c r="K402" s="1157"/>
      <c r="L402" s="1873" t="s">
        <v>230</v>
      </c>
      <c r="M402" s="1874"/>
      <c r="N402" s="1874"/>
      <c r="O402" s="1875"/>
      <c r="P402" s="1930" t="s">
        <v>230</v>
      </c>
      <c r="Q402" s="1931"/>
      <c r="R402" s="1931"/>
      <c r="S402" s="1932"/>
      <c r="T402" s="8"/>
      <c r="U402" s="8"/>
      <c r="V402" s="714"/>
      <c r="W402" s="714"/>
      <c r="X402" s="714"/>
      <c r="Y402" s="714"/>
      <c r="Z402" s="714"/>
      <c r="AA402" s="714"/>
      <c r="AB402" s="714"/>
      <c r="AC402" s="714"/>
      <c r="AD402" s="714"/>
      <c r="AE402" s="714"/>
      <c r="AF402" s="714"/>
      <c r="AG402" s="714"/>
      <c r="AH402" s="714"/>
      <c r="AI402" s="714"/>
      <c r="AJ402" s="714"/>
      <c r="AK402" s="714"/>
      <c r="AL402" s="714"/>
      <c r="AM402" s="714"/>
      <c r="AN402" s="714"/>
      <c r="AO402" s="714"/>
      <c r="AP402" s="714"/>
      <c r="AQ402" s="716"/>
    </row>
    <row r="403" spans="1:43" s="708" customFormat="1" ht="38.700000000000003" customHeight="1" x14ac:dyDescent="0.25">
      <c r="A403" s="8"/>
      <c r="B403" s="8"/>
      <c r="C403" s="1159" t="s">
        <v>78</v>
      </c>
      <c r="D403" s="849"/>
      <c r="E403" s="849"/>
      <c r="F403" s="849"/>
      <c r="G403" s="849"/>
      <c r="H403" s="849"/>
      <c r="I403" s="849"/>
      <c r="J403" s="849"/>
      <c r="K403" s="849"/>
      <c r="L403" s="1209" t="s">
        <v>228</v>
      </c>
      <c r="M403" s="1209" t="s">
        <v>219</v>
      </c>
      <c r="N403" s="1210" t="s">
        <v>227</v>
      </c>
      <c r="O403" s="1211" t="s">
        <v>226</v>
      </c>
      <c r="P403" s="1212" t="s">
        <v>228</v>
      </c>
      <c r="Q403" s="1212" t="s">
        <v>219</v>
      </c>
      <c r="R403" s="1213" t="s">
        <v>227</v>
      </c>
      <c r="S403" s="1214" t="s">
        <v>226</v>
      </c>
      <c r="T403" s="8"/>
      <c r="U403" s="8"/>
      <c r="V403" s="714"/>
      <c r="W403" s="714"/>
      <c r="X403" s="714"/>
      <c r="Y403" s="714"/>
      <c r="Z403" s="714"/>
      <c r="AA403" s="714"/>
      <c r="AB403" s="714"/>
      <c r="AC403" s="714"/>
      <c r="AD403" s="714"/>
      <c r="AE403" s="714"/>
      <c r="AF403" s="714"/>
      <c r="AG403" s="714"/>
      <c r="AH403" s="714"/>
      <c r="AI403" s="714"/>
      <c r="AJ403" s="714"/>
      <c r="AK403" s="714"/>
      <c r="AL403" s="714"/>
      <c r="AM403" s="714"/>
      <c r="AN403" s="714"/>
      <c r="AO403" s="714"/>
      <c r="AP403" s="714"/>
      <c r="AQ403" s="716"/>
    </row>
    <row r="404" spans="1:43" s="708" customFormat="1" ht="12.75" customHeight="1" x14ac:dyDescent="0.25">
      <c r="A404" s="8"/>
      <c r="B404" s="8"/>
      <c r="C404" s="857" t="s">
        <v>152</v>
      </c>
      <c r="D404" s="57"/>
      <c r="E404" s="182"/>
      <c r="F404" s="57"/>
      <c r="G404" s="57"/>
      <c r="H404" s="57"/>
      <c r="I404" s="57"/>
      <c r="J404" s="57"/>
      <c r="K404" s="57"/>
      <c r="L404" s="1447">
        <v>0.15</v>
      </c>
      <c r="M404" s="1448" t="s">
        <v>232</v>
      </c>
      <c r="N404" s="1449" t="s">
        <v>232</v>
      </c>
      <c r="O404" s="1450">
        <v>6.5000000000000002E-2</v>
      </c>
      <c r="P404" s="1451">
        <v>0.14038029608060015</v>
      </c>
      <c r="Q404" s="1451" t="s">
        <v>232</v>
      </c>
      <c r="R404" s="1452" t="s">
        <v>232</v>
      </c>
      <c r="S404" s="1453">
        <v>6.0938905887779359E-2</v>
      </c>
      <c r="T404" s="8"/>
      <c r="U404" s="8"/>
      <c r="V404" s="714"/>
      <c r="W404" s="714"/>
      <c r="X404" s="714"/>
      <c r="Y404" s="714"/>
      <c r="Z404" s="714"/>
      <c r="AA404" s="714"/>
      <c r="AB404" s="714"/>
      <c r="AC404" s="714"/>
      <c r="AD404" s="714"/>
      <c r="AE404" s="714"/>
      <c r="AF404" s="714"/>
      <c r="AG404" s="714"/>
      <c r="AH404" s="714"/>
      <c r="AI404" s="714"/>
      <c r="AJ404" s="714"/>
      <c r="AK404" s="714"/>
      <c r="AL404" s="714"/>
      <c r="AM404" s="714"/>
      <c r="AN404" s="714"/>
      <c r="AO404" s="714"/>
      <c r="AP404" s="714"/>
      <c r="AQ404" s="716"/>
    </row>
    <row r="405" spans="1:43" s="708" customFormat="1" ht="12.75" customHeight="1" x14ac:dyDescent="0.25">
      <c r="A405" s="8"/>
      <c r="B405" s="8"/>
      <c r="C405" s="865" t="s">
        <v>239</v>
      </c>
      <c r="D405" s="866"/>
      <c r="E405" s="866"/>
      <c r="F405" s="866"/>
      <c r="G405" s="866"/>
      <c r="H405" s="866"/>
      <c r="I405" s="866"/>
      <c r="J405" s="866"/>
      <c r="K405" s="866"/>
      <c r="L405" s="1486">
        <v>0.08</v>
      </c>
      <c r="M405" s="1486">
        <v>0</v>
      </c>
      <c r="N405" s="1487">
        <v>0</v>
      </c>
      <c r="O405" s="1488">
        <v>0.04</v>
      </c>
      <c r="P405" s="1454">
        <v>0.08</v>
      </c>
      <c r="Q405" s="1454">
        <v>0</v>
      </c>
      <c r="R405" s="1455">
        <v>0</v>
      </c>
      <c r="S405" s="1456">
        <v>0.04</v>
      </c>
      <c r="T405" s="8"/>
      <c r="U405" s="8"/>
      <c r="V405" s="714"/>
      <c r="W405" s="714"/>
      <c r="X405" s="714"/>
      <c r="Y405" s="714"/>
      <c r="Z405" s="714"/>
      <c r="AA405" s="714"/>
      <c r="AB405" s="714"/>
      <c r="AC405" s="714"/>
      <c r="AD405" s="714"/>
      <c r="AE405" s="714"/>
      <c r="AF405" s="714"/>
      <c r="AG405" s="714"/>
      <c r="AH405" s="714"/>
      <c r="AI405" s="714"/>
      <c r="AJ405" s="714"/>
      <c r="AK405" s="714"/>
      <c r="AL405" s="714"/>
      <c r="AM405" s="714"/>
      <c r="AN405" s="714"/>
      <c r="AO405" s="714"/>
      <c r="AP405" s="714"/>
      <c r="AQ405" s="716"/>
    </row>
    <row r="406" spans="1:43" s="708" customFormat="1" ht="12.75" customHeight="1" x14ac:dyDescent="0.25">
      <c r="A406" s="8"/>
      <c r="B406" s="8"/>
      <c r="C406" s="56" t="s">
        <v>80</v>
      </c>
      <c r="D406" s="56"/>
      <c r="E406" s="56"/>
      <c r="F406" s="57"/>
      <c r="G406" s="57"/>
      <c r="H406" s="57"/>
      <c r="I406" s="57"/>
      <c r="J406" s="57"/>
      <c r="K406" s="57"/>
      <c r="L406" s="1457">
        <v>6.9999999999999993E-2</v>
      </c>
      <c r="M406" s="1457" t="s">
        <v>232</v>
      </c>
      <c r="N406" s="1458" t="s">
        <v>232</v>
      </c>
      <c r="O406" s="1458">
        <v>2.5000000000000001E-2</v>
      </c>
      <c r="P406" s="1459">
        <v>6.0380296080600152E-2</v>
      </c>
      <c r="Q406" s="1459" t="s">
        <v>232</v>
      </c>
      <c r="R406" s="1460" t="s">
        <v>232</v>
      </c>
      <c r="S406" s="1461">
        <v>2.0938905887779358E-2</v>
      </c>
      <c r="T406" s="8"/>
      <c r="U406" s="8"/>
      <c r="V406" s="714"/>
      <c r="W406" s="714"/>
      <c r="X406" s="714"/>
      <c r="Y406" s="714"/>
      <c r="Z406" s="714"/>
      <c r="AA406" s="714"/>
      <c r="AB406" s="714"/>
      <c r="AC406" s="714"/>
      <c r="AD406" s="714"/>
      <c r="AE406" s="714"/>
      <c r="AF406" s="714"/>
      <c r="AG406" s="714"/>
      <c r="AH406" s="714"/>
      <c r="AI406" s="714"/>
      <c r="AJ406" s="714"/>
      <c r="AK406" s="714"/>
      <c r="AL406" s="714"/>
      <c r="AM406" s="714"/>
      <c r="AN406" s="714"/>
      <c r="AO406" s="714"/>
      <c r="AP406" s="714"/>
      <c r="AQ406" s="716"/>
    </row>
    <row r="407" spans="1:43" s="708" customFormat="1" ht="12.75" customHeight="1" x14ac:dyDescent="0.25">
      <c r="A407" s="8"/>
      <c r="B407" s="8"/>
      <c r="C407" s="8"/>
      <c r="D407" s="8"/>
      <c r="E407" s="8"/>
      <c r="F407" s="8"/>
      <c r="G407" s="8"/>
      <c r="H407" s="8"/>
      <c r="I407" s="11"/>
      <c r="J407" s="1157"/>
      <c r="K407" s="1157"/>
      <c r="L407" s="1208"/>
      <c r="M407" s="1208"/>
      <c r="N407" s="1208"/>
      <c r="O407" s="1208"/>
      <c r="P407" s="40"/>
      <c r="Q407" s="8"/>
      <c r="R407" s="8"/>
      <c r="S407" s="8"/>
      <c r="T407" s="8"/>
      <c r="U407" s="8"/>
      <c r="V407" s="714"/>
      <c r="W407" s="714"/>
      <c r="X407" s="714"/>
      <c r="Y407" s="714"/>
      <c r="Z407" s="714"/>
      <c r="AA407" s="714"/>
      <c r="AB407" s="714"/>
      <c r="AC407" s="714"/>
      <c r="AD407" s="714"/>
      <c r="AE407" s="714"/>
      <c r="AF407" s="714"/>
      <c r="AG407" s="714"/>
      <c r="AH407" s="714"/>
      <c r="AI407" s="714"/>
      <c r="AJ407" s="714"/>
      <c r="AK407" s="714"/>
      <c r="AL407" s="714"/>
      <c r="AM407" s="714"/>
      <c r="AN407" s="714"/>
      <c r="AO407" s="714"/>
      <c r="AP407" s="714"/>
      <c r="AQ407" s="716"/>
    </row>
    <row r="408" spans="1:43" s="708" customFormat="1" ht="12.75" customHeight="1" x14ac:dyDescent="0.25">
      <c r="A408" s="8"/>
      <c r="B408" s="8"/>
      <c r="C408" s="8"/>
      <c r="D408" s="8"/>
      <c r="E408" s="8"/>
      <c r="F408" s="8"/>
      <c r="G408" s="8"/>
      <c r="H408" s="8"/>
      <c r="I408" s="11"/>
      <c r="J408" s="1157"/>
      <c r="K408" s="1157"/>
      <c r="L408" s="1208"/>
      <c r="M408" s="1208"/>
      <c r="N408" s="1208"/>
      <c r="O408" s="1208"/>
      <c r="P408" s="40"/>
      <c r="Q408" s="8"/>
      <c r="R408" s="8"/>
      <c r="S408" s="8"/>
      <c r="T408" s="8"/>
      <c r="U408" s="8"/>
      <c r="V408" s="714"/>
      <c r="W408" s="714"/>
      <c r="X408" s="714"/>
      <c r="Y408" s="714"/>
      <c r="Z408" s="714"/>
      <c r="AA408" s="714"/>
      <c r="AB408" s="714"/>
      <c r="AC408" s="714"/>
      <c r="AD408" s="714"/>
      <c r="AE408" s="714"/>
      <c r="AF408" s="714"/>
      <c r="AG408" s="714"/>
      <c r="AH408" s="714"/>
      <c r="AI408" s="714"/>
      <c r="AJ408" s="714"/>
      <c r="AK408" s="714"/>
      <c r="AL408" s="714"/>
      <c r="AM408" s="714"/>
      <c r="AN408" s="714"/>
      <c r="AO408" s="714"/>
      <c r="AP408" s="714"/>
      <c r="AQ408" s="716"/>
    </row>
    <row r="409" spans="1:43" s="708" customFormat="1" ht="12.75" customHeight="1" x14ac:dyDescent="0.25">
      <c r="A409" s="8"/>
      <c r="B409" s="8"/>
      <c r="C409" s="8"/>
      <c r="D409" s="8"/>
      <c r="E409" s="8"/>
      <c r="F409" s="8"/>
      <c r="G409" s="8"/>
      <c r="H409" s="8"/>
      <c r="I409" s="11"/>
      <c r="J409" s="1157"/>
      <c r="K409" s="1157"/>
      <c r="L409" s="1902" t="s">
        <v>201</v>
      </c>
      <c r="M409" s="1903"/>
      <c r="N409" s="1903"/>
      <c r="O409" s="1904"/>
      <c r="P409" s="1899" t="s">
        <v>202</v>
      </c>
      <c r="Q409" s="1900"/>
      <c r="R409" s="1900"/>
      <c r="S409" s="1901"/>
      <c r="T409" s="8"/>
      <c r="U409" s="8"/>
      <c r="V409" s="714"/>
      <c r="W409" s="714"/>
      <c r="X409" s="714"/>
      <c r="Y409" s="714"/>
      <c r="Z409" s="714"/>
      <c r="AA409" s="714"/>
      <c r="AB409" s="714"/>
      <c r="AC409" s="714"/>
      <c r="AD409" s="714"/>
      <c r="AE409" s="714"/>
      <c r="AF409" s="714"/>
      <c r="AG409" s="714"/>
      <c r="AH409" s="714"/>
      <c r="AI409" s="714"/>
      <c r="AJ409" s="714"/>
      <c r="AK409" s="714"/>
      <c r="AL409" s="714"/>
      <c r="AM409" s="714"/>
      <c r="AN409" s="714"/>
      <c r="AO409" s="714"/>
      <c r="AP409" s="714"/>
      <c r="AQ409" s="716"/>
    </row>
    <row r="410" spans="1:43" s="708" customFormat="1" ht="12.75" customHeight="1" x14ac:dyDescent="0.25">
      <c r="A410" s="8"/>
      <c r="B410" s="8"/>
      <c r="C410" s="8"/>
      <c r="D410" s="8"/>
      <c r="E410" s="8"/>
      <c r="F410" s="8"/>
      <c r="G410" s="8"/>
      <c r="H410" s="8"/>
      <c r="I410" s="11"/>
      <c r="J410" s="1157"/>
      <c r="K410" s="1157"/>
      <c r="L410" s="1873" t="s">
        <v>230</v>
      </c>
      <c r="M410" s="1874"/>
      <c r="N410" s="1874"/>
      <c r="O410" s="1875"/>
      <c r="P410" s="1930" t="s">
        <v>230</v>
      </c>
      <c r="Q410" s="1931"/>
      <c r="R410" s="1931"/>
      <c r="S410" s="1932"/>
      <c r="T410" s="8"/>
      <c r="U410" s="8"/>
      <c r="V410" s="714"/>
      <c r="W410" s="714"/>
      <c r="X410" s="714"/>
      <c r="Y410" s="714"/>
      <c r="Z410" s="714"/>
      <c r="AA410" s="714"/>
      <c r="AB410" s="714"/>
      <c r="AC410" s="714"/>
      <c r="AD410" s="714"/>
      <c r="AE410" s="714"/>
      <c r="AF410" s="714"/>
      <c r="AG410" s="714"/>
      <c r="AH410" s="714"/>
      <c r="AI410" s="714"/>
      <c r="AJ410" s="714"/>
      <c r="AK410" s="714"/>
      <c r="AL410" s="714"/>
      <c r="AM410" s="714"/>
      <c r="AN410" s="714"/>
      <c r="AO410" s="714"/>
      <c r="AP410" s="714"/>
      <c r="AQ410" s="716"/>
    </row>
    <row r="411" spans="1:43" s="708" customFormat="1" ht="39.450000000000003" customHeight="1" x14ac:dyDescent="0.25">
      <c r="A411" s="8"/>
      <c r="B411" s="8"/>
      <c r="C411" s="876" t="s">
        <v>231</v>
      </c>
      <c r="D411" s="877"/>
      <c r="E411" s="55"/>
      <c r="F411" s="877"/>
      <c r="G411" s="877"/>
      <c r="H411" s="877"/>
      <c r="I411" s="877"/>
      <c r="J411" s="877"/>
      <c r="K411" s="877"/>
      <c r="L411" s="1209" t="s">
        <v>228</v>
      </c>
      <c r="M411" s="1209" t="s">
        <v>219</v>
      </c>
      <c r="N411" s="1210" t="s">
        <v>227</v>
      </c>
      <c r="O411" s="1211" t="s">
        <v>226</v>
      </c>
      <c r="P411" s="1212" t="s">
        <v>228</v>
      </c>
      <c r="Q411" s="1212" t="s">
        <v>219</v>
      </c>
      <c r="R411" s="1213" t="s">
        <v>227</v>
      </c>
      <c r="S411" s="1214" t="s">
        <v>226</v>
      </c>
      <c r="T411" s="8"/>
      <c r="U411" s="8"/>
      <c r="V411" s="714"/>
      <c r="W411" s="714"/>
      <c r="X411" s="714"/>
      <c r="Y411" s="714"/>
      <c r="Z411" s="714"/>
      <c r="AA411" s="714"/>
      <c r="AB411" s="714"/>
      <c r="AC411" s="714"/>
      <c r="AD411" s="714"/>
      <c r="AE411" s="714"/>
      <c r="AF411" s="714"/>
      <c r="AG411" s="714"/>
      <c r="AH411" s="714"/>
      <c r="AI411" s="714"/>
      <c r="AJ411" s="714"/>
      <c r="AK411" s="714"/>
      <c r="AL411" s="714"/>
      <c r="AM411" s="714"/>
      <c r="AN411" s="714"/>
      <c r="AO411" s="714"/>
      <c r="AP411" s="714"/>
      <c r="AQ411" s="716"/>
    </row>
    <row r="412" spans="1:43" s="708" customFormat="1" ht="12.75" customHeight="1" x14ac:dyDescent="0.25">
      <c r="A412" s="8"/>
      <c r="B412" s="8"/>
      <c r="C412" s="845" t="str">
        <f>$C$31</f>
        <v>Power Market Risk</v>
      </c>
      <c r="D412" s="57"/>
      <c r="E412" s="57"/>
      <c r="F412" s="57"/>
      <c r="G412" s="8"/>
      <c r="H412" s="8"/>
      <c r="I412" s="11"/>
      <c r="J412" s="1157"/>
      <c r="K412" s="1157"/>
      <c r="L412" s="1489">
        <v>1.3748887640705814E-2</v>
      </c>
      <c r="M412" s="1489">
        <v>0</v>
      </c>
      <c r="N412" s="1490">
        <v>0</v>
      </c>
      <c r="O412" s="1491">
        <v>5.8042874411811515E-3</v>
      </c>
      <c r="P412" s="1462">
        <v>1.3748887640705814E-2</v>
      </c>
      <c r="Q412" s="1463">
        <v>0</v>
      </c>
      <c r="R412" s="1464">
        <v>0</v>
      </c>
      <c r="S412" s="1465">
        <v>5.8042874411811515E-3</v>
      </c>
      <c r="T412" s="8"/>
      <c r="U412" s="8"/>
      <c r="V412" s="714"/>
      <c r="W412" s="714"/>
      <c r="X412" s="714"/>
      <c r="Y412" s="714"/>
      <c r="Z412" s="714"/>
      <c r="AA412" s="714"/>
      <c r="AB412" s="714"/>
      <c r="AC412" s="714"/>
      <c r="AD412" s="714"/>
      <c r="AE412" s="714"/>
      <c r="AF412" s="714"/>
      <c r="AG412" s="714"/>
      <c r="AH412" s="714"/>
      <c r="AI412" s="714"/>
      <c r="AJ412" s="714"/>
      <c r="AK412" s="714"/>
      <c r="AL412" s="714"/>
      <c r="AM412" s="714"/>
      <c r="AN412" s="714"/>
      <c r="AO412" s="714"/>
      <c r="AP412" s="714"/>
      <c r="AQ412" s="716"/>
    </row>
    <row r="413" spans="1:43" s="708" customFormat="1" ht="12.75" customHeight="1" x14ac:dyDescent="0.25">
      <c r="A413" s="8"/>
      <c r="B413" s="8"/>
      <c r="C413" s="845" t="str">
        <f>$C$32</f>
        <v>Permits Risk</v>
      </c>
      <c r="D413" s="57"/>
      <c r="E413" s="57"/>
      <c r="F413" s="57"/>
      <c r="G413" s="8"/>
      <c r="H413" s="8"/>
      <c r="I413" s="11"/>
      <c r="J413" s="1157"/>
      <c r="K413" s="1157"/>
      <c r="L413" s="1489">
        <v>3.381572254319272E-3</v>
      </c>
      <c r="M413" s="1489" t="s">
        <v>232</v>
      </c>
      <c r="N413" s="1492" t="s">
        <v>232</v>
      </c>
      <c r="O413" s="1491" t="s">
        <v>232</v>
      </c>
      <c r="P413" s="1462">
        <v>3.381572254319272E-3</v>
      </c>
      <c r="Q413" s="1466" t="s">
        <v>232</v>
      </c>
      <c r="R413" s="1467" t="s">
        <v>232</v>
      </c>
      <c r="S413" s="1468" t="s">
        <v>232</v>
      </c>
      <c r="T413" s="8"/>
      <c r="U413" s="8"/>
      <c r="V413" s="714"/>
      <c r="W413" s="714"/>
      <c r="X413" s="714"/>
      <c r="Y413" s="714"/>
      <c r="Z413" s="714"/>
      <c r="AA413" s="714"/>
      <c r="AB413" s="714"/>
      <c r="AC413" s="714"/>
      <c r="AD413" s="714"/>
      <c r="AE413" s="714"/>
      <c r="AF413" s="714"/>
      <c r="AG413" s="714"/>
      <c r="AH413" s="714"/>
      <c r="AI413" s="714"/>
      <c r="AJ413" s="714"/>
      <c r="AK413" s="714"/>
      <c r="AL413" s="714"/>
      <c r="AM413" s="714"/>
      <c r="AN413" s="714"/>
      <c r="AO413" s="714"/>
      <c r="AP413" s="714"/>
      <c r="AQ413" s="716"/>
    </row>
    <row r="414" spans="1:43" s="708" customFormat="1" ht="12.75" customHeight="1" x14ac:dyDescent="0.25">
      <c r="A414" s="8"/>
      <c r="B414" s="8"/>
      <c r="C414" s="845" t="str">
        <f>$C$33</f>
        <v>Social Acceptance Risk</v>
      </c>
      <c r="D414" s="57"/>
      <c r="E414" s="57"/>
      <c r="F414" s="57"/>
      <c r="G414" s="8"/>
      <c r="H414" s="8"/>
      <c r="I414" s="11"/>
      <c r="J414" s="1157"/>
      <c r="K414" s="1157"/>
      <c r="L414" s="1489">
        <v>2.2817626547363512E-3</v>
      </c>
      <c r="M414" s="1489">
        <v>0</v>
      </c>
      <c r="N414" s="1492">
        <v>0</v>
      </c>
      <c r="O414" s="1491">
        <v>9.6327838780435853E-4</v>
      </c>
      <c r="P414" s="1462">
        <v>2.2817626547363512E-3</v>
      </c>
      <c r="Q414" s="1466">
        <v>0</v>
      </c>
      <c r="R414" s="1467">
        <v>0</v>
      </c>
      <c r="S414" s="1468">
        <v>9.6327838780435853E-4</v>
      </c>
      <c r="T414" s="8"/>
      <c r="U414" s="8"/>
      <c r="V414" s="714"/>
      <c r="W414" s="714"/>
      <c r="X414" s="714"/>
      <c r="Y414" s="714"/>
      <c r="Z414" s="714"/>
      <c r="AA414" s="714"/>
      <c r="AB414" s="714"/>
      <c r="AC414" s="714"/>
      <c r="AD414" s="714"/>
      <c r="AE414" s="714"/>
      <c r="AF414" s="714"/>
      <c r="AG414" s="714"/>
      <c r="AH414" s="714"/>
      <c r="AI414" s="714"/>
      <c r="AJ414" s="714"/>
      <c r="AK414" s="714"/>
      <c r="AL414" s="714"/>
      <c r="AM414" s="714"/>
      <c r="AN414" s="714"/>
      <c r="AO414" s="714"/>
      <c r="AP414" s="714"/>
      <c r="AQ414" s="716"/>
    </row>
    <row r="415" spans="1:43" s="708" customFormat="1" ht="12.75" customHeight="1" x14ac:dyDescent="0.25">
      <c r="A415" s="8"/>
      <c r="B415" s="8"/>
      <c r="C415" s="845" t="str">
        <f>$C$34</f>
        <v>Resource &amp; Technology Risk</v>
      </c>
      <c r="D415" s="57"/>
      <c r="E415" s="57"/>
      <c r="F415" s="57"/>
      <c r="G415" s="8"/>
      <c r="H415" s="8"/>
      <c r="I415" s="11"/>
      <c r="J415" s="1157"/>
      <c r="K415" s="1157"/>
      <c r="L415" s="1489">
        <v>3.6720406402672096E-3</v>
      </c>
      <c r="M415" s="1489">
        <v>0</v>
      </c>
      <c r="N415" s="1492">
        <v>0</v>
      </c>
      <c r="O415" s="1491">
        <v>1.550203909493554E-3</v>
      </c>
      <c r="P415" s="1462">
        <v>3.6720406402672096E-3</v>
      </c>
      <c r="Q415" s="1466">
        <v>0</v>
      </c>
      <c r="R415" s="1467">
        <v>0</v>
      </c>
      <c r="S415" s="1468">
        <v>1.550203909493554E-3</v>
      </c>
      <c r="T415" s="8"/>
      <c r="U415" s="8"/>
      <c r="V415" s="714"/>
      <c r="W415" s="714"/>
      <c r="X415" s="714"/>
      <c r="Y415" s="714"/>
      <c r="Z415" s="714"/>
      <c r="AA415" s="714"/>
      <c r="AB415" s="714"/>
      <c r="AC415" s="714"/>
      <c r="AD415" s="714"/>
      <c r="AE415" s="714"/>
      <c r="AF415" s="714"/>
      <c r="AG415" s="714"/>
      <c r="AH415" s="714"/>
      <c r="AI415" s="714"/>
      <c r="AJ415" s="714"/>
      <c r="AK415" s="714"/>
      <c r="AL415" s="714"/>
      <c r="AM415" s="714"/>
      <c r="AN415" s="714"/>
      <c r="AO415" s="714"/>
      <c r="AP415" s="714"/>
      <c r="AQ415" s="716"/>
    </row>
    <row r="416" spans="1:43" s="708" customFormat="1" ht="12.75" customHeight="1" x14ac:dyDescent="0.25">
      <c r="A416" s="8"/>
      <c r="B416" s="8"/>
      <c r="C416" s="845" t="str">
        <f>$C$35</f>
        <v>Grid/Transmission Risk</v>
      </c>
      <c r="D416" s="57"/>
      <c r="E416" s="57"/>
      <c r="F416" s="57"/>
      <c r="G416" s="8"/>
      <c r="H416" s="8"/>
      <c r="I416" s="11"/>
      <c r="J416" s="1157"/>
      <c r="K416" s="1157"/>
      <c r="L416" s="1489">
        <v>1.0404837705597761E-2</v>
      </c>
      <c r="M416" s="1489">
        <v>0</v>
      </c>
      <c r="N416" s="1492">
        <v>0</v>
      </c>
      <c r="O416" s="1491">
        <v>4.3925494483878736E-3</v>
      </c>
      <c r="P416" s="1462">
        <v>7.8036282791983207E-3</v>
      </c>
      <c r="Q416" s="1466">
        <v>0</v>
      </c>
      <c r="R416" s="1467">
        <v>0</v>
      </c>
      <c r="S416" s="1468">
        <v>3.294412086290905E-3</v>
      </c>
      <c r="T416" s="8"/>
      <c r="U416" s="8"/>
      <c r="V416" s="714"/>
      <c r="W416" s="714"/>
      <c r="X416" s="714"/>
      <c r="Y416" s="714"/>
      <c r="Z416" s="714"/>
      <c r="AA416" s="714"/>
      <c r="AB416" s="714"/>
      <c r="AC416" s="714"/>
      <c r="AD416" s="714"/>
      <c r="AE416" s="714"/>
      <c r="AF416" s="714"/>
      <c r="AG416" s="714"/>
      <c r="AH416" s="714"/>
      <c r="AI416" s="714"/>
      <c r="AJ416" s="714"/>
      <c r="AK416" s="714"/>
      <c r="AL416" s="714"/>
      <c r="AM416" s="714"/>
      <c r="AN416" s="714"/>
      <c r="AO416" s="714"/>
      <c r="AP416" s="714"/>
      <c r="AQ416" s="716"/>
    </row>
    <row r="417" spans="1:43" s="708" customFormat="1" ht="12.75" customHeight="1" x14ac:dyDescent="0.25">
      <c r="A417" s="8"/>
      <c r="B417" s="8"/>
      <c r="C417" s="845" t="str">
        <f>$C$36</f>
        <v>Counterparty Risk</v>
      </c>
      <c r="D417" s="57"/>
      <c r="E417" s="57"/>
      <c r="F417" s="57"/>
      <c r="G417" s="8"/>
      <c r="H417" s="8"/>
      <c r="I417" s="11"/>
      <c r="J417" s="1157"/>
      <c r="K417" s="1157"/>
      <c r="L417" s="1489">
        <v>9.3552268844190409E-3</v>
      </c>
      <c r="M417" s="1489">
        <v>0</v>
      </c>
      <c r="N417" s="1492">
        <v>0</v>
      </c>
      <c r="O417" s="1491">
        <v>3.9494413899978697E-3</v>
      </c>
      <c r="P417" s="1462">
        <v>7.0164201633142811E-3</v>
      </c>
      <c r="Q417" s="1466">
        <v>0</v>
      </c>
      <c r="R417" s="1467">
        <v>0</v>
      </c>
      <c r="S417" s="1468">
        <v>2.9620810424984025E-3</v>
      </c>
      <c r="T417" s="8"/>
      <c r="U417" s="8"/>
      <c r="V417" s="714"/>
      <c r="W417" s="714"/>
      <c r="X417" s="714"/>
      <c r="Y417" s="714"/>
      <c r="Z417" s="714"/>
      <c r="AA417" s="714"/>
      <c r="AB417" s="714"/>
      <c r="AC417" s="714"/>
      <c r="AD417" s="714"/>
      <c r="AE417" s="714"/>
      <c r="AF417" s="714"/>
      <c r="AG417" s="714"/>
      <c r="AH417" s="714"/>
      <c r="AI417" s="714"/>
      <c r="AJ417" s="714"/>
      <c r="AK417" s="714"/>
      <c r="AL417" s="714"/>
      <c r="AM417" s="714"/>
      <c r="AN417" s="714"/>
      <c r="AO417" s="714"/>
      <c r="AP417" s="714"/>
      <c r="AQ417" s="716"/>
    </row>
    <row r="418" spans="1:43" s="708" customFormat="1" ht="12.75" customHeight="1" x14ac:dyDescent="0.25">
      <c r="A418" s="8"/>
      <c r="B418" s="8"/>
      <c r="C418" s="845" t="str">
        <f>$C$37</f>
        <v>Financial Sector Risk</v>
      </c>
      <c r="D418" s="57"/>
      <c r="E418" s="57"/>
      <c r="F418" s="57"/>
      <c r="G418" s="8"/>
      <c r="H418" s="8"/>
      <c r="I418" s="11"/>
      <c r="J418" s="1157"/>
      <c r="K418" s="1157"/>
      <c r="L418" s="1489">
        <v>7.3997562893099869E-3</v>
      </c>
      <c r="M418" s="1489" t="s">
        <v>232</v>
      </c>
      <c r="N418" s="1492" t="s">
        <v>232</v>
      </c>
      <c r="O418" s="1491" t="s">
        <v>232</v>
      </c>
      <c r="P418" s="1462">
        <v>7.3997562893099869E-3</v>
      </c>
      <c r="Q418" s="1466" t="s">
        <v>232</v>
      </c>
      <c r="R418" s="1467" t="s">
        <v>232</v>
      </c>
      <c r="S418" s="1468" t="s">
        <v>232</v>
      </c>
      <c r="T418" s="8"/>
      <c r="U418" s="8"/>
      <c r="V418" s="714"/>
      <c r="W418" s="714"/>
      <c r="X418" s="714"/>
      <c r="Y418" s="714"/>
      <c r="Z418" s="714"/>
      <c r="AA418" s="714"/>
      <c r="AB418" s="714"/>
      <c r="AC418" s="714"/>
      <c r="AD418" s="714"/>
      <c r="AE418" s="714"/>
      <c r="AF418" s="714"/>
      <c r="AG418" s="714"/>
      <c r="AH418" s="714"/>
      <c r="AI418" s="714"/>
      <c r="AJ418" s="714"/>
      <c r="AK418" s="714"/>
      <c r="AL418" s="714"/>
      <c r="AM418" s="714"/>
      <c r="AN418" s="714"/>
      <c r="AO418" s="714"/>
      <c r="AP418" s="714"/>
      <c r="AQ418" s="716"/>
    </row>
    <row r="419" spans="1:43" s="708" customFormat="1" ht="12.75" customHeight="1" x14ac:dyDescent="0.25">
      <c r="A419" s="8"/>
      <c r="B419" s="8"/>
      <c r="C419" s="845" t="str">
        <f>$C$38</f>
        <v>Political Risk</v>
      </c>
      <c r="D419" s="57"/>
      <c r="E419" s="57"/>
      <c r="F419" s="57"/>
      <c r="G419" s="8"/>
      <c r="H419" s="8"/>
      <c r="I419" s="11"/>
      <c r="J419" s="1157"/>
      <c r="K419" s="1157"/>
      <c r="L419" s="1489">
        <v>1.0396540386853266E-2</v>
      </c>
      <c r="M419" s="1489">
        <v>0</v>
      </c>
      <c r="N419" s="1492">
        <v>0</v>
      </c>
      <c r="O419" s="1491">
        <v>4.3890466178867675E-3</v>
      </c>
      <c r="P419" s="1462">
        <v>1.0396540386853266E-2</v>
      </c>
      <c r="Q419" s="1466">
        <v>0</v>
      </c>
      <c r="R419" s="1467">
        <v>0</v>
      </c>
      <c r="S419" s="1468">
        <v>4.3890466178867675E-3</v>
      </c>
      <c r="T419" s="8"/>
      <c r="U419" s="8"/>
      <c r="V419" s="714"/>
      <c r="W419" s="714"/>
      <c r="X419" s="714"/>
      <c r="Y419" s="714"/>
      <c r="Z419" s="714"/>
      <c r="AA419" s="714"/>
      <c r="AB419" s="714"/>
      <c r="AC419" s="714"/>
      <c r="AD419" s="714"/>
      <c r="AE419" s="714"/>
      <c r="AF419" s="714"/>
      <c r="AG419" s="714"/>
      <c r="AH419" s="714"/>
      <c r="AI419" s="714"/>
      <c r="AJ419" s="714"/>
      <c r="AK419" s="714"/>
      <c r="AL419" s="714"/>
      <c r="AM419" s="714"/>
      <c r="AN419" s="714"/>
      <c r="AO419" s="714"/>
      <c r="AP419" s="714"/>
      <c r="AQ419" s="716"/>
    </row>
    <row r="420" spans="1:43" s="708" customFormat="1" ht="12.75" customHeight="1" x14ac:dyDescent="0.25">
      <c r="A420" s="8"/>
      <c r="B420" s="8"/>
      <c r="C420" s="866" t="str">
        <f>$C$39</f>
        <v>Currency/Macro Risk</v>
      </c>
      <c r="D420" s="866"/>
      <c r="E420" s="866"/>
      <c r="F420" s="866"/>
      <c r="G420" s="866"/>
      <c r="H420" s="866"/>
      <c r="I420" s="866"/>
      <c r="J420" s="866"/>
      <c r="K420" s="866"/>
      <c r="L420" s="1493">
        <v>9.3593755437912859E-3</v>
      </c>
      <c r="M420" s="1489">
        <v>0</v>
      </c>
      <c r="N420" s="1492">
        <v>0</v>
      </c>
      <c r="O420" s="1494">
        <v>3.9511928052484227E-3</v>
      </c>
      <c r="P420" s="1469">
        <v>4.679687771895643E-3</v>
      </c>
      <c r="Q420" s="1469">
        <v>0</v>
      </c>
      <c r="R420" s="1470">
        <v>0</v>
      </c>
      <c r="S420" s="1471">
        <v>1.9755964026242114E-3</v>
      </c>
      <c r="T420" s="8"/>
      <c r="U420" s="8"/>
      <c r="V420" s="714"/>
      <c r="W420" s="714"/>
      <c r="X420" s="714"/>
      <c r="Y420" s="714"/>
      <c r="Z420" s="714"/>
      <c r="AA420" s="714"/>
      <c r="AB420" s="714"/>
      <c r="AC420" s="714"/>
      <c r="AD420" s="714"/>
      <c r="AE420" s="714"/>
      <c r="AF420" s="714"/>
      <c r="AG420" s="714"/>
      <c r="AH420" s="714"/>
      <c r="AI420" s="714"/>
      <c r="AJ420" s="714"/>
      <c r="AK420" s="714"/>
      <c r="AL420" s="714"/>
      <c r="AM420" s="714"/>
      <c r="AN420" s="714"/>
      <c r="AO420" s="714"/>
      <c r="AP420" s="714"/>
      <c r="AQ420" s="716"/>
    </row>
    <row r="421" spans="1:43" s="708" customFormat="1" ht="12.75" customHeight="1" x14ac:dyDescent="0.25">
      <c r="A421" s="8"/>
      <c r="B421" s="8"/>
      <c r="C421" s="56" t="s">
        <v>81</v>
      </c>
      <c r="D421" s="132"/>
      <c r="E421" s="56"/>
      <c r="F421" s="57"/>
      <c r="G421" s="57"/>
      <c r="H421" s="57"/>
      <c r="I421" s="57"/>
      <c r="J421" s="57"/>
      <c r="K421" s="57"/>
      <c r="L421" s="1472">
        <v>6.9999999999999979E-2</v>
      </c>
      <c r="M421" s="1473" t="s">
        <v>232</v>
      </c>
      <c r="N421" s="1474" t="s">
        <v>232</v>
      </c>
      <c r="O421" s="1475">
        <v>2.4999999999999994E-2</v>
      </c>
      <c r="P421" s="1476">
        <v>6.0380296080600152E-2</v>
      </c>
      <c r="Q421" s="1477">
        <v>0</v>
      </c>
      <c r="R421" s="1478">
        <v>0</v>
      </c>
      <c r="S421" s="1479">
        <v>2.0938905887779351E-2</v>
      </c>
      <c r="T421" s="8"/>
      <c r="U421" s="8"/>
      <c r="V421" s="714"/>
      <c r="W421" s="714"/>
      <c r="X421" s="714"/>
      <c r="Y421" s="714"/>
      <c r="Z421" s="714"/>
      <c r="AA421" s="714"/>
      <c r="AB421" s="714"/>
      <c r="AC421" s="714"/>
      <c r="AD421" s="714"/>
      <c r="AE421" s="714"/>
      <c r="AF421" s="714"/>
      <c r="AG421" s="714"/>
      <c r="AH421" s="714"/>
      <c r="AI421" s="714"/>
      <c r="AJ421" s="714"/>
      <c r="AK421" s="714"/>
      <c r="AL421" s="714"/>
      <c r="AM421" s="714"/>
      <c r="AN421" s="714"/>
      <c r="AO421" s="714"/>
      <c r="AP421" s="714"/>
      <c r="AQ421" s="716"/>
    </row>
    <row r="422" spans="1:43" s="708" customFormat="1" ht="12.75" customHeight="1" x14ac:dyDescent="0.25">
      <c r="A422" s="8"/>
      <c r="B422" s="8"/>
      <c r="C422" s="8"/>
      <c r="D422" s="8"/>
      <c r="E422" s="8"/>
      <c r="F422" s="8"/>
      <c r="G422" s="8"/>
      <c r="H422" s="8"/>
      <c r="I422" s="11"/>
      <c r="J422" s="1157"/>
      <c r="K422" s="1157"/>
      <c r="L422" s="1208"/>
      <c r="M422" s="1208"/>
      <c r="N422" s="1208"/>
      <c r="O422" s="1208"/>
      <c r="P422" s="40"/>
      <c r="Q422" s="8"/>
      <c r="R422" s="8"/>
      <c r="S422" s="8"/>
      <c r="T422" s="8"/>
      <c r="U422" s="8"/>
      <c r="V422" s="714"/>
      <c r="W422" s="714"/>
      <c r="X422" s="714"/>
      <c r="Y422" s="714"/>
      <c r="Z422" s="714"/>
      <c r="AA422" s="714"/>
      <c r="AB422" s="714"/>
      <c r="AC422" s="714"/>
      <c r="AD422" s="714"/>
      <c r="AE422" s="714"/>
      <c r="AF422" s="714"/>
      <c r="AG422" s="714"/>
      <c r="AH422" s="714"/>
      <c r="AI422" s="714"/>
      <c r="AJ422" s="714"/>
      <c r="AK422" s="714"/>
      <c r="AL422" s="714"/>
      <c r="AM422" s="714"/>
      <c r="AN422" s="714"/>
      <c r="AO422" s="714"/>
      <c r="AP422" s="714"/>
      <c r="AQ422" s="716"/>
    </row>
    <row r="423" spans="1:43" s="708" customFormat="1" ht="12.75" customHeight="1" x14ac:dyDescent="0.25">
      <c r="A423" s="8"/>
      <c r="B423" s="8"/>
      <c r="C423" s="8"/>
      <c r="D423" s="8"/>
      <c r="E423" s="8"/>
      <c r="F423" s="8"/>
      <c r="G423" s="8"/>
      <c r="H423" s="8"/>
      <c r="I423" s="11"/>
      <c r="J423" s="1157"/>
      <c r="K423" s="1157"/>
      <c r="L423" s="1208"/>
      <c r="M423" s="1208"/>
      <c r="N423" s="1208"/>
      <c r="O423" s="1208"/>
      <c r="P423" s="40"/>
      <c r="Q423" s="8"/>
      <c r="R423" s="8"/>
      <c r="S423" s="8"/>
      <c r="T423" s="8"/>
      <c r="U423" s="8"/>
      <c r="V423" s="714"/>
      <c r="W423" s="714"/>
      <c r="X423" s="714"/>
      <c r="Y423" s="714"/>
      <c r="Z423" s="714"/>
      <c r="AA423" s="714"/>
      <c r="AB423" s="714"/>
      <c r="AC423" s="714"/>
      <c r="AD423" s="714"/>
      <c r="AE423" s="714"/>
      <c r="AF423" s="714"/>
      <c r="AG423" s="714"/>
      <c r="AH423" s="714"/>
      <c r="AI423" s="714"/>
      <c r="AJ423" s="714"/>
      <c r="AK423" s="714"/>
      <c r="AL423" s="714"/>
      <c r="AM423" s="714"/>
      <c r="AN423" s="714"/>
      <c r="AO423" s="714"/>
      <c r="AP423" s="714"/>
      <c r="AQ423" s="716"/>
    </row>
    <row r="424" spans="1:43" s="708" customFormat="1" ht="12.75" customHeight="1" x14ac:dyDescent="0.25">
      <c r="A424" s="8"/>
      <c r="B424" s="8"/>
      <c r="C424" s="8"/>
      <c r="D424" s="8"/>
      <c r="E424" s="8"/>
      <c r="F424" s="8"/>
      <c r="G424" s="8"/>
      <c r="H424" s="8"/>
      <c r="I424" s="11"/>
      <c r="J424" s="1157"/>
      <c r="K424" s="1157"/>
      <c r="L424" s="1208"/>
      <c r="M424" s="1208"/>
      <c r="N424" s="1208"/>
      <c r="O424" s="1208"/>
      <c r="P424" s="40"/>
      <c r="Q424" s="8"/>
      <c r="R424" s="8"/>
      <c r="S424" s="8"/>
      <c r="T424" s="8"/>
      <c r="U424" s="8"/>
      <c r="V424" s="714"/>
      <c r="W424" s="714"/>
      <c r="X424" s="714"/>
      <c r="Y424" s="714"/>
      <c r="Z424" s="714"/>
      <c r="AA424" s="714"/>
      <c r="AB424" s="714"/>
      <c r="AC424" s="714"/>
      <c r="AD424" s="714"/>
      <c r="AE424" s="714"/>
      <c r="AF424" s="714"/>
      <c r="AG424" s="714"/>
      <c r="AH424" s="714"/>
      <c r="AI424" s="714"/>
      <c r="AJ424" s="714"/>
      <c r="AK424" s="714"/>
      <c r="AL424" s="714"/>
      <c r="AM424" s="714"/>
      <c r="AN424" s="714"/>
      <c r="AO424" s="714"/>
      <c r="AP424" s="714"/>
      <c r="AQ424" s="716"/>
    </row>
    <row r="425" spans="1:43" s="708" customFormat="1" ht="12.75" customHeight="1" x14ac:dyDescent="0.25">
      <c r="A425" s="8"/>
      <c r="B425" s="8"/>
      <c r="C425" s="8"/>
      <c r="D425" s="8"/>
      <c r="E425" s="8"/>
      <c r="F425" s="8"/>
      <c r="G425" s="8"/>
      <c r="H425" s="8"/>
      <c r="I425" s="8"/>
      <c r="J425" s="1156"/>
      <c r="K425" s="1156"/>
      <c r="L425" s="1207"/>
      <c r="M425" s="1207"/>
      <c r="N425" s="1621" t="s">
        <v>483</v>
      </c>
      <c r="O425" s="1622"/>
      <c r="P425" s="1622"/>
      <c r="Q425" s="1623"/>
      <c r="R425" s="8"/>
      <c r="S425" s="8"/>
      <c r="T425" s="8"/>
      <c r="U425" s="8"/>
      <c r="V425" s="714"/>
      <c r="W425" s="714"/>
      <c r="X425" s="714"/>
      <c r="Y425" s="714"/>
      <c r="Z425" s="714"/>
      <c r="AA425" s="714"/>
      <c r="AB425" s="714"/>
      <c r="AC425" s="714"/>
      <c r="AD425" s="714"/>
      <c r="AE425" s="714"/>
      <c r="AF425" s="714"/>
      <c r="AG425" s="714"/>
      <c r="AH425" s="714"/>
      <c r="AI425" s="714"/>
      <c r="AJ425" s="714"/>
      <c r="AK425" s="714"/>
      <c r="AL425" s="714"/>
      <c r="AM425" s="714"/>
      <c r="AN425" s="714"/>
      <c r="AO425" s="714"/>
      <c r="AP425" s="714"/>
      <c r="AQ425" s="716"/>
    </row>
    <row r="426" spans="1:43" s="708" customFormat="1" ht="12.75" customHeight="1" x14ac:dyDescent="0.25">
      <c r="A426" s="8"/>
      <c r="B426" s="8"/>
      <c r="C426" s="8"/>
      <c r="D426" s="8"/>
      <c r="E426" s="8"/>
      <c r="F426" s="8"/>
      <c r="G426" s="8"/>
      <c r="H426" s="8"/>
      <c r="I426" s="8"/>
      <c r="J426" s="1156"/>
      <c r="K426" s="1156"/>
      <c r="L426" s="1207"/>
      <c r="M426" s="1207"/>
      <c r="N426" s="1577" t="s">
        <v>201</v>
      </c>
      <c r="O426" s="1578"/>
      <c r="P426" s="1579" t="s">
        <v>202</v>
      </c>
      <c r="Q426" s="1580"/>
      <c r="R426" s="8"/>
      <c r="S426" s="8"/>
      <c r="T426" s="8"/>
      <c r="U426" s="8"/>
      <c r="V426" s="714"/>
      <c r="W426" s="714"/>
      <c r="X426" s="714"/>
      <c r="Y426" s="714"/>
      <c r="Z426" s="714"/>
      <c r="AA426" s="714"/>
      <c r="AB426" s="714"/>
      <c r="AC426" s="714"/>
      <c r="AD426" s="714"/>
      <c r="AE426" s="714"/>
      <c r="AF426" s="714"/>
      <c r="AG426" s="714"/>
      <c r="AH426" s="714"/>
      <c r="AI426" s="714"/>
      <c r="AJ426" s="714"/>
      <c r="AK426" s="714"/>
      <c r="AL426" s="714"/>
      <c r="AM426" s="714"/>
      <c r="AN426" s="714"/>
      <c r="AO426" s="714"/>
      <c r="AP426" s="714"/>
      <c r="AQ426" s="716"/>
    </row>
    <row r="427" spans="1:43" s="708" customFormat="1" ht="12.75" customHeight="1" x14ac:dyDescent="0.25">
      <c r="A427" s="8"/>
      <c r="B427" s="8"/>
      <c r="C427" s="11" t="s">
        <v>484</v>
      </c>
      <c r="D427" s="712"/>
      <c r="E427" s="11"/>
      <c r="F427" s="11"/>
      <c r="G427" s="11"/>
      <c r="H427" s="11"/>
      <c r="I427" s="11"/>
      <c r="J427" s="1157" t="s">
        <v>435</v>
      </c>
      <c r="K427" s="1157"/>
      <c r="L427" s="1208"/>
      <c r="M427" s="1208"/>
      <c r="N427" s="1638">
        <v>9.8897241760966093E-2</v>
      </c>
      <c r="O427" s="1639"/>
      <c r="P427" s="2051">
        <v>8.3455873854893253E-2</v>
      </c>
      <c r="Q427" s="2052"/>
      <c r="R427" s="8"/>
      <c r="S427" s="8"/>
      <c r="T427" s="8"/>
      <c r="U427" s="8"/>
      <c r="V427" s="714"/>
      <c r="W427" s="714"/>
      <c r="X427" s="714"/>
      <c r="Y427" s="714"/>
      <c r="Z427" s="714"/>
      <c r="AA427" s="714"/>
      <c r="AB427" s="714"/>
      <c r="AC427" s="714"/>
      <c r="AD427" s="714"/>
      <c r="AE427" s="714"/>
      <c r="AF427" s="714"/>
      <c r="AG427" s="714"/>
      <c r="AH427" s="714"/>
      <c r="AI427" s="714"/>
      <c r="AJ427" s="714"/>
      <c r="AK427" s="714"/>
      <c r="AL427" s="714"/>
      <c r="AM427" s="714"/>
      <c r="AN427" s="714"/>
      <c r="AO427" s="714"/>
      <c r="AP427" s="714"/>
      <c r="AQ427" s="716"/>
    </row>
    <row r="428" spans="1:43" s="708" customFormat="1" ht="12.75" customHeight="1" x14ac:dyDescent="0.25">
      <c r="A428" s="8"/>
      <c r="B428" s="8"/>
      <c r="C428" s="712"/>
      <c r="D428" s="8" t="s">
        <v>485</v>
      </c>
      <c r="E428" s="712"/>
      <c r="F428" s="11"/>
      <c r="G428" s="11"/>
      <c r="H428" s="11"/>
      <c r="I428" s="11"/>
      <c r="J428" s="1156" t="s">
        <v>435</v>
      </c>
      <c r="K428" s="1156"/>
      <c r="L428" s="1207"/>
      <c r="M428" s="1208"/>
      <c r="N428" s="1536">
        <v>9.2667334686651212E-2</v>
      </c>
      <c r="O428" s="2034"/>
      <c r="P428" s="2039">
        <v>7.8198822909082533E-2</v>
      </c>
      <c r="Q428" s="2040"/>
      <c r="R428" s="8"/>
      <c r="S428" s="8"/>
      <c r="T428" s="8"/>
      <c r="U428" s="8"/>
      <c r="V428" s="714"/>
      <c r="W428" s="714"/>
      <c r="X428" s="714"/>
      <c r="Y428" s="714"/>
      <c r="Z428" s="714"/>
      <c r="AA428" s="714"/>
      <c r="AB428" s="714"/>
      <c r="AC428" s="714"/>
      <c r="AD428" s="714"/>
      <c r="AE428" s="714"/>
      <c r="AF428" s="714"/>
      <c r="AG428" s="714"/>
      <c r="AH428" s="714"/>
      <c r="AI428" s="714"/>
      <c r="AJ428" s="714"/>
      <c r="AK428" s="714"/>
      <c r="AL428" s="714"/>
      <c r="AM428" s="714"/>
      <c r="AN428" s="714"/>
      <c r="AO428" s="714"/>
      <c r="AP428" s="714"/>
      <c r="AQ428" s="716"/>
    </row>
    <row r="429" spans="1:43" s="708" customFormat="1" ht="12.75" customHeight="1" x14ac:dyDescent="0.25">
      <c r="A429" s="8"/>
      <c r="B429" s="8"/>
      <c r="C429" s="712"/>
      <c r="D429" s="8" t="s">
        <v>521</v>
      </c>
      <c r="E429" s="712"/>
      <c r="F429" s="11"/>
      <c r="G429" s="11"/>
      <c r="H429" s="11"/>
      <c r="I429" s="11"/>
      <c r="J429" s="1202" t="s">
        <v>435</v>
      </c>
      <c r="K429" s="1202"/>
      <c r="L429" s="1207"/>
      <c r="M429" s="1208"/>
      <c r="N429" s="2029">
        <v>6.2299070743148839E-3</v>
      </c>
      <c r="O429" s="2036"/>
      <c r="P429" s="2041">
        <v>5.2570509458107276E-3</v>
      </c>
      <c r="Q429" s="2042"/>
      <c r="R429" s="8"/>
      <c r="S429" s="8"/>
      <c r="T429" s="8"/>
      <c r="U429" s="8"/>
      <c r="V429" s="714"/>
      <c r="W429" s="714"/>
      <c r="X429" s="714"/>
      <c r="Y429" s="714"/>
      <c r="Z429" s="714"/>
      <c r="AA429" s="714"/>
      <c r="AB429" s="714"/>
      <c r="AC429" s="714"/>
      <c r="AD429" s="714"/>
      <c r="AE429" s="714"/>
      <c r="AF429" s="714"/>
      <c r="AG429" s="714"/>
      <c r="AH429" s="714"/>
      <c r="AI429" s="714"/>
      <c r="AJ429" s="714"/>
      <c r="AK429" s="714"/>
      <c r="AL429" s="714"/>
      <c r="AM429" s="714"/>
      <c r="AN429" s="714"/>
      <c r="AO429" s="714"/>
      <c r="AP429" s="714"/>
      <c r="AQ429" s="716"/>
    </row>
    <row r="430" spans="1:43" s="708" customFormat="1" ht="12.75" customHeight="1" x14ac:dyDescent="0.25">
      <c r="A430" s="8"/>
      <c r="B430" s="8"/>
      <c r="C430" s="8"/>
      <c r="D430" s="8"/>
      <c r="E430" s="8"/>
      <c r="F430" s="8"/>
      <c r="G430" s="8"/>
      <c r="H430" s="8"/>
      <c r="I430" s="11"/>
      <c r="J430" s="1157"/>
      <c r="K430" s="1157"/>
      <c r="L430" s="1208"/>
      <c r="M430" s="1208"/>
      <c r="N430" s="1208"/>
      <c r="O430" s="1208"/>
      <c r="P430" s="40"/>
      <c r="Q430" s="8"/>
      <c r="R430" s="8"/>
      <c r="S430" s="8"/>
      <c r="T430" s="8"/>
      <c r="U430" s="8"/>
      <c r="V430" s="714"/>
      <c r="W430" s="714"/>
      <c r="X430" s="714"/>
      <c r="Y430" s="714"/>
      <c r="Z430" s="714"/>
      <c r="AA430" s="714"/>
      <c r="AB430" s="714"/>
      <c r="AC430" s="714"/>
      <c r="AD430" s="714"/>
      <c r="AE430" s="714"/>
      <c r="AF430" s="714"/>
      <c r="AG430" s="714"/>
      <c r="AH430" s="714"/>
      <c r="AI430" s="714"/>
      <c r="AJ430" s="714"/>
      <c r="AK430" s="714"/>
      <c r="AL430" s="714"/>
      <c r="AM430" s="714"/>
      <c r="AN430" s="714"/>
      <c r="AO430" s="714"/>
      <c r="AP430" s="714"/>
      <c r="AQ430" s="716"/>
    </row>
    <row r="431" spans="1:43" s="708" customFormat="1" ht="12.75" customHeight="1" x14ac:dyDescent="0.25">
      <c r="A431" s="8"/>
      <c r="B431" s="8"/>
      <c r="C431" s="8"/>
      <c r="D431" s="8"/>
      <c r="E431" s="8"/>
      <c r="F431" s="8"/>
      <c r="G431" s="8"/>
      <c r="H431" s="8"/>
      <c r="I431" s="8"/>
      <c r="J431" s="1157"/>
      <c r="K431" s="1157"/>
      <c r="L431" s="1208"/>
      <c r="M431" s="1208"/>
      <c r="N431" s="1574" t="s">
        <v>483</v>
      </c>
      <c r="O431" s="1575"/>
      <c r="P431" s="1575"/>
      <c r="Q431" s="1576"/>
      <c r="R431" s="8"/>
      <c r="S431" s="8"/>
      <c r="T431" s="8"/>
      <c r="U431" s="8"/>
      <c r="V431" s="714"/>
      <c r="W431" s="714"/>
      <c r="X431" s="714"/>
      <c r="Y431" s="714"/>
      <c r="Z431" s="714"/>
      <c r="AA431" s="714"/>
      <c r="AB431" s="714"/>
      <c r="AC431" s="714"/>
      <c r="AD431" s="714"/>
      <c r="AE431" s="714"/>
      <c r="AF431" s="714"/>
      <c r="AG431" s="714"/>
      <c r="AH431" s="714"/>
      <c r="AI431" s="714"/>
      <c r="AJ431" s="714"/>
      <c r="AK431" s="714"/>
      <c r="AL431" s="714"/>
      <c r="AM431" s="714"/>
      <c r="AN431" s="714"/>
      <c r="AO431" s="714"/>
      <c r="AP431" s="714"/>
      <c r="AQ431" s="716"/>
    </row>
    <row r="432" spans="1:43" s="708" customFormat="1" ht="12.75" customHeight="1" x14ac:dyDescent="0.25">
      <c r="A432" s="8"/>
      <c r="B432" s="8"/>
      <c r="C432" s="11"/>
      <c r="D432" s="11"/>
      <c r="E432" s="11"/>
      <c r="F432" s="11"/>
      <c r="G432" s="11"/>
      <c r="H432" s="11"/>
      <c r="I432" s="8"/>
      <c r="J432" s="1157"/>
      <c r="K432" s="1157"/>
      <c r="L432" s="1208"/>
      <c r="M432" s="1208"/>
      <c r="N432" s="1577" t="s">
        <v>201</v>
      </c>
      <c r="O432" s="1578"/>
      <c r="P432" s="1579" t="s">
        <v>202</v>
      </c>
      <c r="Q432" s="1580"/>
      <c r="R432" s="8"/>
      <c r="S432" s="8"/>
      <c r="T432" s="8"/>
      <c r="U432" s="8"/>
      <c r="V432" s="714"/>
      <c r="W432" s="714"/>
      <c r="X432" s="714"/>
      <c r="Y432" s="714"/>
      <c r="Z432" s="714"/>
      <c r="AA432" s="714"/>
      <c r="AB432" s="714"/>
      <c r="AC432" s="714"/>
      <c r="AD432" s="714"/>
      <c r="AE432" s="714"/>
      <c r="AF432" s="714"/>
      <c r="AG432" s="714"/>
      <c r="AH432" s="714"/>
      <c r="AI432" s="714"/>
      <c r="AJ432" s="714"/>
      <c r="AK432" s="714"/>
      <c r="AL432" s="714"/>
      <c r="AM432" s="714"/>
      <c r="AN432" s="714"/>
      <c r="AO432" s="714"/>
      <c r="AP432" s="714"/>
      <c r="AQ432" s="716"/>
    </row>
    <row r="433" spans="1:43" s="708" customFormat="1" ht="12.75" customHeight="1" x14ac:dyDescent="0.25">
      <c r="A433" s="8"/>
      <c r="B433" s="8"/>
      <c r="C433" s="11" t="s">
        <v>146</v>
      </c>
      <c r="D433" s="11"/>
      <c r="E433" s="11"/>
      <c r="F433" s="11"/>
      <c r="G433" s="11"/>
      <c r="H433" s="11"/>
      <c r="I433" s="8"/>
      <c r="J433" s="1157"/>
      <c r="K433" s="1157"/>
      <c r="L433" s="1208"/>
      <c r="M433" s="1208"/>
      <c r="N433" s="1587"/>
      <c r="O433" s="1588"/>
      <c r="P433" s="1583"/>
      <c r="Q433" s="1584"/>
      <c r="R433" s="8"/>
      <c r="S433" s="8"/>
      <c r="T433" s="8"/>
      <c r="U433" s="8"/>
      <c r="V433" s="714"/>
      <c r="W433" s="714"/>
      <c r="X433" s="714"/>
      <c r="Y433" s="714"/>
      <c r="Z433" s="714"/>
      <c r="AA433" s="714"/>
      <c r="AB433" s="714"/>
      <c r="AC433" s="714"/>
      <c r="AD433" s="714"/>
      <c r="AE433" s="714"/>
      <c r="AF433" s="714"/>
      <c r="AG433" s="714"/>
      <c r="AH433" s="714"/>
      <c r="AI433" s="714"/>
      <c r="AJ433" s="714"/>
      <c r="AK433" s="714"/>
      <c r="AL433" s="714"/>
      <c r="AM433" s="714"/>
      <c r="AN433" s="714"/>
      <c r="AO433" s="714"/>
      <c r="AP433" s="714"/>
      <c r="AQ433" s="716"/>
    </row>
    <row r="434" spans="1:43" s="708" customFormat="1" ht="12.75" customHeight="1" x14ac:dyDescent="0.25">
      <c r="A434" s="8"/>
      <c r="B434" s="8"/>
      <c r="C434" s="11"/>
      <c r="D434" s="11" t="s">
        <v>246</v>
      </c>
      <c r="E434" s="11"/>
      <c r="F434" s="11"/>
      <c r="G434" s="11"/>
      <c r="H434" s="11"/>
      <c r="I434" s="8"/>
      <c r="J434" s="1157"/>
      <c r="K434" s="1157"/>
      <c r="L434" s="1208"/>
      <c r="M434" s="1208"/>
      <c r="N434" s="1585">
        <v>1.4712145984853697</v>
      </c>
      <c r="O434" s="1586"/>
      <c r="P434" s="2049">
        <v>1.7736885771145947</v>
      </c>
      <c r="Q434" s="2050"/>
      <c r="R434" s="8"/>
      <c r="S434" s="8"/>
      <c r="T434" s="8"/>
      <c r="U434" s="8"/>
      <c r="V434" s="714"/>
      <c r="W434" s="714"/>
      <c r="X434" s="714"/>
      <c r="Y434" s="714"/>
      <c r="Z434" s="714"/>
      <c r="AA434" s="714"/>
      <c r="AB434" s="714"/>
      <c r="AC434" s="714"/>
      <c r="AD434" s="714"/>
      <c r="AE434" s="714"/>
      <c r="AF434" s="714"/>
      <c r="AG434" s="714"/>
      <c r="AH434" s="714"/>
      <c r="AI434" s="714"/>
      <c r="AJ434" s="714"/>
      <c r="AK434" s="714"/>
      <c r="AL434" s="714"/>
      <c r="AM434" s="714"/>
      <c r="AN434" s="714"/>
      <c r="AO434" s="714"/>
      <c r="AP434" s="714"/>
      <c r="AQ434" s="716"/>
    </row>
    <row r="435" spans="1:43" s="708" customFormat="1" ht="12.75" customHeight="1" x14ac:dyDescent="0.25">
      <c r="A435" s="8"/>
      <c r="B435" s="8"/>
      <c r="C435" s="8"/>
      <c r="D435" s="8" t="s">
        <v>490</v>
      </c>
      <c r="E435" s="8"/>
      <c r="F435" s="8"/>
      <c r="G435" s="8"/>
      <c r="H435" s="8"/>
      <c r="I435" s="8"/>
      <c r="J435" s="1156" t="s">
        <v>437</v>
      </c>
      <c r="K435" s="1156"/>
      <c r="L435" s="1207"/>
      <c r="M435" s="1207"/>
      <c r="N435" s="1547">
        <v>934558832.11678815</v>
      </c>
      <c r="O435" s="1548"/>
      <c r="P435" s="2037">
        <v>934558832.11678815</v>
      </c>
      <c r="Q435" s="2038"/>
      <c r="R435" s="8"/>
      <c r="S435" s="8"/>
      <c r="T435" s="8"/>
      <c r="U435" s="8"/>
      <c r="V435" s="714"/>
      <c r="W435" s="714"/>
      <c r="X435" s="714"/>
      <c r="Y435" s="714"/>
      <c r="Z435" s="714"/>
      <c r="AA435" s="714"/>
      <c r="AB435" s="714"/>
      <c r="AC435" s="714"/>
      <c r="AD435" s="714"/>
      <c r="AE435" s="714"/>
      <c r="AF435" s="714"/>
      <c r="AG435" s="714"/>
      <c r="AH435" s="714"/>
      <c r="AI435" s="714"/>
      <c r="AJ435" s="714"/>
      <c r="AK435" s="714"/>
      <c r="AL435" s="714"/>
      <c r="AM435" s="714"/>
      <c r="AN435" s="714"/>
      <c r="AO435" s="714"/>
      <c r="AP435" s="714"/>
      <c r="AQ435" s="716"/>
    </row>
    <row r="436" spans="1:43" s="708" customFormat="1" ht="12.75" customHeight="1" x14ac:dyDescent="0.25">
      <c r="A436" s="8"/>
      <c r="B436" s="8"/>
      <c r="C436" s="8"/>
      <c r="D436" s="1158" t="s">
        <v>563</v>
      </c>
      <c r="E436" s="8"/>
      <c r="F436" s="8"/>
      <c r="G436" s="8"/>
      <c r="H436" s="8"/>
      <c r="I436" s="8"/>
      <c r="J436" s="1156" t="s">
        <v>437</v>
      </c>
      <c r="K436" s="1156"/>
      <c r="L436" s="1207"/>
      <c r="M436" s="1207"/>
      <c r="N436" s="1547">
        <v>634453380.10621774</v>
      </c>
      <c r="O436" s="1548"/>
      <c r="P436" s="2037">
        <v>385738144.22057074</v>
      </c>
      <c r="Q436" s="2038"/>
      <c r="R436" s="8"/>
      <c r="S436" s="8"/>
      <c r="T436" s="8"/>
      <c r="U436" s="8"/>
      <c r="V436" s="714"/>
      <c r="W436" s="714"/>
      <c r="X436" s="714"/>
      <c r="Y436" s="714"/>
      <c r="Z436" s="714"/>
      <c r="AA436" s="714"/>
      <c r="AB436" s="714"/>
      <c r="AC436" s="714"/>
      <c r="AD436" s="714"/>
      <c r="AE436" s="714"/>
      <c r="AF436" s="714"/>
      <c r="AG436" s="714"/>
      <c r="AH436" s="714"/>
      <c r="AI436" s="714"/>
      <c r="AJ436" s="714"/>
      <c r="AK436" s="714"/>
      <c r="AL436" s="714"/>
      <c r="AM436" s="714"/>
      <c r="AN436" s="714"/>
      <c r="AO436" s="714"/>
      <c r="AP436" s="714"/>
      <c r="AQ436" s="716"/>
    </row>
    <row r="437" spans="1:43" s="708" customFormat="1" ht="12.75" customHeight="1" x14ac:dyDescent="0.25">
      <c r="A437" s="8"/>
      <c r="B437" s="8"/>
      <c r="C437" s="8"/>
      <c r="D437" s="8" t="s">
        <v>307</v>
      </c>
      <c r="E437" s="8"/>
      <c r="F437" s="8"/>
      <c r="G437" s="8"/>
      <c r="H437" s="8"/>
      <c r="I437" s="8"/>
      <c r="J437" s="1156" t="s">
        <v>437</v>
      </c>
      <c r="K437" s="1156"/>
      <c r="L437" s="1207"/>
      <c r="M437" s="1207"/>
      <c r="N437" s="1547">
        <v>0</v>
      </c>
      <c r="O437" s="1548"/>
      <c r="P437" s="2037">
        <v>141163164.25890985</v>
      </c>
      <c r="Q437" s="2038"/>
      <c r="R437" s="8"/>
      <c r="S437" s="8"/>
      <c r="T437" s="8"/>
      <c r="U437" s="8"/>
      <c r="V437" s="714"/>
      <c r="W437" s="714"/>
      <c r="X437" s="714"/>
      <c r="Y437" s="714"/>
      <c r="Z437" s="714"/>
      <c r="AA437" s="714"/>
      <c r="AB437" s="714"/>
      <c r="AC437" s="714"/>
      <c r="AD437" s="714"/>
      <c r="AE437" s="714"/>
      <c r="AF437" s="714"/>
      <c r="AG437" s="714"/>
      <c r="AH437" s="714"/>
      <c r="AI437" s="714"/>
      <c r="AJ437" s="714"/>
      <c r="AK437" s="714"/>
      <c r="AL437" s="714"/>
      <c r="AM437" s="714"/>
      <c r="AN437" s="714"/>
      <c r="AO437" s="714"/>
      <c r="AP437" s="714"/>
      <c r="AQ437" s="716"/>
    </row>
    <row r="438" spans="1:43" s="708" customFormat="1" ht="12.75" customHeight="1" x14ac:dyDescent="0.25">
      <c r="A438" s="8"/>
      <c r="B438" s="8"/>
      <c r="C438" s="8"/>
      <c r="D438" s="8" t="s">
        <v>306</v>
      </c>
      <c r="E438" s="8"/>
      <c r="F438" s="8"/>
      <c r="G438" s="8"/>
      <c r="H438" s="8"/>
      <c r="I438" s="8"/>
      <c r="J438" s="1156" t="s">
        <v>437</v>
      </c>
      <c r="K438" s="1156"/>
      <c r="L438" s="1207"/>
      <c r="M438" s="1207"/>
      <c r="N438" s="1547">
        <v>776064.38062053395</v>
      </c>
      <c r="O438" s="1548"/>
      <c r="P438" s="2037">
        <v>0</v>
      </c>
      <c r="Q438" s="2038"/>
      <c r="R438" s="8"/>
      <c r="S438" s="8"/>
      <c r="T438" s="8"/>
      <c r="U438" s="8"/>
      <c r="V438" s="714"/>
      <c r="W438" s="714"/>
      <c r="X438" s="714"/>
      <c r="Y438" s="714"/>
      <c r="Z438" s="714"/>
      <c r="AA438" s="714"/>
      <c r="AB438" s="714"/>
      <c r="AC438" s="714"/>
      <c r="AD438" s="714"/>
      <c r="AE438" s="714"/>
      <c r="AF438" s="714"/>
      <c r="AG438" s="714"/>
      <c r="AH438" s="714"/>
      <c r="AI438" s="714"/>
      <c r="AJ438" s="714"/>
      <c r="AK438" s="714"/>
      <c r="AL438" s="714"/>
      <c r="AM438" s="714"/>
      <c r="AN438" s="714"/>
      <c r="AO438" s="714"/>
      <c r="AP438" s="714"/>
      <c r="AQ438" s="716"/>
    </row>
    <row r="439" spans="1:43" s="708" customFormat="1" ht="12.75" customHeight="1" x14ac:dyDescent="0.25">
      <c r="A439" s="8"/>
      <c r="B439" s="8"/>
      <c r="C439" s="8"/>
      <c r="D439" s="8"/>
      <c r="E439" s="8"/>
      <c r="F439" s="8"/>
      <c r="G439" s="8"/>
      <c r="H439" s="8"/>
      <c r="I439" s="8"/>
      <c r="J439" s="1156"/>
      <c r="K439" s="1156"/>
      <c r="L439" s="1207"/>
      <c r="M439" s="1207"/>
      <c r="N439" s="1438"/>
      <c r="O439" s="1437"/>
      <c r="P439" s="1428"/>
      <c r="Q439" s="1427"/>
      <c r="R439" s="8"/>
      <c r="S439" s="8"/>
      <c r="T439" s="8"/>
      <c r="U439" s="8"/>
      <c r="V439" s="714"/>
      <c r="W439" s="714"/>
      <c r="X439" s="714"/>
      <c r="Y439" s="714"/>
      <c r="Z439" s="714"/>
      <c r="AA439" s="714"/>
      <c r="AB439" s="714"/>
      <c r="AC439" s="714"/>
      <c r="AD439" s="714"/>
      <c r="AE439" s="714"/>
      <c r="AF439" s="714"/>
      <c r="AG439" s="714"/>
      <c r="AH439" s="714"/>
      <c r="AI439" s="714"/>
      <c r="AJ439" s="714"/>
      <c r="AK439" s="714"/>
      <c r="AL439" s="714"/>
      <c r="AM439" s="714"/>
      <c r="AN439" s="714"/>
      <c r="AO439" s="714"/>
      <c r="AP439" s="714"/>
      <c r="AQ439" s="716"/>
    </row>
    <row r="440" spans="1:43" s="708" customFormat="1" ht="12.75" customHeight="1" x14ac:dyDescent="0.25">
      <c r="A440" s="8"/>
      <c r="B440" s="8"/>
      <c r="C440" s="11" t="s">
        <v>147</v>
      </c>
      <c r="D440" s="8"/>
      <c r="E440" s="8"/>
      <c r="F440" s="8"/>
      <c r="G440" s="8"/>
      <c r="H440" s="8"/>
      <c r="I440" s="8"/>
      <c r="J440" s="1156"/>
      <c r="K440" s="1156"/>
      <c r="L440" s="1207"/>
      <c r="M440" s="1207"/>
      <c r="N440" s="1438"/>
      <c r="O440" s="1437"/>
      <c r="P440" s="1428"/>
      <c r="Q440" s="1427"/>
      <c r="R440" s="8"/>
      <c r="S440" s="8"/>
      <c r="T440" s="8"/>
      <c r="U440" s="8"/>
      <c r="V440" s="714"/>
      <c r="W440" s="714"/>
      <c r="X440" s="714"/>
      <c r="Y440" s="714"/>
      <c r="Z440" s="714"/>
      <c r="AA440" s="714"/>
      <c r="AB440" s="714"/>
      <c r="AC440" s="714"/>
      <c r="AD440" s="714"/>
      <c r="AE440" s="714"/>
      <c r="AF440" s="714"/>
      <c r="AG440" s="714"/>
      <c r="AH440" s="714"/>
      <c r="AI440" s="714"/>
      <c r="AJ440" s="714"/>
      <c r="AK440" s="714"/>
      <c r="AL440" s="714"/>
      <c r="AM440" s="714"/>
      <c r="AN440" s="714"/>
      <c r="AO440" s="714"/>
      <c r="AP440" s="714"/>
      <c r="AQ440" s="716"/>
    </row>
    <row r="441" spans="1:43" s="708" customFormat="1" ht="12.75" customHeight="1" x14ac:dyDescent="0.25">
      <c r="A441" s="8"/>
      <c r="B441" s="8"/>
      <c r="C441" s="8"/>
      <c r="D441" s="11" t="s">
        <v>246</v>
      </c>
      <c r="E441" s="11"/>
      <c r="F441" s="11"/>
      <c r="G441" s="11"/>
      <c r="H441" s="11"/>
      <c r="I441" s="8"/>
      <c r="J441" s="1157"/>
      <c r="K441" s="1157"/>
      <c r="L441" s="1208"/>
      <c r="M441" s="1208"/>
      <c r="N441" s="1598"/>
      <c r="O441" s="1590"/>
      <c r="P441" s="2049">
        <v>1.761898985414311</v>
      </c>
      <c r="Q441" s="2050"/>
      <c r="R441" s="8"/>
      <c r="S441" s="8"/>
      <c r="T441" s="8"/>
      <c r="U441" s="8"/>
      <c r="V441" s="714"/>
      <c r="W441" s="714"/>
      <c r="X441" s="714"/>
      <c r="Y441" s="714"/>
      <c r="Z441" s="714"/>
      <c r="AA441" s="714"/>
      <c r="AB441" s="714"/>
      <c r="AC441" s="714"/>
      <c r="AD441" s="714"/>
      <c r="AE441" s="714"/>
      <c r="AF441" s="714"/>
      <c r="AG441" s="714"/>
      <c r="AH441" s="714"/>
      <c r="AI441" s="714"/>
      <c r="AJ441" s="714"/>
      <c r="AK441" s="714"/>
      <c r="AL441" s="714"/>
      <c r="AM441" s="714"/>
      <c r="AN441" s="714"/>
      <c r="AO441" s="714"/>
      <c r="AP441" s="714"/>
      <c r="AQ441" s="716"/>
    </row>
    <row r="442" spans="1:43" s="708" customFormat="1" ht="12.75" customHeight="1" x14ac:dyDescent="0.25">
      <c r="A442" s="8"/>
      <c r="B442" s="8"/>
      <c r="C442" s="8"/>
      <c r="D442" s="8" t="s">
        <v>307</v>
      </c>
      <c r="E442" s="8"/>
      <c r="F442" s="8"/>
      <c r="G442" s="8"/>
      <c r="H442" s="8"/>
      <c r="I442" s="8"/>
      <c r="J442" s="1156" t="s">
        <v>437</v>
      </c>
      <c r="K442" s="1156"/>
      <c r="L442" s="1207"/>
      <c r="M442" s="1207"/>
      <c r="N442" s="1547">
        <v>0</v>
      </c>
      <c r="O442" s="1548"/>
      <c r="P442" s="2037">
        <v>141163164.25890985</v>
      </c>
      <c r="Q442" s="2038"/>
      <c r="R442" s="8"/>
      <c r="S442" s="8"/>
      <c r="T442" s="8"/>
      <c r="U442" s="8"/>
      <c r="V442" s="714"/>
      <c r="W442" s="714"/>
      <c r="X442" s="714"/>
      <c r="Y442" s="714"/>
      <c r="Z442" s="714"/>
      <c r="AA442" s="714"/>
      <c r="AB442" s="714"/>
      <c r="AC442" s="714"/>
      <c r="AD442" s="714"/>
      <c r="AE442" s="714"/>
      <c r="AF442" s="714"/>
      <c r="AG442" s="714"/>
      <c r="AH442" s="714"/>
      <c r="AI442" s="714"/>
      <c r="AJ442" s="714"/>
      <c r="AK442" s="714"/>
      <c r="AL442" s="714"/>
      <c r="AM442" s="714"/>
      <c r="AN442" s="714"/>
      <c r="AO442" s="714"/>
      <c r="AP442" s="714"/>
      <c r="AQ442" s="716"/>
    </row>
    <row r="443" spans="1:43" s="708" customFormat="1" ht="12.75" customHeight="1" x14ac:dyDescent="0.25">
      <c r="A443" s="8"/>
      <c r="B443" s="8"/>
      <c r="C443" s="8"/>
      <c r="D443" s="8" t="s">
        <v>306</v>
      </c>
      <c r="E443" s="8"/>
      <c r="F443" s="8"/>
      <c r="G443" s="8"/>
      <c r="H443" s="8"/>
      <c r="I443" s="8"/>
      <c r="J443" s="1156" t="s">
        <v>437</v>
      </c>
      <c r="K443" s="1156"/>
      <c r="L443" s="1207"/>
      <c r="M443" s="1207"/>
      <c r="N443" s="1547">
        <v>776064.38062053395</v>
      </c>
      <c r="O443" s="1548"/>
      <c r="P443" s="2037">
        <v>0</v>
      </c>
      <c r="Q443" s="2038"/>
      <c r="R443" s="8"/>
      <c r="S443" s="8"/>
      <c r="T443" s="8"/>
      <c r="U443" s="8"/>
      <c r="V443" s="714"/>
      <c r="W443" s="714"/>
      <c r="X443" s="714"/>
      <c r="Y443" s="714"/>
      <c r="Z443" s="714"/>
      <c r="AA443" s="714"/>
      <c r="AB443" s="714"/>
      <c r="AC443" s="714"/>
      <c r="AD443" s="714"/>
      <c r="AE443" s="714"/>
      <c r="AF443" s="714"/>
      <c r="AG443" s="714"/>
      <c r="AH443" s="714"/>
      <c r="AI443" s="714"/>
      <c r="AJ443" s="714"/>
      <c r="AK443" s="714"/>
      <c r="AL443" s="714"/>
      <c r="AM443" s="714"/>
      <c r="AN443" s="714"/>
      <c r="AO443" s="714"/>
      <c r="AP443" s="714"/>
      <c r="AQ443" s="716"/>
    </row>
    <row r="444" spans="1:43" s="708" customFormat="1" ht="12.75" customHeight="1" x14ac:dyDescent="0.25">
      <c r="A444" s="8"/>
      <c r="B444" s="8"/>
      <c r="C444" s="8"/>
      <c r="D444" s="1557" t="s">
        <v>564</v>
      </c>
      <c r="E444" s="1557"/>
      <c r="F444" s="1557"/>
      <c r="G444" s="1557"/>
      <c r="H444" s="1557"/>
      <c r="I444" s="1557"/>
      <c r="J444" s="1156" t="s">
        <v>437</v>
      </c>
      <c r="K444" s="1156"/>
      <c r="L444" s="1207"/>
      <c r="M444" s="1207"/>
      <c r="N444" s="1547">
        <v>634453380.10621774</v>
      </c>
      <c r="O444" s="1548"/>
      <c r="P444" s="2037">
        <v>385738144.22057074</v>
      </c>
      <c r="Q444" s="2038"/>
      <c r="R444" s="29"/>
      <c r="S444" s="8"/>
      <c r="T444" s="8"/>
      <c r="U444" s="8"/>
      <c r="V444" s="714"/>
      <c r="W444" s="714"/>
      <c r="X444" s="714"/>
      <c r="Y444" s="714"/>
      <c r="Z444" s="714"/>
      <c r="AA444" s="714"/>
      <c r="AB444" s="714"/>
      <c r="AC444" s="714"/>
      <c r="AD444" s="714"/>
      <c r="AE444" s="714"/>
      <c r="AF444" s="714"/>
      <c r="AG444" s="714"/>
      <c r="AH444" s="714"/>
      <c r="AI444" s="714"/>
      <c r="AJ444" s="714"/>
      <c r="AK444" s="714"/>
      <c r="AL444" s="714"/>
      <c r="AM444" s="714"/>
      <c r="AN444" s="714"/>
      <c r="AO444" s="714"/>
      <c r="AP444" s="714"/>
      <c r="AQ444" s="716"/>
    </row>
    <row r="445" spans="1:43" s="708" customFormat="1" ht="12.75" customHeight="1" x14ac:dyDescent="0.25">
      <c r="A445" s="757"/>
      <c r="B445" s="8"/>
      <c r="C445" s="8"/>
      <c r="D445" s="1557" t="s">
        <v>565</v>
      </c>
      <c r="E445" s="1557"/>
      <c r="F445" s="1557"/>
      <c r="G445" s="1557"/>
      <c r="H445" s="1557"/>
      <c r="I445" s="1557"/>
      <c r="J445" s="1156" t="s">
        <v>437</v>
      </c>
      <c r="K445" s="1156"/>
      <c r="L445" s="1207"/>
      <c r="M445" s="1207"/>
      <c r="N445" s="1598"/>
      <c r="O445" s="1590"/>
      <c r="P445" s="2037">
        <v>248715235.885647</v>
      </c>
      <c r="Q445" s="2038"/>
      <c r="R445" s="8"/>
      <c r="S445" s="8"/>
      <c r="T445" s="8"/>
      <c r="U445" s="8"/>
      <c r="V445" s="714"/>
      <c r="W445" s="714"/>
      <c r="X445" s="714"/>
      <c r="Y445" s="714"/>
      <c r="Z445" s="714"/>
      <c r="AA445" s="714"/>
      <c r="AB445" s="714"/>
      <c r="AC445" s="714"/>
      <c r="AD445" s="714"/>
      <c r="AE445" s="714"/>
      <c r="AF445" s="714"/>
      <c r="AG445" s="714"/>
      <c r="AH445" s="714"/>
      <c r="AI445" s="714"/>
      <c r="AJ445" s="714"/>
      <c r="AK445" s="714"/>
      <c r="AL445" s="714"/>
      <c r="AM445" s="714"/>
      <c r="AN445" s="714"/>
      <c r="AO445" s="714"/>
      <c r="AP445" s="714"/>
      <c r="AQ445" s="716"/>
    </row>
    <row r="446" spans="1:43" s="708" customFormat="1" ht="12.75" customHeight="1" x14ac:dyDescent="0.25">
      <c r="A446" s="8"/>
      <c r="B446" s="8"/>
      <c r="C446" s="8"/>
      <c r="D446" s="8"/>
      <c r="E446" s="8"/>
      <c r="F446" s="8"/>
      <c r="G446" s="8"/>
      <c r="H446" s="8"/>
      <c r="I446" s="8"/>
      <c r="J446" s="1156"/>
      <c r="K446" s="1156"/>
      <c r="L446" s="1207"/>
      <c r="M446" s="1207"/>
      <c r="N446" s="1438"/>
      <c r="O446" s="1437"/>
      <c r="P446" s="1428"/>
      <c r="Q446" s="1427"/>
      <c r="R446" s="8"/>
      <c r="S446" s="8"/>
      <c r="T446" s="8"/>
      <c r="U446" s="8"/>
      <c r="V446" s="714"/>
      <c r="W446" s="714"/>
      <c r="X446" s="714"/>
      <c r="Y446" s="714"/>
      <c r="Z446" s="714"/>
      <c r="AA446" s="714"/>
      <c r="AB446" s="714"/>
      <c r="AC446" s="714"/>
      <c r="AD446" s="714"/>
      <c r="AE446" s="714"/>
      <c r="AF446" s="714"/>
      <c r="AG446" s="714"/>
      <c r="AH446" s="714"/>
      <c r="AI446" s="714"/>
      <c r="AJ446" s="714"/>
      <c r="AK446" s="714"/>
      <c r="AL446" s="714"/>
      <c r="AM446" s="714"/>
      <c r="AN446" s="714"/>
      <c r="AO446" s="714"/>
      <c r="AP446" s="714"/>
      <c r="AQ446" s="716"/>
    </row>
    <row r="447" spans="1:43" s="708" customFormat="1" ht="12.75" customHeight="1" x14ac:dyDescent="0.25">
      <c r="A447" s="8"/>
      <c r="B447" s="8"/>
      <c r="C447" s="11" t="s">
        <v>187</v>
      </c>
      <c r="D447" s="11"/>
      <c r="E447" s="11"/>
      <c r="F447" s="11"/>
      <c r="G447" s="11"/>
      <c r="H447" s="11"/>
      <c r="I447" s="8"/>
      <c r="J447" s="748"/>
      <c r="K447" s="748"/>
      <c r="L447" s="748"/>
      <c r="M447" s="748"/>
      <c r="N447" s="1611"/>
      <c r="O447" s="1612"/>
      <c r="P447" s="2043"/>
      <c r="Q447" s="2044"/>
      <c r="R447" s="8"/>
      <c r="S447" s="8"/>
      <c r="T447" s="8"/>
      <c r="U447" s="8"/>
      <c r="V447" s="714"/>
      <c r="W447" s="714"/>
      <c r="X447" s="714"/>
      <c r="Y447" s="714"/>
      <c r="Z447" s="714"/>
      <c r="AA447" s="714"/>
      <c r="AB447" s="714"/>
      <c r="AC447" s="714"/>
      <c r="AD447" s="714"/>
      <c r="AE447" s="714"/>
      <c r="AF447" s="714"/>
      <c r="AG447" s="714"/>
      <c r="AH447" s="714"/>
      <c r="AI447" s="714"/>
      <c r="AJ447" s="714"/>
      <c r="AK447" s="714"/>
      <c r="AL447" s="714"/>
      <c r="AM447" s="714"/>
      <c r="AN447" s="714"/>
      <c r="AO447" s="714"/>
      <c r="AP447" s="714"/>
      <c r="AQ447" s="716"/>
    </row>
    <row r="448" spans="1:43" s="708" customFormat="1" ht="12.75" customHeight="1" x14ac:dyDescent="0.25">
      <c r="A448" s="8"/>
      <c r="B448" s="8"/>
      <c r="C448" s="8"/>
      <c r="D448" s="8" t="s">
        <v>491</v>
      </c>
      <c r="E448" s="8"/>
      <c r="F448" s="8"/>
      <c r="G448" s="8"/>
      <c r="H448" s="8"/>
      <c r="I448" s="8"/>
      <c r="J448" s="1156" t="s">
        <v>435</v>
      </c>
      <c r="K448" s="1156"/>
      <c r="L448" s="1207"/>
      <c r="M448" s="1207"/>
      <c r="N448" s="1609">
        <v>9.8897241760966093E-2</v>
      </c>
      <c r="O448" s="1610"/>
      <c r="P448" s="2045">
        <v>8.3455873854893253E-2</v>
      </c>
      <c r="Q448" s="2046"/>
      <c r="R448" s="8"/>
      <c r="S448" s="8"/>
      <c r="T448" s="8"/>
      <c r="U448" s="8"/>
      <c r="V448" s="714"/>
      <c r="W448" s="714"/>
      <c r="X448" s="714"/>
      <c r="Y448" s="714"/>
      <c r="Z448" s="714"/>
      <c r="AA448" s="714"/>
      <c r="AB448" s="714"/>
      <c r="AC448" s="714"/>
      <c r="AD448" s="714"/>
      <c r="AE448" s="714"/>
      <c r="AF448" s="714"/>
      <c r="AG448" s="714"/>
      <c r="AH448" s="714"/>
      <c r="AI448" s="714"/>
      <c r="AJ448" s="714"/>
      <c r="AK448" s="714"/>
      <c r="AL448" s="714"/>
      <c r="AM448" s="714"/>
      <c r="AN448" s="714"/>
      <c r="AO448" s="714"/>
      <c r="AP448" s="714"/>
      <c r="AQ448" s="716"/>
    </row>
    <row r="449" spans="1:45" s="708" customFormat="1" ht="12.75" customHeight="1" x14ac:dyDescent="0.25">
      <c r="A449" s="8"/>
      <c r="B449" s="8"/>
      <c r="C449" s="8"/>
      <c r="D449" s="8" t="s">
        <v>492</v>
      </c>
      <c r="E449" s="8"/>
      <c r="F449" s="8"/>
      <c r="G449" s="8"/>
      <c r="H449" s="8"/>
      <c r="I449" s="8"/>
      <c r="J449" s="1156" t="s">
        <v>16</v>
      </c>
      <c r="K449" s="1156"/>
      <c r="L449" s="1207"/>
      <c r="M449" s="1207"/>
      <c r="N449" s="1443"/>
      <c r="O449" s="1437"/>
      <c r="P449" s="2002">
        <v>-0.15613547588510623</v>
      </c>
      <c r="Q449" s="2003"/>
      <c r="R449" s="8"/>
      <c r="S449" s="8"/>
      <c r="T449" s="8"/>
      <c r="U449" s="8"/>
      <c r="V449" s="714"/>
      <c r="W449" s="714"/>
      <c r="X449" s="714"/>
      <c r="Y449" s="714"/>
      <c r="Z449" s="714"/>
      <c r="AA449" s="714"/>
      <c r="AB449" s="714"/>
      <c r="AC449" s="714"/>
      <c r="AD449" s="714"/>
      <c r="AE449" s="714"/>
      <c r="AF449" s="714"/>
      <c r="AG449" s="714"/>
      <c r="AH449" s="714"/>
      <c r="AI449" s="714"/>
      <c r="AJ449" s="714"/>
      <c r="AK449" s="714"/>
      <c r="AL449" s="714"/>
      <c r="AM449" s="714"/>
      <c r="AN449" s="714"/>
      <c r="AO449" s="714"/>
      <c r="AP449" s="714"/>
      <c r="AQ449" s="716"/>
    </row>
    <row r="450" spans="1:45" s="708" customFormat="1" ht="12.75" customHeight="1" x14ac:dyDescent="0.25">
      <c r="A450" s="8"/>
      <c r="B450" s="8"/>
      <c r="C450" s="8"/>
      <c r="D450" s="8" t="s">
        <v>277</v>
      </c>
      <c r="E450" s="8"/>
      <c r="F450" s="8"/>
      <c r="G450" s="8"/>
      <c r="H450" s="8"/>
      <c r="I450" s="8"/>
      <c r="J450" s="1156" t="s">
        <v>435</v>
      </c>
      <c r="K450" s="1156"/>
      <c r="L450" s="1207"/>
      <c r="M450" s="1207"/>
      <c r="N450" s="1609">
        <v>5.9507503425933327E-2</v>
      </c>
      <c r="O450" s="1610"/>
      <c r="P450" s="2047">
        <v>5.9507503425933327E-2</v>
      </c>
      <c r="Q450" s="2048"/>
      <c r="R450" s="8"/>
      <c r="S450" s="8"/>
      <c r="T450" s="8"/>
      <c r="U450" s="8"/>
      <c r="V450" s="714"/>
      <c r="W450" s="714"/>
      <c r="X450" s="714"/>
      <c r="Y450" s="714"/>
      <c r="Z450" s="714"/>
      <c r="AA450" s="714"/>
      <c r="AB450" s="714"/>
      <c r="AC450" s="714"/>
      <c r="AD450" s="714"/>
      <c r="AE450" s="714"/>
      <c r="AF450" s="714"/>
      <c r="AG450" s="714"/>
      <c r="AH450" s="714"/>
      <c r="AI450" s="714"/>
      <c r="AJ450" s="714"/>
      <c r="AK450" s="714"/>
      <c r="AL450" s="714"/>
      <c r="AM450" s="714"/>
      <c r="AN450" s="714"/>
      <c r="AO450" s="714"/>
      <c r="AP450" s="714"/>
      <c r="AQ450" s="716"/>
    </row>
    <row r="451" spans="1:45" s="708" customFormat="1" ht="12.75" customHeight="1" x14ac:dyDescent="0.25">
      <c r="A451" s="8"/>
      <c r="B451" s="8"/>
      <c r="C451" s="8"/>
      <c r="D451" s="8" t="s">
        <v>308</v>
      </c>
      <c r="E451" s="8"/>
      <c r="F451" s="8"/>
      <c r="G451" s="8"/>
      <c r="H451" s="8"/>
      <c r="I451" s="8"/>
      <c r="J451" s="1156" t="s">
        <v>435</v>
      </c>
      <c r="K451" s="1156"/>
      <c r="L451" s="1207"/>
      <c r="M451" s="1207"/>
      <c r="N451" s="1609">
        <v>3.9389738335032766E-2</v>
      </c>
      <c r="O451" s="1610"/>
      <c r="P451" s="2047">
        <v>2.3948370428959927E-2</v>
      </c>
      <c r="Q451" s="2048"/>
      <c r="R451" s="8"/>
      <c r="S451" s="8"/>
      <c r="T451" s="8"/>
      <c r="U451" s="8"/>
      <c r="V451" s="714"/>
      <c r="W451" s="714"/>
      <c r="X451" s="714"/>
      <c r="Y451" s="714"/>
      <c r="Z451" s="714"/>
      <c r="AA451" s="714"/>
      <c r="AB451" s="714"/>
      <c r="AC451" s="714"/>
      <c r="AD451" s="714"/>
      <c r="AE451" s="714"/>
      <c r="AF451" s="714"/>
      <c r="AG451" s="714"/>
      <c r="AH451" s="714"/>
      <c r="AI451" s="714"/>
      <c r="AJ451" s="714"/>
      <c r="AK451" s="714"/>
      <c r="AL451" s="714"/>
      <c r="AM451" s="714"/>
      <c r="AN451" s="714"/>
      <c r="AO451" s="714"/>
      <c r="AP451" s="714"/>
      <c r="AQ451" s="716"/>
    </row>
    <row r="452" spans="1:45" s="708" customFormat="1" ht="12.75" customHeight="1" x14ac:dyDescent="0.25">
      <c r="A452" s="8"/>
      <c r="B452" s="8"/>
      <c r="C452" s="8"/>
      <c r="D452" s="8"/>
      <c r="E452" s="8"/>
      <c r="F452" s="8"/>
      <c r="G452" s="8"/>
      <c r="H452" s="8"/>
      <c r="I452" s="8"/>
      <c r="J452" s="1156"/>
      <c r="K452" s="1156"/>
      <c r="L452" s="1207"/>
      <c r="M452" s="1207"/>
      <c r="N452" s="1443"/>
      <c r="O452" s="1445"/>
      <c r="P452" s="1425"/>
      <c r="Q452" s="1426"/>
      <c r="R452" s="8"/>
      <c r="S452" s="8"/>
      <c r="T452" s="8"/>
      <c r="U452" s="8"/>
      <c r="V452" s="714"/>
      <c r="W452" s="714"/>
      <c r="X452" s="714"/>
      <c r="Y452" s="714"/>
      <c r="Z452" s="714"/>
      <c r="AA452" s="714"/>
      <c r="AB452" s="714"/>
      <c r="AC452" s="714"/>
      <c r="AD452" s="714"/>
      <c r="AE452" s="714"/>
      <c r="AF452" s="714"/>
      <c r="AG452" s="714"/>
      <c r="AH452" s="714"/>
      <c r="AI452" s="714"/>
      <c r="AJ452" s="714"/>
      <c r="AK452" s="714"/>
      <c r="AL452" s="714"/>
      <c r="AM452" s="714"/>
      <c r="AN452" s="714"/>
      <c r="AO452" s="714"/>
      <c r="AP452" s="714"/>
      <c r="AQ452" s="716"/>
    </row>
    <row r="453" spans="1:45" s="708" customFormat="1" ht="12.75" customHeight="1" x14ac:dyDescent="0.25">
      <c r="A453" s="8"/>
      <c r="B453" s="8"/>
      <c r="C453" s="11" t="s">
        <v>148</v>
      </c>
      <c r="D453" s="11"/>
      <c r="E453" s="11"/>
      <c r="F453" s="11"/>
      <c r="G453" s="11"/>
      <c r="H453" s="11"/>
      <c r="I453" s="8"/>
      <c r="J453" s="748"/>
      <c r="K453" s="748"/>
      <c r="L453" s="748"/>
      <c r="M453" s="748"/>
      <c r="N453" s="1611"/>
      <c r="O453" s="1612"/>
      <c r="P453" s="2043"/>
      <c r="Q453" s="2044"/>
      <c r="R453" s="8"/>
      <c r="S453" s="8"/>
      <c r="T453" s="8"/>
      <c r="U453" s="8"/>
      <c r="V453" s="714"/>
      <c r="W453" s="714"/>
      <c r="X453" s="714"/>
      <c r="Y453" s="714"/>
      <c r="Z453" s="714"/>
      <c r="AA453" s="714"/>
      <c r="AB453" s="714"/>
      <c r="AC453" s="714"/>
      <c r="AD453" s="714"/>
      <c r="AE453" s="714"/>
      <c r="AF453" s="714"/>
      <c r="AG453" s="714"/>
      <c r="AH453" s="714"/>
      <c r="AI453" s="714"/>
      <c r="AJ453" s="714"/>
      <c r="AK453" s="714"/>
      <c r="AL453" s="714"/>
      <c r="AM453" s="714"/>
      <c r="AN453" s="714"/>
      <c r="AO453" s="714"/>
      <c r="AP453" s="714"/>
      <c r="AQ453" s="716"/>
    </row>
    <row r="454" spans="1:45" s="708" customFormat="1" ht="12.75" customHeight="1" x14ac:dyDescent="0.25">
      <c r="A454" s="8"/>
      <c r="B454" s="8"/>
      <c r="C454" s="11"/>
      <c r="D454" s="1504"/>
      <c r="E454" s="1506" t="s">
        <v>689</v>
      </c>
      <c r="F454" s="1504"/>
      <c r="G454" s="1504"/>
      <c r="H454" s="1504"/>
      <c r="I454" s="1504"/>
      <c r="J454" s="1507" t="s">
        <v>438</v>
      </c>
      <c r="K454" s="748"/>
      <c r="L454" s="748"/>
      <c r="M454" s="748"/>
      <c r="N454" s="1989">
        <v>50.423794143161373</v>
      </c>
      <c r="O454" s="1990"/>
      <c r="P454" s="1991">
        <v>30.656910952364765</v>
      </c>
      <c r="Q454" s="1992"/>
      <c r="R454" s="8"/>
      <c r="S454" s="8"/>
      <c r="T454" s="8"/>
      <c r="U454" s="8"/>
      <c r="V454" s="714"/>
      <c r="W454" s="714"/>
      <c r="X454" s="714"/>
      <c r="Y454" s="714"/>
      <c r="Z454" s="714"/>
      <c r="AA454" s="714"/>
      <c r="AB454" s="714"/>
      <c r="AC454" s="714"/>
      <c r="AD454" s="714"/>
      <c r="AE454" s="714"/>
      <c r="AF454" s="714"/>
      <c r="AG454" s="714"/>
      <c r="AH454" s="714"/>
      <c r="AI454" s="714"/>
      <c r="AJ454" s="714"/>
      <c r="AK454" s="714"/>
      <c r="AL454" s="714"/>
      <c r="AM454" s="714"/>
      <c r="AN454" s="714"/>
      <c r="AO454" s="714"/>
      <c r="AP454" s="714"/>
      <c r="AQ454" s="716"/>
    </row>
    <row r="455" spans="1:45" s="708" customFormat="1" ht="12.75" customHeight="1" x14ac:dyDescent="0.25">
      <c r="A455" s="8"/>
      <c r="B455" s="8"/>
      <c r="C455" s="11"/>
      <c r="D455" s="1504"/>
      <c r="E455" s="1506" t="s">
        <v>690</v>
      </c>
      <c r="F455" s="1504"/>
      <c r="G455" s="1504"/>
      <c r="H455" s="1504"/>
      <c r="I455" s="1504"/>
      <c r="J455" s="1507" t="s">
        <v>438</v>
      </c>
      <c r="K455" s="748"/>
      <c r="L455" s="748"/>
      <c r="M455" s="748"/>
      <c r="N455" s="1989">
        <v>0</v>
      </c>
      <c r="O455" s="1990"/>
      <c r="P455" s="1991">
        <v>11.219078593287469</v>
      </c>
      <c r="Q455" s="1992"/>
      <c r="R455" s="8"/>
      <c r="S455" s="8"/>
      <c r="T455" s="8"/>
      <c r="U455" s="8"/>
      <c r="V455" s="714"/>
      <c r="W455" s="714"/>
      <c r="X455" s="714"/>
      <c r="Y455" s="714"/>
      <c r="Z455" s="714"/>
      <c r="AA455" s="714"/>
      <c r="AB455" s="714"/>
      <c r="AC455" s="714"/>
      <c r="AD455" s="714"/>
      <c r="AE455" s="714"/>
      <c r="AF455" s="714"/>
      <c r="AG455" s="714"/>
      <c r="AH455" s="714"/>
      <c r="AI455" s="714"/>
      <c r="AJ455" s="714"/>
      <c r="AK455" s="714"/>
      <c r="AL455" s="714"/>
      <c r="AM455" s="714"/>
      <c r="AN455" s="714"/>
      <c r="AO455" s="714"/>
      <c r="AP455" s="714"/>
      <c r="AQ455" s="716"/>
    </row>
    <row r="456" spans="1:45" s="708" customFormat="1" ht="12.75" customHeight="1" x14ac:dyDescent="0.25">
      <c r="A456" s="8"/>
      <c r="B456" s="8"/>
      <c r="C456" s="11"/>
      <c r="D456" s="1504"/>
      <c r="E456" s="1506" t="s">
        <v>691</v>
      </c>
      <c r="F456" s="1504"/>
      <c r="G456" s="1504"/>
      <c r="H456" s="1504"/>
      <c r="I456" s="1504"/>
      <c r="J456" s="1507" t="s">
        <v>438</v>
      </c>
      <c r="K456" s="748"/>
      <c r="L456" s="748"/>
      <c r="M456" s="748"/>
      <c r="N456" s="1989">
        <v>6.1678464954664586E-2</v>
      </c>
      <c r="O456" s="1990"/>
      <c r="P456" s="1991">
        <v>0</v>
      </c>
      <c r="Q456" s="1992"/>
      <c r="R456" s="8"/>
      <c r="S456" s="8"/>
      <c r="T456" s="8"/>
      <c r="U456" s="8"/>
      <c r="V456" s="714"/>
      <c r="W456" s="714"/>
      <c r="X456" s="714"/>
      <c r="Y456" s="714"/>
      <c r="Z456" s="714"/>
      <c r="AA456" s="714"/>
      <c r="AB456" s="714"/>
      <c r="AC456" s="714"/>
      <c r="AD456" s="714"/>
      <c r="AE456" s="714"/>
      <c r="AF456" s="714"/>
      <c r="AG456" s="714"/>
      <c r="AH456" s="714"/>
      <c r="AI456" s="714"/>
      <c r="AJ456" s="714"/>
      <c r="AK456" s="714"/>
      <c r="AL456" s="714"/>
      <c r="AM456" s="714"/>
      <c r="AN456" s="714"/>
      <c r="AO456" s="714"/>
      <c r="AP456" s="714"/>
      <c r="AQ456" s="716"/>
    </row>
    <row r="457" spans="1:45" s="708" customFormat="1" ht="12.75" customHeight="1" x14ac:dyDescent="0.25">
      <c r="A457" s="8"/>
      <c r="B457" s="8"/>
      <c r="C457" s="8"/>
      <c r="D457" s="1505" t="s">
        <v>692</v>
      </c>
      <c r="E457" s="1505"/>
      <c r="F457" s="1505"/>
      <c r="G457" s="1505"/>
      <c r="H457" s="1505"/>
      <c r="I457" s="1505"/>
      <c r="J457" s="1508" t="s">
        <v>438</v>
      </c>
      <c r="K457" s="1156"/>
      <c r="L457" s="1207"/>
      <c r="M457" s="1207"/>
      <c r="N457" s="2010">
        <v>50.485472608116041</v>
      </c>
      <c r="O457" s="2011"/>
      <c r="P457" s="2012">
        <v>41.875989545652232</v>
      </c>
      <c r="Q457" s="2013"/>
      <c r="R457" s="8"/>
      <c r="S457" s="8"/>
      <c r="T457" s="8"/>
      <c r="U457" s="8"/>
      <c r="V457" s="714"/>
      <c r="W457" s="714"/>
      <c r="X457" s="714"/>
      <c r="Y457" s="714"/>
      <c r="Z457" s="714"/>
      <c r="AA457" s="714"/>
      <c r="AB457" s="714"/>
      <c r="AC457" s="714"/>
      <c r="AD457" s="714"/>
      <c r="AE457" s="714"/>
      <c r="AF457" s="714"/>
      <c r="AG457" s="714"/>
      <c r="AH457" s="714"/>
      <c r="AI457" s="714"/>
      <c r="AJ457" s="714"/>
      <c r="AK457" s="714"/>
      <c r="AL457" s="714"/>
      <c r="AM457" s="714"/>
      <c r="AN457" s="714"/>
      <c r="AO457" s="714"/>
      <c r="AP457" s="714"/>
      <c r="AQ457" s="716"/>
    </row>
    <row r="458" spans="1:45" s="708" customFormat="1" ht="12.75" customHeight="1" x14ac:dyDescent="0.25">
      <c r="A458" s="8"/>
      <c r="B458" s="8"/>
      <c r="C458" s="8"/>
      <c r="D458" s="8" t="s">
        <v>309</v>
      </c>
      <c r="E458" s="8"/>
      <c r="F458" s="8"/>
      <c r="G458" s="8"/>
      <c r="H458" s="8"/>
      <c r="I458" s="8"/>
      <c r="J458" s="1156" t="s">
        <v>16</v>
      </c>
      <c r="K458" s="1156"/>
      <c r="L458" s="1207"/>
      <c r="M458" s="1207"/>
      <c r="N458" s="1446"/>
      <c r="O458" s="1444"/>
      <c r="P458" s="2002">
        <v>-0.170533870788797</v>
      </c>
      <c r="Q458" s="2003"/>
      <c r="R458" s="8"/>
      <c r="S458" s="8"/>
      <c r="T458" s="8"/>
      <c r="U458" s="8"/>
      <c r="V458" s="714"/>
      <c r="W458" s="714"/>
      <c r="X458" s="714"/>
      <c r="Y458" s="714"/>
      <c r="Z458" s="714"/>
      <c r="AA458" s="714"/>
      <c r="AB458" s="714"/>
      <c r="AC458" s="714"/>
      <c r="AD458" s="714"/>
      <c r="AE458" s="714"/>
      <c r="AF458" s="714"/>
      <c r="AG458" s="714"/>
      <c r="AH458" s="714"/>
      <c r="AI458" s="714"/>
      <c r="AJ458" s="714"/>
      <c r="AK458" s="714"/>
      <c r="AL458" s="714"/>
      <c r="AM458" s="714"/>
      <c r="AN458" s="714"/>
      <c r="AO458" s="714"/>
      <c r="AP458" s="714"/>
      <c r="AQ458" s="716"/>
    </row>
    <row r="459" spans="1:45" s="708" customFormat="1" ht="12.75" customHeight="1" x14ac:dyDescent="0.25">
      <c r="A459" s="8"/>
      <c r="B459" s="8"/>
      <c r="C459" s="8"/>
      <c r="D459" s="1557" t="s">
        <v>566</v>
      </c>
      <c r="E459" s="1557"/>
      <c r="F459" s="1557"/>
      <c r="G459" s="1557"/>
      <c r="H459" s="1557"/>
      <c r="I459" s="1557"/>
      <c r="J459" s="1156" t="s">
        <v>368</v>
      </c>
      <c r="K459" s="1156"/>
      <c r="L459" s="1207"/>
      <c r="M459" s="1207"/>
      <c r="N459" s="1613">
        <v>12.58242048</v>
      </c>
      <c r="O459" s="1614"/>
      <c r="P459" s="1596">
        <v>12.58242048</v>
      </c>
      <c r="Q459" s="1597"/>
      <c r="R459" s="8"/>
      <c r="S459" s="8"/>
      <c r="T459" s="8"/>
      <c r="U459" s="8"/>
      <c r="V459" s="714"/>
      <c r="W459" s="714"/>
      <c r="X459" s="714"/>
      <c r="Y459" s="714"/>
      <c r="Z459" s="714"/>
      <c r="AA459" s="714"/>
      <c r="AB459" s="714"/>
      <c r="AC459" s="714"/>
      <c r="AD459" s="714"/>
      <c r="AE459" s="714"/>
      <c r="AF459" s="714"/>
      <c r="AG459" s="714"/>
      <c r="AH459" s="714"/>
      <c r="AI459" s="714"/>
      <c r="AJ459" s="714"/>
      <c r="AK459" s="714"/>
      <c r="AL459" s="714"/>
      <c r="AM459" s="714"/>
      <c r="AN459" s="714"/>
      <c r="AO459" s="714"/>
      <c r="AP459" s="714"/>
      <c r="AQ459" s="716"/>
    </row>
    <row r="460" spans="1:45" s="712" customFormat="1" ht="12.75" customHeight="1" x14ac:dyDescent="0.25">
      <c r="A460" s="711"/>
      <c r="B460" s="708"/>
      <c r="C460" s="708"/>
      <c r="F460" s="713"/>
      <c r="G460" s="713"/>
      <c r="H460" s="713"/>
      <c r="I460" s="713"/>
      <c r="J460" s="714"/>
      <c r="K460" s="714"/>
      <c r="L460" s="714"/>
      <c r="M460" s="714"/>
      <c r="N460" s="714"/>
      <c r="O460" s="714"/>
      <c r="P460" s="714"/>
      <c r="Q460" s="714"/>
      <c r="R460" s="714"/>
      <c r="S460" s="714"/>
      <c r="T460" s="714"/>
      <c r="U460" s="714"/>
      <c r="V460" s="714"/>
      <c r="W460" s="714"/>
      <c r="X460" s="714"/>
      <c r="Y460" s="714"/>
      <c r="Z460" s="714"/>
      <c r="AA460" s="714"/>
      <c r="AB460" s="714"/>
      <c r="AC460" s="714"/>
      <c r="AD460" s="714"/>
      <c r="AE460" s="714"/>
      <c r="AF460" s="714"/>
      <c r="AG460" s="714"/>
      <c r="AH460" s="714"/>
      <c r="AI460" s="714"/>
      <c r="AJ460" s="714"/>
      <c r="AK460" s="714"/>
      <c r="AL460" s="714"/>
      <c r="AM460" s="714"/>
      <c r="AN460" s="714"/>
      <c r="AO460" s="714"/>
      <c r="AP460" s="715"/>
      <c r="AQ460" s="716"/>
      <c r="AR460" s="708"/>
      <c r="AS460" s="708"/>
    </row>
    <row r="461" spans="1:45" s="712" customFormat="1" ht="12.75" customHeight="1" x14ac:dyDescent="0.25">
      <c r="A461" s="711"/>
      <c r="B461" s="52" t="s">
        <v>616</v>
      </c>
      <c r="C461" s="21"/>
      <c r="D461" s="21"/>
      <c r="E461" s="21"/>
      <c r="F461" s="21"/>
      <c r="G461" s="21"/>
      <c r="H461" s="21"/>
      <c r="I461" s="21"/>
      <c r="J461" s="22"/>
      <c r="K461" s="22"/>
      <c r="L461" s="22"/>
      <c r="M461" s="22"/>
      <c r="N461" s="22"/>
      <c r="O461" s="21"/>
      <c r="P461" s="21"/>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715"/>
      <c r="AQ461" s="716"/>
      <c r="AR461" s="708"/>
      <c r="AS461" s="708"/>
    </row>
    <row r="462" spans="1:45" s="712" customFormat="1" ht="12.75" customHeight="1" x14ac:dyDescent="0.25">
      <c r="A462" s="711"/>
      <c r="B462" s="708"/>
      <c r="C462" s="708"/>
      <c r="F462" s="713"/>
      <c r="G462" s="713"/>
      <c r="H462" s="713"/>
      <c r="I462" s="713"/>
      <c r="J462" s="714"/>
      <c r="K462" s="714"/>
      <c r="L462" s="714"/>
      <c r="M462" s="714"/>
      <c r="N462" s="714"/>
      <c r="O462" s="714"/>
      <c r="P462" s="714"/>
      <c r="Q462" s="714"/>
      <c r="R462" s="714"/>
      <c r="S462" s="714"/>
      <c r="T462" s="714"/>
      <c r="U462" s="714"/>
      <c r="V462" s="714"/>
      <c r="W462" s="714"/>
      <c r="X462" s="714"/>
      <c r="Y462" s="714"/>
      <c r="Z462" s="714"/>
      <c r="AA462" s="714"/>
      <c r="AB462" s="714"/>
      <c r="AC462" s="714"/>
      <c r="AD462" s="714"/>
      <c r="AE462" s="714"/>
      <c r="AF462" s="714"/>
      <c r="AG462" s="714"/>
      <c r="AH462" s="714"/>
      <c r="AI462" s="714"/>
      <c r="AJ462" s="714"/>
      <c r="AK462" s="714"/>
      <c r="AL462" s="714"/>
      <c r="AM462" s="714"/>
      <c r="AN462" s="714"/>
      <c r="AO462" s="714"/>
      <c r="AP462" s="715"/>
      <c r="AQ462" s="716"/>
      <c r="AR462" s="708"/>
      <c r="AS462" s="708"/>
    </row>
    <row r="463" spans="1:45" s="712" customFormat="1" ht="12.75" customHeight="1" x14ac:dyDescent="0.25">
      <c r="A463" s="711"/>
      <c r="B463" s="708"/>
      <c r="C463" s="1993" t="s">
        <v>619</v>
      </c>
      <c r="D463" s="1994"/>
      <c r="E463" s="1994"/>
      <c r="F463" s="1994"/>
      <c r="G463" s="1994"/>
      <c r="H463" s="1994"/>
      <c r="I463" s="1994"/>
      <c r="J463" s="1994"/>
      <c r="K463" s="1994"/>
      <c r="L463" s="1994"/>
      <c r="M463" s="1994"/>
      <c r="N463" s="1994"/>
      <c r="O463" s="1994"/>
      <c r="P463" s="1994"/>
      <c r="Q463" s="1995"/>
      <c r="R463" s="714"/>
      <c r="S463" s="714"/>
      <c r="T463" s="714"/>
      <c r="U463" s="714"/>
      <c r="V463" s="714"/>
      <c r="W463" s="714"/>
      <c r="X463" s="714"/>
      <c r="Y463" s="714"/>
      <c r="Z463" s="714"/>
      <c r="AA463" s="714"/>
      <c r="AB463" s="714"/>
      <c r="AC463" s="714"/>
      <c r="AD463" s="714"/>
      <c r="AE463" s="714"/>
      <c r="AF463" s="714"/>
      <c r="AG463" s="714"/>
      <c r="AH463" s="714"/>
      <c r="AI463" s="714"/>
      <c r="AJ463" s="714"/>
      <c r="AK463" s="714"/>
      <c r="AL463" s="714"/>
      <c r="AM463" s="714"/>
      <c r="AN463" s="714"/>
      <c r="AO463" s="714"/>
      <c r="AP463" s="715"/>
      <c r="AQ463" s="716"/>
      <c r="AR463" s="708"/>
      <c r="AS463" s="708"/>
    </row>
    <row r="464" spans="1:45" s="712" customFormat="1" ht="12.75" customHeight="1" x14ac:dyDescent="0.25">
      <c r="A464" s="711"/>
      <c r="B464" s="708"/>
      <c r="C464" s="1996"/>
      <c r="D464" s="1997"/>
      <c r="E464" s="1997"/>
      <c r="F464" s="1997"/>
      <c r="G464" s="1997"/>
      <c r="H464" s="1997"/>
      <c r="I464" s="1997"/>
      <c r="J464" s="1997"/>
      <c r="K464" s="1997"/>
      <c r="L464" s="1997"/>
      <c r="M464" s="1997"/>
      <c r="N464" s="1997"/>
      <c r="O464" s="1997"/>
      <c r="P464" s="1997"/>
      <c r="Q464" s="1998"/>
      <c r="R464" s="714"/>
      <c r="S464" s="714"/>
      <c r="T464" s="714"/>
      <c r="U464" s="714"/>
      <c r="V464" s="714"/>
      <c r="W464" s="714"/>
      <c r="X464" s="714"/>
      <c r="Y464" s="714"/>
      <c r="Z464" s="714"/>
      <c r="AA464" s="714"/>
      <c r="AB464" s="714"/>
      <c r="AC464" s="714"/>
      <c r="AD464" s="714"/>
      <c r="AE464" s="714"/>
      <c r="AF464" s="714"/>
      <c r="AG464" s="714"/>
      <c r="AH464" s="714"/>
      <c r="AI464" s="714"/>
      <c r="AJ464" s="714"/>
      <c r="AK464" s="714"/>
      <c r="AL464" s="714"/>
      <c r="AM464" s="714"/>
      <c r="AN464" s="714"/>
      <c r="AO464" s="714"/>
      <c r="AP464" s="715"/>
      <c r="AQ464" s="716"/>
      <c r="AR464" s="708"/>
      <c r="AS464" s="708"/>
    </row>
    <row r="465" spans="1:45" s="712" customFormat="1" ht="12.75" customHeight="1" x14ac:dyDescent="0.25">
      <c r="A465" s="711"/>
      <c r="B465" s="708"/>
      <c r="C465" s="1996"/>
      <c r="D465" s="1997"/>
      <c r="E465" s="1997"/>
      <c r="F465" s="1997"/>
      <c r="G465" s="1997"/>
      <c r="H465" s="1997"/>
      <c r="I465" s="1997"/>
      <c r="J465" s="1997"/>
      <c r="K465" s="1997"/>
      <c r="L465" s="1997"/>
      <c r="M465" s="1997"/>
      <c r="N465" s="1997"/>
      <c r="O465" s="1997"/>
      <c r="P465" s="1997"/>
      <c r="Q465" s="1998"/>
      <c r="R465" s="714"/>
      <c r="S465" s="714"/>
      <c r="T465" s="714"/>
      <c r="U465" s="714"/>
      <c r="V465" s="714"/>
      <c r="W465" s="714"/>
      <c r="X465" s="714"/>
      <c r="Y465" s="714"/>
      <c r="Z465" s="714"/>
      <c r="AA465" s="714"/>
      <c r="AB465" s="714"/>
      <c r="AC465" s="714"/>
      <c r="AD465" s="714"/>
      <c r="AE465" s="714"/>
      <c r="AF465" s="714"/>
      <c r="AG465" s="714"/>
      <c r="AH465" s="714"/>
      <c r="AI465" s="714"/>
      <c r="AJ465" s="714"/>
      <c r="AK465" s="714"/>
      <c r="AL465" s="714"/>
      <c r="AM465" s="714"/>
      <c r="AN465" s="714"/>
      <c r="AO465" s="714"/>
      <c r="AP465" s="715"/>
      <c r="AQ465" s="716"/>
      <c r="AR465" s="708"/>
      <c r="AS465" s="708"/>
    </row>
    <row r="466" spans="1:45" s="712" customFormat="1" ht="12.75" customHeight="1" x14ac:dyDescent="0.25">
      <c r="A466" s="711"/>
      <c r="B466" s="708"/>
      <c r="C466" s="1996"/>
      <c r="D466" s="1997"/>
      <c r="E466" s="1997"/>
      <c r="F466" s="1997"/>
      <c r="G466" s="1997"/>
      <c r="H466" s="1997"/>
      <c r="I466" s="1997"/>
      <c r="J466" s="1997"/>
      <c r="K466" s="1997"/>
      <c r="L466" s="1997"/>
      <c r="M466" s="1997"/>
      <c r="N466" s="1997"/>
      <c r="O466" s="1997"/>
      <c r="P466" s="1997"/>
      <c r="Q466" s="1998"/>
      <c r="R466" s="714"/>
      <c r="S466" s="714"/>
      <c r="T466" s="714"/>
      <c r="U466" s="714"/>
      <c r="V466" s="714"/>
      <c r="W466" s="714"/>
      <c r="X466" s="714"/>
      <c r="Y466" s="714"/>
      <c r="Z466" s="714"/>
      <c r="AA466" s="714"/>
      <c r="AB466" s="714"/>
      <c r="AC466" s="714"/>
      <c r="AD466" s="714"/>
      <c r="AE466" s="714"/>
      <c r="AF466" s="714"/>
      <c r="AG466" s="714"/>
      <c r="AH466" s="714"/>
      <c r="AI466" s="714"/>
      <c r="AJ466" s="714"/>
      <c r="AK466" s="714"/>
      <c r="AL466" s="714"/>
      <c r="AM466" s="714"/>
      <c r="AN466" s="714"/>
      <c r="AO466" s="714"/>
      <c r="AP466" s="715"/>
      <c r="AQ466" s="716"/>
      <c r="AR466" s="708"/>
      <c r="AS466" s="708"/>
    </row>
    <row r="467" spans="1:45" s="712" customFormat="1" ht="12.75" customHeight="1" x14ac:dyDescent="0.25">
      <c r="A467" s="711"/>
      <c r="B467" s="708"/>
      <c r="C467" s="1996"/>
      <c r="D467" s="1997"/>
      <c r="E467" s="1997"/>
      <c r="F467" s="1997"/>
      <c r="G467" s="1997"/>
      <c r="H467" s="1997"/>
      <c r="I467" s="1997"/>
      <c r="J467" s="1997"/>
      <c r="K467" s="1997"/>
      <c r="L467" s="1997"/>
      <c r="M467" s="1997"/>
      <c r="N467" s="1997"/>
      <c r="O467" s="1997"/>
      <c r="P467" s="1997"/>
      <c r="Q467" s="1998"/>
      <c r="R467" s="714"/>
      <c r="S467" s="714"/>
      <c r="T467" s="714"/>
      <c r="U467" s="714"/>
      <c r="V467" s="714"/>
      <c r="W467" s="714"/>
      <c r="X467" s="714"/>
      <c r="Y467" s="714"/>
      <c r="Z467" s="714"/>
      <c r="AA467" s="714"/>
      <c r="AB467" s="714"/>
      <c r="AC467" s="714"/>
      <c r="AD467" s="714"/>
      <c r="AE467" s="714"/>
      <c r="AF467" s="714"/>
      <c r="AG467" s="714"/>
      <c r="AH467" s="714"/>
      <c r="AI467" s="714"/>
      <c r="AJ467" s="714"/>
      <c r="AK467" s="714"/>
      <c r="AL467" s="714"/>
      <c r="AM467" s="714"/>
      <c r="AN467" s="714"/>
      <c r="AO467" s="714"/>
      <c r="AP467" s="715"/>
      <c r="AQ467" s="716"/>
      <c r="AR467" s="708"/>
      <c r="AS467" s="708"/>
    </row>
    <row r="468" spans="1:45" s="712" customFormat="1" ht="12.75" customHeight="1" x14ac:dyDescent="0.25">
      <c r="A468" s="711"/>
      <c r="B468" s="708"/>
      <c r="C468" s="1996"/>
      <c r="D468" s="1997"/>
      <c r="E468" s="1997"/>
      <c r="F468" s="1997"/>
      <c r="G468" s="1997"/>
      <c r="H468" s="1997"/>
      <c r="I468" s="1997"/>
      <c r="J468" s="1997"/>
      <c r="K468" s="1997"/>
      <c r="L468" s="1997"/>
      <c r="M468" s="1997"/>
      <c r="N468" s="1997"/>
      <c r="O468" s="1997"/>
      <c r="P468" s="1997"/>
      <c r="Q468" s="1998"/>
      <c r="R468" s="714"/>
      <c r="S468" s="714"/>
      <c r="T468" s="714"/>
      <c r="U468" s="714"/>
      <c r="V468" s="714"/>
      <c r="W468" s="714"/>
      <c r="X468" s="714"/>
      <c r="Y468" s="714"/>
      <c r="Z468" s="714"/>
      <c r="AA468" s="714"/>
      <c r="AB468" s="714"/>
      <c r="AC468" s="714"/>
      <c r="AD468" s="714"/>
      <c r="AE468" s="714"/>
      <c r="AF468" s="714"/>
      <c r="AG468" s="714"/>
      <c r="AH468" s="714"/>
      <c r="AI468" s="714"/>
      <c r="AJ468" s="714"/>
      <c r="AK468" s="714"/>
      <c r="AL468" s="714"/>
      <c r="AM468" s="714"/>
      <c r="AN468" s="714"/>
      <c r="AO468" s="714"/>
      <c r="AP468" s="715"/>
      <c r="AQ468" s="716"/>
      <c r="AR468" s="708"/>
      <c r="AS468" s="708"/>
    </row>
    <row r="469" spans="1:45" s="712" customFormat="1" ht="12.75" customHeight="1" x14ac:dyDescent="0.25">
      <c r="A469" s="711"/>
      <c r="B469" s="708"/>
      <c r="C469" s="1999"/>
      <c r="D469" s="2000"/>
      <c r="E469" s="2000"/>
      <c r="F469" s="2000"/>
      <c r="G469" s="2000"/>
      <c r="H469" s="2000"/>
      <c r="I469" s="2000"/>
      <c r="J469" s="2000"/>
      <c r="K469" s="2000"/>
      <c r="L469" s="2000"/>
      <c r="M469" s="2000"/>
      <c r="N469" s="2000"/>
      <c r="O469" s="2000"/>
      <c r="P469" s="2000"/>
      <c r="Q469" s="2001"/>
      <c r="R469" s="714"/>
      <c r="S469" s="714"/>
      <c r="T469" s="714"/>
      <c r="U469" s="714"/>
      <c r="V469" s="714"/>
      <c r="W469" s="714"/>
      <c r="X469" s="714"/>
      <c r="Y469" s="714"/>
      <c r="Z469" s="714"/>
      <c r="AA469" s="714"/>
      <c r="AB469" s="714"/>
      <c r="AC469" s="714"/>
      <c r="AD469" s="714"/>
      <c r="AE469" s="714"/>
      <c r="AF469" s="714"/>
      <c r="AG469" s="714"/>
      <c r="AH469" s="714"/>
      <c r="AI469" s="714"/>
      <c r="AJ469" s="714"/>
      <c r="AK469" s="714"/>
      <c r="AL469" s="714"/>
      <c r="AM469" s="714"/>
      <c r="AN469" s="714"/>
      <c r="AO469" s="714"/>
      <c r="AP469" s="715"/>
      <c r="AQ469" s="716"/>
      <c r="AR469" s="708"/>
      <c r="AS469" s="708"/>
    </row>
    <row r="470" spans="1:45" s="712" customFormat="1" ht="12.75" customHeight="1" x14ac:dyDescent="0.25">
      <c r="A470" s="711"/>
      <c r="B470" s="708"/>
      <c r="C470" s="708"/>
      <c r="F470" s="713"/>
      <c r="G470" s="713"/>
      <c r="H470" s="713"/>
      <c r="I470" s="713"/>
      <c r="J470" s="714"/>
      <c r="K470" s="714"/>
      <c r="L470" s="714"/>
      <c r="M470" s="714"/>
      <c r="N470" s="714"/>
      <c r="O470" s="714"/>
      <c r="P470" s="714"/>
      <c r="Q470" s="714"/>
      <c r="R470" s="714"/>
      <c r="S470" s="714"/>
      <c r="T470" s="714"/>
      <c r="U470" s="714"/>
      <c r="V470" s="714"/>
      <c r="W470" s="714"/>
      <c r="X470" s="714"/>
      <c r="Y470" s="714"/>
      <c r="Z470" s="714"/>
      <c r="AA470" s="714"/>
      <c r="AB470" s="714"/>
      <c r="AC470" s="714"/>
      <c r="AD470" s="714"/>
      <c r="AE470" s="714"/>
      <c r="AF470" s="714"/>
      <c r="AG470" s="714"/>
      <c r="AH470" s="714"/>
      <c r="AI470" s="714"/>
      <c r="AJ470" s="714"/>
      <c r="AK470" s="714"/>
      <c r="AL470" s="714"/>
      <c r="AM470" s="714"/>
      <c r="AN470" s="714"/>
      <c r="AO470" s="714"/>
      <c r="AP470" s="715"/>
      <c r="AQ470" s="716"/>
      <c r="AR470" s="708"/>
      <c r="AS470" s="708"/>
    </row>
    <row r="471" spans="1:45" s="712" customFormat="1" ht="12.75" customHeight="1" x14ac:dyDescent="0.25">
      <c r="A471" s="711"/>
      <c r="B471" s="708"/>
      <c r="C471" s="708"/>
      <c r="F471" s="713"/>
      <c r="G471" s="713"/>
      <c r="H471" s="713"/>
      <c r="I471" s="713"/>
      <c r="J471" s="714"/>
      <c r="K471" s="714"/>
      <c r="L471" s="714"/>
      <c r="M471" s="714"/>
      <c r="N471" s="714"/>
      <c r="O471" s="714"/>
      <c r="P471" s="714"/>
      <c r="Q471" s="714"/>
      <c r="R471" s="714"/>
      <c r="S471" s="714"/>
      <c r="T471" s="714"/>
      <c r="U471" s="714"/>
      <c r="V471" s="714"/>
      <c r="W471" s="714"/>
      <c r="X471" s="714"/>
      <c r="Y471" s="714"/>
      <c r="Z471" s="714"/>
      <c r="AA471" s="714"/>
      <c r="AB471" s="714"/>
      <c r="AC471" s="714"/>
      <c r="AD471" s="714"/>
      <c r="AE471" s="714"/>
      <c r="AF471" s="714"/>
      <c r="AG471" s="714"/>
      <c r="AH471" s="714"/>
      <c r="AI471" s="714"/>
      <c r="AJ471" s="714"/>
      <c r="AK471" s="714"/>
      <c r="AL471" s="714"/>
      <c r="AM471" s="714"/>
      <c r="AN471" s="714"/>
      <c r="AO471" s="714"/>
      <c r="AP471" s="715"/>
      <c r="AQ471" s="716"/>
      <c r="AR471" s="708"/>
      <c r="AS471" s="708"/>
    </row>
    <row r="472" spans="1:45" s="712" customFormat="1" ht="12.75" customHeight="1" x14ac:dyDescent="0.25">
      <c r="A472" s="711"/>
      <c r="B472" s="708"/>
      <c r="C472" s="708"/>
      <c r="F472" s="713"/>
      <c r="G472" s="713"/>
      <c r="H472" s="713"/>
      <c r="I472" s="713"/>
      <c r="J472" s="714"/>
      <c r="K472" s="714"/>
      <c r="L472" s="714"/>
      <c r="M472" s="714"/>
      <c r="N472" s="714"/>
      <c r="O472" s="714"/>
      <c r="P472" s="714"/>
      <c r="Q472" s="714"/>
      <c r="R472" s="714"/>
      <c r="S472" s="714"/>
      <c r="T472" s="714"/>
      <c r="U472" s="714"/>
      <c r="V472" s="714"/>
      <c r="W472" s="714"/>
      <c r="X472" s="714"/>
      <c r="Y472" s="714"/>
      <c r="Z472" s="714"/>
      <c r="AA472" s="714"/>
      <c r="AB472" s="714"/>
      <c r="AC472" s="714"/>
      <c r="AD472" s="714"/>
      <c r="AE472" s="714"/>
      <c r="AF472" s="714"/>
      <c r="AG472" s="714"/>
      <c r="AH472" s="714"/>
      <c r="AI472" s="714"/>
      <c r="AJ472" s="714"/>
      <c r="AK472" s="714"/>
      <c r="AL472" s="714"/>
      <c r="AM472" s="714"/>
      <c r="AN472" s="714"/>
      <c r="AO472" s="714"/>
      <c r="AP472" s="715"/>
      <c r="AQ472" s="716"/>
      <c r="AR472" s="708"/>
      <c r="AS472" s="708"/>
    </row>
    <row r="473" spans="1:45" s="712" customFormat="1" ht="12.75" customHeight="1" x14ac:dyDescent="0.25">
      <c r="A473" s="44" t="s">
        <v>640</v>
      </c>
      <c r="B473" s="44"/>
      <c r="C473" s="44"/>
      <c r="D473" s="44"/>
      <c r="E473" s="44"/>
      <c r="F473" s="44"/>
      <c r="G473" s="44"/>
      <c r="H473" s="44"/>
      <c r="I473" s="44"/>
      <c r="J473" s="45"/>
      <c r="K473" s="45"/>
      <c r="L473" s="45"/>
      <c r="M473" s="46"/>
      <c r="N473" s="46"/>
      <c r="O473" s="46"/>
      <c r="P473" s="46"/>
      <c r="Q473" s="46"/>
      <c r="R473" s="46"/>
      <c r="S473" s="46"/>
      <c r="T473" s="46"/>
      <c r="U473" s="46"/>
      <c r="V473" s="46"/>
      <c r="W473" s="46"/>
      <c r="X473" s="46"/>
      <c r="Y473" s="46"/>
      <c r="Z473" s="46"/>
      <c r="AA473" s="46"/>
      <c r="AB473" s="46"/>
      <c r="AC473" s="46"/>
      <c r="AD473" s="46"/>
      <c r="AE473" s="46"/>
      <c r="AF473" s="46"/>
      <c r="AG473" s="46"/>
      <c r="AH473" s="46"/>
      <c r="AI473" s="46"/>
      <c r="AJ473" s="46"/>
      <c r="AK473" s="46"/>
      <c r="AL473" s="46"/>
      <c r="AM473" s="46"/>
      <c r="AN473" s="46"/>
      <c r="AO473" s="46"/>
      <c r="AP473" s="715"/>
      <c r="AQ473" s="716"/>
      <c r="AR473" s="708"/>
      <c r="AS473" s="708"/>
    </row>
    <row r="474" spans="1:45" s="712" customFormat="1" ht="12.75" customHeight="1" x14ac:dyDescent="0.25">
      <c r="A474" s="711"/>
      <c r="B474" s="708"/>
      <c r="C474" s="708"/>
      <c r="F474" s="713"/>
      <c r="G474" s="713"/>
      <c r="H474" s="713"/>
      <c r="I474" s="713"/>
      <c r="J474" s="714"/>
      <c r="K474" s="714"/>
      <c r="L474" s="714"/>
      <c r="M474" s="714"/>
      <c r="N474" s="714"/>
      <c r="O474" s="714"/>
      <c r="P474" s="714"/>
      <c r="Q474" s="714"/>
      <c r="R474" s="714"/>
      <c r="S474" s="714"/>
      <c r="T474" s="714"/>
      <c r="U474" s="714"/>
      <c r="V474" s="714"/>
      <c r="W474" s="714"/>
      <c r="X474" s="714"/>
      <c r="Y474" s="714"/>
      <c r="Z474" s="714"/>
      <c r="AA474" s="714"/>
      <c r="AB474" s="714"/>
      <c r="AC474" s="714"/>
      <c r="AD474" s="714"/>
      <c r="AE474" s="714"/>
      <c r="AF474" s="714"/>
      <c r="AG474" s="714"/>
      <c r="AH474" s="714"/>
      <c r="AI474" s="714"/>
      <c r="AJ474" s="714"/>
      <c r="AK474" s="714"/>
      <c r="AL474" s="714"/>
      <c r="AM474" s="714"/>
      <c r="AN474" s="714"/>
      <c r="AO474" s="714"/>
      <c r="AP474" s="715"/>
      <c r="AQ474" s="716"/>
      <c r="AR474" s="708"/>
      <c r="AS474" s="708"/>
    </row>
    <row r="475" spans="1:45" s="712" customFormat="1" ht="12.75" customHeight="1" x14ac:dyDescent="0.25">
      <c r="A475" s="711"/>
      <c r="B475" s="55" t="s">
        <v>550</v>
      </c>
      <c r="C475" s="55"/>
      <c r="D475" s="81"/>
      <c r="E475" s="81"/>
      <c r="F475" s="81"/>
      <c r="G475" s="81"/>
      <c r="H475" s="81"/>
      <c r="I475" s="81"/>
      <c r="J475" s="81"/>
      <c r="K475" s="81"/>
      <c r="L475" s="81"/>
      <c r="M475" s="81"/>
      <c r="N475" s="81"/>
      <c r="O475" s="55"/>
      <c r="P475" s="55"/>
      <c r="Q475" s="55"/>
      <c r="R475" s="797"/>
      <c r="S475" s="797"/>
      <c r="T475" s="797"/>
      <c r="U475" s="797"/>
      <c r="V475" s="797"/>
      <c r="W475" s="797"/>
      <c r="X475" s="797"/>
      <c r="Y475" s="797"/>
      <c r="Z475" s="797"/>
      <c r="AA475" s="797"/>
      <c r="AB475" s="797"/>
      <c r="AC475" s="797"/>
      <c r="AD475" s="797"/>
      <c r="AE475" s="797"/>
      <c r="AF475" s="797"/>
      <c r="AG475" s="797"/>
      <c r="AH475" s="797"/>
      <c r="AI475" s="797"/>
      <c r="AJ475" s="797"/>
      <c r="AK475" s="797"/>
      <c r="AL475" s="797"/>
      <c r="AM475" s="797"/>
      <c r="AN475" s="797"/>
      <c r="AO475" s="797"/>
      <c r="AP475" s="715"/>
      <c r="AQ475" s="716"/>
      <c r="AR475" s="708"/>
      <c r="AS475" s="708"/>
    </row>
    <row r="476" spans="1:45" s="712" customFormat="1" ht="12.75" customHeight="1" x14ac:dyDescent="0.25">
      <c r="A476" s="711"/>
      <c r="B476" s="708"/>
      <c r="C476" s="708"/>
      <c r="F476" s="713"/>
      <c r="G476" s="713"/>
      <c r="H476" s="713"/>
      <c r="I476" s="713"/>
      <c r="J476" s="714"/>
      <c r="K476" s="714"/>
      <c r="L476" s="714"/>
      <c r="M476" s="714"/>
      <c r="N476" s="714"/>
      <c r="O476" s="714"/>
      <c r="P476" s="714"/>
      <c r="Q476" s="714"/>
      <c r="R476" s="714"/>
      <c r="S476" s="714"/>
      <c r="T476" s="714"/>
      <c r="U476" s="714"/>
      <c r="V476" s="714"/>
      <c r="W476" s="714"/>
      <c r="X476" s="714"/>
      <c r="Y476" s="714"/>
      <c r="Z476" s="714"/>
      <c r="AA476" s="714"/>
      <c r="AB476" s="714"/>
      <c r="AC476" s="714"/>
      <c r="AD476" s="714"/>
      <c r="AE476" s="714"/>
      <c r="AF476" s="714"/>
      <c r="AG476" s="714"/>
      <c r="AH476" s="714"/>
      <c r="AI476" s="714"/>
      <c r="AJ476" s="714"/>
      <c r="AK476" s="714"/>
      <c r="AL476" s="714"/>
      <c r="AM476" s="714"/>
      <c r="AN476" s="714"/>
      <c r="AO476" s="714"/>
      <c r="AP476" s="715"/>
      <c r="AQ476" s="716"/>
      <c r="AR476" s="708"/>
      <c r="AS476" s="708"/>
    </row>
    <row r="477" spans="1:45" s="712" customFormat="1" ht="12.75" customHeight="1" x14ac:dyDescent="0.25">
      <c r="A477" s="711"/>
      <c r="B477" s="708"/>
      <c r="C477" s="708" t="s">
        <v>609</v>
      </c>
      <c r="F477" s="713"/>
      <c r="G477" s="713"/>
      <c r="I477" s="713"/>
      <c r="J477" s="714"/>
      <c r="K477" s="714"/>
      <c r="L477" s="714"/>
      <c r="M477" s="714"/>
      <c r="N477" s="714"/>
      <c r="O477" s="2022" t="s">
        <v>610</v>
      </c>
      <c r="P477" s="2023"/>
      <c r="Q477" s="714"/>
      <c r="R477" s="714"/>
      <c r="S477" s="714"/>
      <c r="T477" s="714"/>
      <c r="U477" s="714"/>
      <c r="V477" s="714"/>
      <c r="W477" s="714"/>
      <c r="X477" s="714"/>
      <c r="Y477" s="714"/>
      <c r="Z477" s="714"/>
      <c r="AA477" s="714"/>
      <c r="AB477" s="714"/>
      <c r="AC477" s="714"/>
      <c r="AD477" s="714"/>
      <c r="AE477" s="714"/>
      <c r="AF477" s="714"/>
      <c r="AG477" s="714"/>
      <c r="AH477" s="714"/>
      <c r="AI477" s="714"/>
      <c r="AJ477" s="714"/>
      <c r="AK477" s="714"/>
      <c r="AL477" s="714"/>
      <c r="AM477" s="714"/>
      <c r="AN477" s="714"/>
      <c r="AO477" s="714"/>
      <c r="AP477" s="715"/>
      <c r="AQ477" s="716"/>
      <c r="AR477" s="708"/>
      <c r="AS477" s="708"/>
    </row>
    <row r="478" spans="1:45" s="712" customFormat="1" ht="12.75" customHeight="1" x14ac:dyDescent="0.25">
      <c r="A478" s="711"/>
      <c r="B478" s="708"/>
      <c r="C478" s="708"/>
      <c r="D478" s="708" t="s">
        <v>549</v>
      </c>
      <c r="F478" s="713"/>
      <c r="G478" s="713"/>
      <c r="I478" s="713"/>
      <c r="J478" s="68" t="s">
        <v>16</v>
      </c>
      <c r="K478" s="68"/>
      <c r="L478" s="68"/>
      <c r="M478" s="714"/>
      <c r="N478" s="714"/>
      <c r="O478" s="2004">
        <v>0</v>
      </c>
      <c r="P478" s="2005"/>
      <c r="Q478" s="714"/>
      <c r="R478" s="714"/>
      <c r="S478" s="714"/>
      <c r="T478" s="714"/>
      <c r="U478" s="714"/>
      <c r="V478" s="714"/>
      <c r="W478" s="714"/>
      <c r="X478" s="714"/>
      <c r="Y478" s="714"/>
      <c r="Z478" s="714"/>
      <c r="AA478" s="714"/>
      <c r="AB478" s="714"/>
      <c r="AC478" s="714"/>
      <c r="AD478" s="714"/>
      <c r="AE478" s="714"/>
      <c r="AF478" s="714"/>
      <c r="AG478" s="714"/>
      <c r="AH478" s="714"/>
      <c r="AI478" s="714"/>
      <c r="AJ478" s="714"/>
      <c r="AK478" s="714"/>
      <c r="AL478" s="714"/>
      <c r="AM478" s="714"/>
      <c r="AN478" s="714"/>
      <c r="AO478" s="714"/>
      <c r="AP478" s="715"/>
      <c r="AQ478" s="716"/>
      <c r="AR478" s="708"/>
      <c r="AS478" s="708"/>
    </row>
    <row r="479" spans="1:45" s="712" customFormat="1" ht="12.75" customHeight="1" x14ac:dyDescent="0.25">
      <c r="A479" s="711"/>
      <c r="B479" s="708"/>
      <c r="C479" s="708"/>
      <c r="D479" s="708" t="s">
        <v>576</v>
      </c>
      <c r="F479" s="713"/>
      <c r="G479" s="713"/>
      <c r="I479" s="713"/>
      <c r="J479" s="68" t="s">
        <v>16</v>
      </c>
      <c r="K479" s="68"/>
      <c r="L479" s="68"/>
      <c r="M479" s="714"/>
      <c r="N479" s="714"/>
      <c r="O479" s="2024" t="s">
        <v>611</v>
      </c>
      <c r="P479" s="2025"/>
      <c r="Q479" s="714"/>
      <c r="R479" s="714"/>
      <c r="S479" s="714"/>
      <c r="T479" s="714"/>
      <c r="U479" s="714"/>
      <c r="V479" s="714"/>
      <c r="W479" s="714"/>
      <c r="X479" s="714"/>
      <c r="Y479" s="714"/>
      <c r="Z479" s="714"/>
      <c r="AA479" s="714"/>
      <c r="AB479" s="714"/>
      <c r="AC479" s="714"/>
      <c r="AD479" s="714"/>
      <c r="AE479" s="714"/>
      <c r="AF479" s="714"/>
      <c r="AG479" s="714"/>
      <c r="AH479" s="714"/>
      <c r="AI479" s="714"/>
      <c r="AJ479" s="714"/>
      <c r="AK479" s="714"/>
      <c r="AL479" s="714"/>
      <c r="AM479" s="714"/>
      <c r="AN479" s="714"/>
      <c r="AO479" s="714"/>
      <c r="AP479" s="715"/>
      <c r="AQ479" s="716"/>
      <c r="AR479" s="708"/>
      <c r="AS479" s="708"/>
    </row>
    <row r="480" spans="1:45" s="712" customFormat="1" ht="12.75" customHeight="1" x14ac:dyDescent="0.25">
      <c r="A480" s="711"/>
      <c r="B480" s="708"/>
      <c r="C480" s="708"/>
      <c r="D480" s="708" t="s">
        <v>579</v>
      </c>
      <c r="F480" s="713"/>
      <c r="G480" s="713"/>
      <c r="H480" s="713"/>
      <c r="I480" s="713"/>
      <c r="J480" s="714"/>
      <c r="K480" s="714"/>
      <c r="L480" s="714"/>
      <c r="M480" s="714"/>
      <c r="N480" s="714"/>
      <c r="O480" s="2006">
        <v>-0.01</v>
      </c>
      <c r="P480" s="2007"/>
      <c r="Q480" s="714"/>
      <c r="R480" s="714"/>
      <c r="S480" s="714"/>
      <c r="T480" s="714"/>
      <c r="U480" s="714"/>
      <c r="V480" s="714"/>
      <c r="W480" s="714"/>
      <c r="X480" s="714"/>
      <c r="Y480" s="714"/>
      <c r="Z480" s="714"/>
      <c r="AA480" s="714"/>
      <c r="AB480" s="714"/>
      <c r="AC480" s="714"/>
      <c r="AD480" s="714"/>
      <c r="AE480" s="714"/>
      <c r="AF480" s="714"/>
      <c r="AG480" s="714"/>
      <c r="AH480" s="714"/>
      <c r="AI480" s="714"/>
      <c r="AJ480" s="714"/>
      <c r="AK480" s="714"/>
      <c r="AL480" s="714"/>
      <c r="AM480" s="714"/>
      <c r="AN480" s="714"/>
      <c r="AO480" s="714"/>
      <c r="AP480" s="715"/>
      <c r="AQ480" s="716"/>
      <c r="AR480" s="708"/>
      <c r="AS480" s="708"/>
    </row>
    <row r="481" spans="1:45" s="712" customFormat="1" ht="13.2" customHeight="1" x14ac:dyDescent="0.25">
      <c r="A481" s="711"/>
      <c r="B481" s="708"/>
      <c r="C481" s="708"/>
      <c r="F481" s="713"/>
      <c r="G481" s="713"/>
      <c r="H481" s="713"/>
      <c r="I481" s="713"/>
      <c r="J481" s="714"/>
      <c r="K481" s="714"/>
      <c r="L481" s="714"/>
      <c r="M481" s="714"/>
      <c r="N481" s="714"/>
      <c r="O481" s="714"/>
      <c r="P481" s="714"/>
      <c r="Q481" s="714"/>
      <c r="R481" s="714"/>
      <c r="S481" s="714"/>
      <c r="T481" s="714"/>
      <c r="U481" s="714"/>
      <c r="V481" s="714"/>
      <c r="W481" s="714"/>
      <c r="X481" s="714"/>
      <c r="Y481" s="714"/>
      <c r="Z481" s="714"/>
      <c r="AA481" s="714"/>
      <c r="AB481" s="714"/>
      <c r="AC481" s="714"/>
      <c r="AD481" s="714"/>
      <c r="AE481" s="714"/>
      <c r="AF481" s="714"/>
      <c r="AG481" s="714"/>
      <c r="AH481" s="714"/>
      <c r="AI481" s="714"/>
      <c r="AJ481" s="714"/>
      <c r="AK481" s="714"/>
      <c r="AL481" s="714"/>
      <c r="AM481" s="714"/>
      <c r="AN481" s="714"/>
      <c r="AO481" s="714"/>
      <c r="AP481" s="715"/>
      <c r="AQ481" s="716"/>
      <c r="AR481" s="708"/>
      <c r="AS481" s="708"/>
    </row>
    <row r="482" spans="1:45" s="712" customFormat="1" ht="12.75" customHeight="1" x14ac:dyDescent="0.25">
      <c r="A482" s="711"/>
      <c r="B482" s="52" t="s">
        <v>577</v>
      </c>
      <c r="C482" s="21"/>
      <c r="D482" s="21"/>
      <c r="E482" s="21"/>
      <c r="F482" s="21"/>
      <c r="G482" s="21"/>
      <c r="H482" s="21"/>
      <c r="I482" s="21"/>
      <c r="J482" s="22"/>
      <c r="K482" s="22"/>
      <c r="L482" s="22"/>
      <c r="M482" s="22"/>
      <c r="N482" s="22"/>
      <c r="O482" s="21"/>
      <c r="P482" s="21"/>
      <c r="Q482" s="21"/>
      <c r="R482" s="21"/>
      <c r="S482" s="21"/>
      <c r="T482" s="21"/>
      <c r="U482" s="21"/>
      <c r="V482" s="714"/>
      <c r="W482" s="714"/>
      <c r="X482" s="714"/>
      <c r="Y482" s="714"/>
      <c r="Z482" s="714"/>
      <c r="AA482" s="714"/>
      <c r="AB482" s="714"/>
      <c r="AC482" s="714"/>
      <c r="AD482" s="714"/>
      <c r="AE482" s="714"/>
      <c r="AF482" s="714"/>
      <c r="AG482" s="714"/>
      <c r="AH482" s="714"/>
      <c r="AI482" s="714"/>
      <c r="AJ482" s="714"/>
      <c r="AK482" s="714"/>
      <c r="AL482" s="714"/>
      <c r="AM482" s="714"/>
      <c r="AN482" s="714"/>
      <c r="AO482" s="714"/>
      <c r="AP482" s="715"/>
      <c r="AQ482" s="716"/>
      <c r="AR482" s="708"/>
      <c r="AS482" s="708"/>
    </row>
    <row r="483" spans="1:45" s="712" customFormat="1" ht="12.75" customHeight="1" x14ac:dyDescent="0.25">
      <c r="A483" s="711"/>
      <c r="B483" s="8"/>
      <c r="C483" s="8"/>
      <c r="D483" s="8"/>
      <c r="E483" s="8"/>
      <c r="F483" s="8"/>
      <c r="G483" s="8"/>
      <c r="H483" s="8"/>
      <c r="I483" s="11"/>
      <c r="J483" s="1157"/>
      <c r="K483" s="1157"/>
      <c r="L483" s="1157"/>
      <c r="M483" s="1157"/>
      <c r="N483" s="1157"/>
      <c r="O483" s="1157"/>
      <c r="P483" s="40"/>
      <c r="Q483" s="8"/>
      <c r="R483" s="8"/>
      <c r="S483" s="8"/>
      <c r="T483" s="8"/>
      <c r="U483" s="8"/>
      <c r="V483" s="714"/>
      <c r="W483" s="714"/>
      <c r="X483" s="714"/>
      <c r="Y483" s="714"/>
      <c r="Z483" s="714"/>
      <c r="AA483" s="714"/>
      <c r="AB483" s="714"/>
      <c r="AC483" s="714"/>
      <c r="AD483" s="714"/>
      <c r="AE483" s="714"/>
      <c r="AF483" s="714"/>
      <c r="AG483" s="714"/>
      <c r="AH483" s="714"/>
      <c r="AI483" s="714"/>
      <c r="AJ483" s="714"/>
      <c r="AK483" s="714"/>
      <c r="AL483" s="714"/>
      <c r="AM483" s="714"/>
      <c r="AN483" s="714"/>
      <c r="AO483" s="714"/>
      <c r="AP483" s="715"/>
      <c r="AQ483" s="716"/>
      <c r="AR483" s="708"/>
      <c r="AS483" s="708"/>
    </row>
    <row r="484" spans="1:45" s="712" customFormat="1" ht="12.75" customHeight="1" x14ac:dyDescent="0.25">
      <c r="A484" s="711"/>
      <c r="B484" s="8"/>
      <c r="C484" s="8"/>
      <c r="D484" s="8"/>
      <c r="E484" s="8"/>
      <c r="F484" s="8"/>
      <c r="G484" s="8"/>
      <c r="H484" s="8"/>
      <c r="I484" s="11"/>
      <c r="J484" s="1157"/>
      <c r="K484" s="1157"/>
      <c r="L484" s="1157"/>
      <c r="M484" s="1157"/>
      <c r="N484" s="1157"/>
      <c r="O484" s="1157"/>
      <c r="P484" s="40"/>
      <c r="Q484" s="8"/>
      <c r="R484" s="8"/>
      <c r="S484" s="8"/>
      <c r="T484" s="8"/>
      <c r="U484" s="8"/>
      <c r="V484" s="714"/>
      <c r="W484" s="714"/>
      <c r="X484" s="714"/>
      <c r="Y484" s="714"/>
      <c r="Z484" s="714"/>
      <c r="AA484" s="714"/>
      <c r="AB484" s="714"/>
      <c r="AC484" s="714"/>
      <c r="AD484" s="714"/>
      <c r="AE484" s="714"/>
      <c r="AF484" s="714"/>
      <c r="AG484" s="714"/>
      <c r="AH484" s="714"/>
      <c r="AI484" s="714"/>
      <c r="AJ484" s="714"/>
      <c r="AK484" s="714"/>
      <c r="AL484" s="714"/>
      <c r="AM484" s="714"/>
      <c r="AN484" s="714"/>
      <c r="AO484" s="714"/>
      <c r="AP484" s="715"/>
      <c r="AQ484" s="716"/>
      <c r="AR484" s="708"/>
      <c r="AS484" s="708"/>
    </row>
    <row r="485" spans="1:45" s="708" customFormat="1" ht="12.75" customHeight="1" x14ac:dyDescent="0.25">
      <c r="A485" s="8"/>
      <c r="B485" s="8"/>
      <c r="C485" s="8"/>
      <c r="D485" s="8"/>
      <c r="E485" s="8"/>
      <c r="F485" s="8"/>
      <c r="G485" s="8"/>
      <c r="H485" s="8"/>
      <c r="I485" s="11"/>
      <c r="J485" s="1157"/>
      <c r="K485" s="1157"/>
      <c r="L485" s="1902" t="s">
        <v>201</v>
      </c>
      <c r="M485" s="1903"/>
      <c r="N485" s="1903"/>
      <c r="O485" s="1904"/>
      <c r="P485" s="1899" t="s">
        <v>202</v>
      </c>
      <c r="Q485" s="1900"/>
      <c r="R485" s="1900"/>
      <c r="S485" s="1901"/>
      <c r="T485" s="8"/>
      <c r="U485" s="8"/>
      <c r="V485" s="714"/>
      <c r="W485" s="714"/>
      <c r="X485" s="714"/>
      <c r="Y485" s="714"/>
      <c r="Z485" s="714"/>
      <c r="AA485" s="714"/>
      <c r="AB485" s="714"/>
      <c r="AC485" s="714"/>
      <c r="AD485" s="714"/>
      <c r="AE485" s="714"/>
      <c r="AF485" s="714"/>
      <c r="AG485" s="714"/>
      <c r="AH485" s="714"/>
      <c r="AI485" s="714"/>
      <c r="AJ485" s="714"/>
      <c r="AK485" s="714"/>
      <c r="AL485" s="714"/>
      <c r="AM485" s="714"/>
      <c r="AN485" s="714"/>
      <c r="AO485" s="714"/>
      <c r="AP485" s="714"/>
      <c r="AQ485" s="716"/>
    </row>
    <row r="486" spans="1:45" s="708" customFormat="1" ht="12.75" customHeight="1" x14ac:dyDescent="0.25">
      <c r="A486" s="8"/>
      <c r="B486" s="8"/>
      <c r="C486" s="8"/>
      <c r="D486" s="8"/>
      <c r="E486" s="8"/>
      <c r="F486" s="8"/>
      <c r="G486" s="8"/>
      <c r="H486" s="8"/>
      <c r="I486" s="11"/>
      <c r="J486" s="1157"/>
      <c r="K486" s="1157"/>
      <c r="L486" s="1873" t="s">
        <v>230</v>
      </c>
      <c r="M486" s="1874"/>
      <c r="N486" s="1874"/>
      <c r="O486" s="1875"/>
      <c r="P486" s="1930" t="s">
        <v>230</v>
      </c>
      <c r="Q486" s="1931"/>
      <c r="R486" s="1931"/>
      <c r="S486" s="1932"/>
      <c r="T486" s="8"/>
      <c r="U486" s="8"/>
      <c r="V486" s="714"/>
      <c r="W486" s="714"/>
      <c r="X486" s="714"/>
      <c r="Y486" s="714"/>
      <c r="Z486" s="714"/>
      <c r="AA486" s="714"/>
      <c r="AB486" s="714"/>
      <c r="AC486" s="714"/>
      <c r="AD486" s="714"/>
      <c r="AE486" s="714"/>
      <c r="AF486" s="714"/>
      <c r="AG486" s="714"/>
      <c r="AH486" s="714"/>
      <c r="AI486" s="714"/>
      <c r="AJ486" s="714"/>
      <c r="AK486" s="714"/>
      <c r="AL486" s="714"/>
      <c r="AM486" s="714"/>
      <c r="AN486" s="714"/>
      <c r="AO486" s="714"/>
      <c r="AP486" s="714"/>
      <c r="AQ486" s="716"/>
    </row>
    <row r="487" spans="1:45" s="708" customFormat="1" ht="38.700000000000003" customHeight="1" x14ac:dyDescent="0.25">
      <c r="A487" s="8"/>
      <c r="B487" s="8"/>
      <c r="C487" s="1159" t="s">
        <v>78</v>
      </c>
      <c r="D487" s="849"/>
      <c r="E487" s="849"/>
      <c r="F487" s="849"/>
      <c r="G487" s="849"/>
      <c r="H487" s="849"/>
      <c r="I487" s="849"/>
      <c r="J487" s="849"/>
      <c r="K487" s="849"/>
      <c r="L487" s="1209" t="s">
        <v>228</v>
      </c>
      <c r="M487" s="1209" t="s">
        <v>219</v>
      </c>
      <c r="N487" s="1210" t="s">
        <v>227</v>
      </c>
      <c r="O487" s="1211" t="s">
        <v>226</v>
      </c>
      <c r="P487" s="1212" t="s">
        <v>228</v>
      </c>
      <c r="Q487" s="1212" t="s">
        <v>219</v>
      </c>
      <c r="R487" s="1213" t="s">
        <v>227</v>
      </c>
      <c r="S487" s="1214" t="s">
        <v>226</v>
      </c>
      <c r="T487" s="8"/>
      <c r="U487" s="8"/>
      <c r="V487" s="714"/>
      <c r="W487" s="714"/>
      <c r="X487" s="714"/>
      <c r="Y487" s="714"/>
      <c r="Z487" s="714"/>
      <c r="AA487" s="714"/>
      <c r="AB487" s="714"/>
      <c r="AC487" s="714"/>
      <c r="AD487" s="714"/>
      <c r="AE487" s="714"/>
      <c r="AF487" s="714"/>
      <c r="AG487" s="714"/>
      <c r="AH487" s="714"/>
      <c r="AI487" s="714"/>
      <c r="AJ487" s="714"/>
      <c r="AK487" s="714"/>
      <c r="AL487" s="714"/>
      <c r="AM487" s="714"/>
      <c r="AN487" s="714"/>
      <c r="AO487" s="714"/>
      <c r="AP487" s="714"/>
      <c r="AQ487" s="716"/>
    </row>
    <row r="488" spans="1:45" s="708" customFormat="1" ht="12.75" customHeight="1" x14ac:dyDescent="0.25">
      <c r="A488" s="8"/>
      <c r="B488" s="8"/>
      <c r="C488" s="857" t="s">
        <v>152</v>
      </c>
      <c r="D488" s="57"/>
      <c r="E488" s="182"/>
      <c r="F488" s="57"/>
      <c r="G488" s="57"/>
      <c r="H488" s="57"/>
      <c r="I488" s="57"/>
      <c r="J488" s="57"/>
      <c r="K488" s="57"/>
      <c r="L488" s="1215">
        <v>0.16</v>
      </c>
      <c r="M488" s="859" t="s">
        <v>232</v>
      </c>
      <c r="N488" s="860" t="s">
        <v>232</v>
      </c>
      <c r="O488" s="861">
        <v>7.4999999999999997E-2</v>
      </c>
      <c r="P488" s="1500">
        <v>0.13426815854213742</v>
      </c>
      <c r="Q488" s="1451" t="s">
        <v>232</v>
      </c>
      <c r="R488" s="1452" t="s">
        <v>232</v>
      </c>
      <c r="S488" s="1503">
        <v>6.2739087422943082E-2</v>
      </c>
      <c r="T488" s="8"/>
      <c r="U488" s="8"/>
      <c r="V488" s="714"/>
      <c r="W488" s="714"/>
      <c r="X488" s="714"/>
      <c r="Y488" s="714"/>
      <c r="Z488" s="714"/>
      <c r="AA488" s="714"/>
      <c r="AB488" s="714"/>
      <c r="AC488" s="714"/>
      <c r="AD488" s="714"/>
      <c r="AE488" s="714"/>
      <c r="AF488" s="714"/>
      <c r="AG488" s="714"/>
      <c r="AH488" s="714"/>
      <c r="AI488" s="714"/>
      <c r="AJ488" s="714"/>
      <c r="AK488" s="714"/>
      <c r="AL488" s="714"/>
      <c r="AM488" s="714"/>
      <c r="AN488" s="714"/>
      <c r="AO488" s="714"/>
      <c r="AP488" s="714"/>
      <c r="AQ488" s="716"/>
    </row>
    <row r="489" spans="1:45" s="708" customFormat="1" ht="12.75" customHeight="1" x14ac:dyDescent="0.25">
      <c r="A489" s="8"/>
      <c r="B489" s="8"/>
      <c r="C489" s="865" t="s">
        <v>239</v>
      </c>
      <c r="D489" s="866"/>
      <c r="E489" s="866"/>
      <c r="F489" s="866"/>
      <c r="G489" s="866"/>
      <c r="H489" s="866"/>
      <c r="I489" s="866"/>
      <c r="J489" s="866"/>
      <c r="K489" s="866"/>
      <c r="L489" s="1167">
        <v>0.08</v>
      </c>
      <c r="M489" s="1167">
        <v>0</v>
      </c>
      <c r="N489" s="1168">
        <v>0</v>
      </c>
      <c r="O489" s="1169">
        <v>0.04</v>
      </c>
      <c r="P489" s="1454">
        <v>0.08</v>
      </c>
      <c r="Q489" s="1454">
        <v>0</v>
      </c>
      <c r="R489" s="1455">
        <v>0</v>
      </c>
      <c r="S489" s="1456">
        <v>0.04</v>
      </c>
      <c r="T489" s="8"/>
      <c r="U489" s="8"/>
      <c r="V489" s="714"/>
      <c r="W489" s="714"/>
      <c r="X489" s="714"/>
      <c r="Y489" s="714"/>
      <c r="Z489" s="714"/>
      <c r="AA489" s="714"/>
      <c r="AB489" s="714"/>
      <c r="AC489" s="714"/>
      <c r="AD489" s="714"/>
      <c r="AE489" s="714"/>
      <c r="AF489" s="714"/>
      <c r="AG489" s="714"/>
      <c r="AH489" s="714"/>
      <c r="AI489" s="714"/>
      <c r="AJ489" s="714"/>
      <c r="AK489" s="714"/>
      <c r="AL489" s="714"/>
      <c r="AM489" s="714"/>
      <c r="AN489" s="714"/>
      <c r="AO489" s="714"/>
      <c r="AP489" s="714"/>
      <c r="AQ489" s="716"/>
    </row>
    <row r="490" spans="1:45" s="708" customFormat="1" ht="12.75" customHeight="1" x14ac:dyDescent="0.25">
      <c r="A490" s="8"/>
      <c r="B490" s="8"/>
      <c r="C490" s="56" t="s">
        <v>80</v>
      </c>
      <c r="D490" s="56"/>
      <c r="E490" s="56"/>
      <c r="F490" s="57"/>
      <c r="G490" s="57"/>
      <c r="H490" s="57"/>
      <c r="I490" s="57"/>
      <c r="J490" s="57"/>
      <c r="K490" s="57"/>
      <c r="L490" s="871">
        <v>0.08</v>
      </c>
      <c r="M490" s="871" t="s">
        <v>232</v>
      </c>
      <c r="N490" s="872" t="s">
        <v>232</v>
      </c>
      <c r="O490" s="872">
        <v>3.4999999999999996E-2</v>
      </c>
      <c r="P490" s="1501">
        <v>5.4268158542137415E-2</v>
      </c>
      <c r="Q490" s="1459" t="s">
        <v>232</v>
      </c>
      <c r="R490" s="1460" t="s">
        <v>232</v>
      </c>
      <c r="S490" s="1512">
        <v>2.2739087422943081E-2</v>
      </c>
      <c r="T490" s="8"/>
      <c r="U490" s="8"/>
      <c r="V490" s="714"/>
      <c r="W490" s="714"/>
      <c r="X490" s="714"/>
      <c r="Y490" s="714"/>
      <c r="Z490" s="714"/>
      <c r="AA490" s="714"/>
      <c r="AB490" s="714"/>
      <c r="AC490" s="714"/>
      <c r="AD490" s="714"/>
      <c r="AE490" s="714"/>
      <c r="AF490" s="714"/>
      <c r="AG490" s="714"/>
      <c r="AH490" s="714"/>
      <c r="AI490" s="714"/>
      <c r="AJ490" s="714"/>
      <c r="AK490" s="714"/>
      <c r="AL490" s="714"/>
      <c r="AM490" s="714"/>
      <c r="AN490" s="714"/>
      <c r="AO490" s="714"/>
      <c r="AP490" s="714"/>
      <c r="AQ490" s="716"/>
    </row>
    <row r="491" spans="1:45" s="708" customFormat="1" ht="12.75" customHeight="1" x14ac:dyDescent="0.25">
      <c r="A491" s="8"/>
      <c r="B491" s="8"/>
      <c r="C491" s="8"/>
      <c r="D491" s="8"/>
      <c r="E491" s="8"/>
      <c r="F491" s="8"/>
      <c r="G491" s="8"/>
      <c r="H491" s="8"/>
      <c r="I491" s="11"/>
      <c r="J491" s="1157"/>
      <c r="K491" s="1157"/>
      <c r="L491" s="1208"/>
      <c r="M491" s="1208"/>
      <c r="N491" s="1208"/>
      <c r="O491" s="1208"/>
      <c r="P491" s="40"/>
      <c r="Q491" s="8"/>
      <c r="R491" s="8"/>
      <c r="S491" s="8"/>
      <c r="T491" s="8"/>
      <c r="U491" s="8"/>
      <c r="V491" s="714"/>
      <c r="W491" s="714"/>
      <c r="X491" s="714"/>
      <c r="Y491" s="714"/>
      <c r="Z491" s="714"/>
      <c r="AA491" s="714"/>
      <c r="AB491" s="714"/>
      <c r="AC491" s="714"/>
      <c r="AD491" s="714"/>
      <c r="AE491" s="714"/>
      <c r="AF491" s="714"/>
      <c r="AG491" s="714"/>
      <c r="AH491" s="714"/>
      <c r="AI491" s="714"/>
      <c r="AJ491" s="714"/>
      <c r="AK491" s="714"/>
      <c r="AL491" s="714"/>
      <c r="AM491" s="714"/>
      <c r="AN491" s="714"/>
      <c r="AO491" s="714"/>
      <c r="AP491" s="714"/>
      <c r="AQ491" s="716"/>
    </row>
    <row r="492" spans="1:45" s="708" customFormat="1" ht="12.75" customHeight="1" x14ac:dyDescent="0.25">
      <c r="A492" s="8"/>
      <c r="B492" s="8"/>
      <c r="C492" s="8"/>
      <c r="D492" s="8"/>
      <c r="E492" s="8"/>
      <c r="F492" s="8"/>
      <c r="G492" s="8"/>
      <c r="H492" s="8"/>
      <c r="I492" s="11"/>
      <c r="J492" s="1157"/>
      <c r="K492" s="1157"/>
      <c r="L492" s="1208"/>
      <c r="M492" s="1208"/>
      <c r="N492" s="1208"/>
      <c r="O492" s="1208"/>
      <c r="P492" s="40"/>
      <c r="Q492" s="8"/>
      <c r="R492" s="8"/>
      <c r="S492" s="8"/>
      <c r="T492" s="8"/>
      <c r="U492" s="8"/>
      <c r="V492" s="714"/>
      <c r="W492" s="714"/>
      <c r="X492" s="714"/>
      <c r="Y492" s="714"/>
      <c r="Z492" s="714"/>
      <c r="AA492" s="714"/>
      <c r="AB492" s="714"/>
      <c r="AC492" s="714"/>
      <c r="AD492" s="714"/>
      <c r="AE492" s="714"/>
      <c r="AF492" s="714"/>
      <c r="AG492" s="714"/>
      <c r="AH492" s="714"/>
      <c r="AI492" s="714"/>
      <c r="AJ492" s="714"/>
      <c r="AK492" s="714"/>
      <c r="AL492" s="714"/>
      <c r="AM492" s="714"/>
      <c r="AN492" s="714"/>
      <c r="AO492" s="714"/>
      <c r="AP492" s="714"/>
      <c r="AQ492" s="716"/>
    </row>
    <row r="493" spans="1:45" s="708" customFormat="1" ht="12.75" customHeight="1" x14ac:dyDescent="0.25">
      <c r="A493" s="8"/>
      <c r="B493" s="8"/>
      <c r="C493" s="8"/>
      <c r="D493" s="8"/>
      <c r="E493" s="8"/>
      <c r="F493" s="8"/>
      <c r="G493" s="8"/>
      <c r="H493" s="8"/>
      <c r="I493" s="11"/>
      <c r="J493" s="1157"/>
      <c r="K493" s="1157"/>
      <c r="L493" s="1902" t="s">
        <v>201</v>
      </c>
      <c r="M493" s="1903"/>
      <c r="N493" s="1903"/>
      <c r="O493" s="1904"/>
      <c r="P493" s="1899" t="s">
        <v>202</v>
      </c>
      <c r="Q493" s="1900"/>
      <c r="R493" s="1900"/>
      <c r="S493" s="1901"/>
      <c r="T493" s="8"/>
      <c r="U493" s="8"/>
      <c r="V493" s="714"/>
      <c r="W493" s="714"/>
      <c r="X493" s="714"/>
      <c r="Y493" s="714"/>
      <c r="Z493" s="714"/>
      <c r="AA493" s="714"/>
      <c r="AB493" s="714"/>
      <c r="AC493" s="714"/>
      <c r="AD493" s="714"/>
      <c r="AE493" s="714"/>
      <c r="AF493" s="714"/>
      <c r="AG493" s="714"/>
      <c r="AH493" s="714"/>
      <c r="AI493" s="714"/>
      <c r="AJ493" s="714"/>
      <c r="AK493" s="714"/>
      <c r="AL493" s="714"/>
      <c r="AM493" s="714"/>
      <c r="AN493" s="714"/>
      <c r="AO493" s="714"/>
      <c r="AP493" s="714"/>
      <c r="AQ493" s="716"/>
    </row>
    <row r="494" spans="1:45" s="708" customFormat="1" ht="12.75" customHeight="1" x14ac:dyDescent="0.25">
      <c r="A494" s="8"/>
      <c r="B494" s="8"/>
      <c r="C494" s="8"/>
      <c r="D494" s="8"/>
      <c r="E494" s="8"/>
      <c r="F494" s="8"/>
      <c r="G494" s="8"/>
      <c r="H494" s="8"/>
      <c r="I494" s="11"/>
      <c r="J494" s="1157"/>
      <c r="K494" s="1157"/>
      <c r="L494" s="1873" t="s">
        <v>230</v>
      </c>
      <c r="M494" s="1874"/>
      <c r="N494" s="1874"/>
      <c r="O494" s="1875"/>
      <c r="P494" s="1930" t="s">
        <v>230</v>
      </c>
      <c r="Q494" s="1931"/>
      <c r="R494" s="1931"/>
      <c r="S494" s="1932"/>
      <c r="T494" s="8"/>
      <c r="U494" s="8"/>
      <c r="V494" s="714"/>
      <c r="W494" s="714"/>
      <c r="X494" s="714"/>
      <c r="Y494" s="714"/>
      <c r="Z494" s="714"/>
      <c r="AA494" s="714"/>
      <c r="AB494" s="714"/>
      <c r="AC494" s="714"/>
      <c r="AD494" s="714"/>
      <c r="AE494" s="714"/>
      <c r="AF494" s="714"/>
      <c r="AG494" s="714"/>
      <c r="AH494" s="714"/>
      <c r="AI494" s="714"/>
      <c r="AJ494" s="714"/>
      <c r="AK494" s="714"/>
      <c r="AL494" s="714"/>
      <c r="AM494" s="714"/>
      <c r="AN494" s="714"/>
      <c r="AO494" s="714"/>
      <c r="AP494" s="714"/>
      <c r="AQ494" s="716"/>
    </row>
    <row r="495" spans="1:45" s="708" customFormat="1" ht="39.450000000000003" customHeight="1" x14ac:dyDescent="0.25">
      <c r="A495" s="8"/>
      <c r="B495" s="8"/>
      <c r="C495" s="876" t="s">
        <v>231</v>
      </c>
      <c r="D495" s="877"/>
      <c r="E495" s="55"/>
      <c r="F495" s="877"/>
      <c r="G495" s="877"/>
      <c r="H495" s="877"/>
      <c r="I495" s="877"/>
      <c r="J495" s="877"/>
      <c r="K495" s="877"/>
      <c r="L495" s="1209" t="s">
        <v>228</v>
      </c>
      <c r="M495" s="1209" t="s">
        <v>219</v>
      </c>
      <c r="N495" s="1210" t="s">
        <v>227</v>
      </c>
      <c r="O495" s="1211" t="s">
        <v>226</v>
      </c>
      <c r="P495" s="1212" t="s">
        <v>228</v>
      </c>
      <c r="Q495" s="1212" t="s">
        <v>219</v>
      </c>
      <c r="R495" s="1213" t="s">
        <v>227</v>
      </c>
      <c r="S495" s="1214" t="s">
        <v>226</v>
      </c>
      <c r="T495" s="8"/>
      <c r="U495" s="8"/>
      <c r="V495" s="714"/>
      <c r="W495" s="714"/>
      <c r="X495" s="714"/>
      <c r="Y495" s="714"/>
      <c r="Z495" s="714"/>
      <c r="AA495" s="714"/>
      <c r="AB495" s="714"/>
      <c r="AC495" s="714"/>
      <c r="AD495" s="714"/>
      <c r="AE495" s="714"/>
      <c r="AF495" s="714"/>
      <c r="AG495" s="714"/>
      <c r="AH495" s="714"/>
      <c r="AI495" s="714"/>
      <c r="AJ495" s="714"/>
      <c r="AK495" s="714"/>
      <c r="AL495" s="714"/>
      <c r="AM495" s="714"/>
      <c r="AN495" s="714"/>
      <c r="AO495" s="714"/>
      <c r="AP495" s="714"/>
      <c r="AQ495" s="716"/>
    </row>
    <row r="496" spans="1:45" s="708" customFormat="1" ht="12.75" customHeight="1" x14ac:dyDescent="0.25">
      <c r="A496" s="8"/>
      <c r="B496" s="8"/>
      <c r="C496" s="845" t="str">
        <f>$C$31</f>
        <v>Power Market Risk</v>
      </c>
      <c r="D496" s="57"/>
      <c r="E496" s="57"/>
      <c r="F496" s="57"/>
      <c r="G496" s="8"/>
      <c r="H496" s="8"/>
      <c r="I496" s="11"/>
      <c r="J496" s="1157"/>
      <c r="K496" s="1157"/>
      <c r="L496" s="1170">
        <v>1.5713014446520932E-2</v>
      </c>
      <c r="M496" s="1170">
        <v>0</v>
      </c>
      <c r="N496" s="1171">
        <v>0</v>
      </c>
      <c r="O496" s="1172">
        <v>8.1260024176536098E-3</v>
      </c>
      <c r="P496" s="1462">
        <v>9.8206340290755822E-3</v>
      </c>
      <c r="Q496" s="1463">
        <v>0</v>
      </c>
      <c r="R496" s="1464">
        <v>0</v>
      </c>
      <c r="S496" s="1465">
        <v>5.0787515110335066E-3</v>
      </c>
      <c r="T496" s="8"/>
      <c r="U496" s="8"/>
      <c r="V496" s="714"/>
      <c r="W496" s="714"/>
      <c r="X496" s="714"/>
      <c r="Y496" s="714"/>
      <c r="Z496" s="714"/>
      <c r="AA496" s="714"/>
      <c r="AB496" s="714"/>
      <c r="AC496" s="714"/>
      <c r="AD496" s="714"/>
      <c r="AE496" s="714"/>
      <c r="AF496" s="714"/>
      <c r="AG496" s="714"/>
      <c r="AH496" s="714"/>
      <c r="AI496" s="714"/>
      <c r="AJ496" s="714"/>
      <c r="AK496" s="714"/>
      <c r="AL496" s="714"/>
      <c r="AM496" s="714"/>
      <c r="AN496" s="714"/>
      <c r="AO496" s="714"/>
      <c r="AP496" s="714"/>
      <c r="AQ496" s="716"/>
    </row>
    <row r="497" spans="1:43" s="708" customFormat="1" ht="12.75" customHeight="1" x14ac:dyDescent="0.25">
      <c r="A497" s="8"/>
      <c r="B497" s="8"/>
      <c r="C497" s="845" t="str">
        <f>$C$32</f>
        <v>Permits Risk</v>
      </c>
      <c r="D497" s="57"/>
      <c r="E497" s="57"/>
      <c r="F497" s="57"/>
      <c r="G497" s="8"/>
      <c r="H497" s="8"/>
      <c r="I497" s="11"/>
      <c r="J497" s="1157"/>
      <c r="K497" s="1157"/>
      <c r="L497" s="1170">
        <v>3.8646540049363117E-3</v>
      </c>
      <c r="M497" s="1170" t="s">
        <v>232</v>
      </c>
      <c r="N497" s="1173" t="s">
        <v>232</v>
      </c>
      <c r="O497" s="1172" t="s">
        <v>232</v>
      </c>
      <c r="P497" s="1462">
        <v>2.8984905037022337E-3</v>
      </c>
      <c r="Q497" s="1466" t="s">
        <v>232</v>
      </c>
      <c r="R497" s="1467" t="s">
        <v>232</v>
      </c>
      <c r="S497" s="1468" t="s">
        <v>232</v>
      </c>
      <c r="T497" s="8"/>
      <c r="U497" s="8"/>
      <c r="V497" s="714"/>
      <c r="W497" s="714"/>
      <c r="X497" s="714"/>
      <c r="Y497" s="714"/>
      <c r="Z497" s="714"/>
      <c r="AA497" s="714"/>
      <c r="AB497" s="714"/>
      <c r="AC497" s="714"/>
      <c r="AD497" s="714"/>
      <c r="AE497" s="714"/>
      <c r="AF497" s="714"/>
      <c r="AG497" s="714"/>
      <c r="AH497" s="714"/>
      <c r="AI497" s="714"/>
      <c r="AJ497" s="714"/>
      <c r="AK497" s="714"/>
      <c r="AL497" s="714"/>
      <c r="AM497" s="714"/>
      <c r="AN497" s="714"/>
      <c r="AO497" s="714"/>
      <c r="AP497" s="714"/>
      <c r="AQ497" s="716"/>
    </row>
    <row r="498" spans="1:43" s="708" customFormat="1" ht="12.75" customHeight="1" x14ac:dyDescent="0.25">
      <c r="A498" s="8"/>
      <c r="B498" s="8"/>
      <c r="C498" s="845" t="str">
        <f>$C$33</f>
        <v>Social Acceptance Risk</v>
      </c>
      <c r="D498" s="57"/>
      <c r="E498" s="57"/>
      <c r="F498" s="57"/>
      <c r="G498" s="8"/>
      <c r="H498" s="8"/>
      <c r="I498" s="11"/>
      <c r="J498" s="1157"/>
      <c r="K498" s="1157"/>
      <c r="L498" s="1170">
        <v>2.6077287482701161E-3</v>
      </c>
      <c r="M498" s="1170">
        <v>0</v>
      </c>
      <c r="N498" s="1173">
        <v>0</v>
      </c>
      <c r="O498" s="1172">
        <v>1.3485897429261018E-3</v>
      </c>
      <c r="P498" s="1462">
        <v>1.9557965612025871E-3</v>
      </c>
      <c r="Q498" s="1466">
        <v>0</v>
      </c>
      <c r="R498" s="1467">
        <v>0</v>
      </c>
      <c r="S498" s="1468">
        <v>1.0114423071945764E-3</v>
      </c>
      <c r="T498" s="8"/>
      <c r="U498" s="8"/>
      <c r="V498" s="714"/>
      <c r="W498" s="714"/>
      <c r="X498" s="714"/>
      <c r="Y498" s="714"/>
      <c r="Z498" s="714"/>
      <c r="AA498" s="714"/>
      <c r="AB498" s="714"/>
      <c r="AC498" s="714"/>
      <c r="AD498" s="714"/>
      <c r="AE498" s="714"/>
      <c r="AF498" s="714"/>
      <c r="AG498" s="714"/>
      <c r="AH498" s="714"/>
      <c r="AI498" s="714"/>
      <c r="AJ498" s="714"/>
      <c r="AK498" s="714"/>
      <c r="AL498" s="714"/>
      <c r="AM498" s="714"/>
      <c r="AN498" s="714"/>
      <c r="AO498" s="714"/>
      <c r="AP498" s="714"/>
      <c r="AQ498" s="716"/>
    </row>
    <row r="499" spans="1:43" s="708" customFormat="1" ht="12.75" customHeight="1" x14ac:dyDescent="0.25">
      <c r="A499" s="8"/>
      <c r="B499" s="8"/>
      <c r="C499" s="845" t="str">
        <f>$C$34</f>
        <v>Resource &amp; Technology Risk</v>
      </c>
      <c r="D499" s="57"/>
      <c r="E499" s="57"/>
      <c r="F499" s="57"/>
      <c r="G499" s="8"/>
      <c r="H499" s="8"/>
      <c r="I499" s="11"/>
      <c r="J499" s="1157"/>
      <c r="K499" s="1157"/>
      <c r="L499" s="1170">
        <v>4.1966178745910972E-3</v>
      </c>
      <c r="M499" s="1170">
        <v>0</v>
      </c>
      <c r="N499" s="1173">
        <v>0</v>
      </c>
      <c r="O499" s="1172">
        <v>2.1702854732909751E-3</v>
      </c>
      <c r="P499" s="1462">
        <v>3.67204064026721E-3</v>
      </c>
      <c r="Q499" s="1466">
        <v>0</v>
      </c>
      <c r="R499" s="1467">
        <v>0</v>
      </c>
      <c r="S499" s="1468">
        <v>1.8989997891296032E-3</v>
      </c>
      <c r="T499" s="8"/>
      <c r="U499" s="8"/>
      <c r="V499" s="714"/>
      <c r="W499" s="714"/>
      <c r="X499" s="714"/>
      <c r="Y499" s="714"/>
      <c r="Z499" s="714"/>
      <c r="AA499" s="714"/>
      <c r="AB499" s="714"/>
      <c r="AC499" s="714"/>
      <c r="AD499" s="714"/>
      <c r="AE499" s="714"/>
      <c r="AF499" s="714"/>
      <c r="AG499" s="714"/>
      <c r="AH499" s="714"/>
      <c r="AI499" s="714"/>
      <c r="AJ499" s="714"/>
      <c r="AK499" s="714"/>
      <c r="AL499" s="714"/>
      <c r="AM499" s="714"/>
      <c r="AN499" s="714"/>
      <c r="AO499" s="714"/>
      <c r="AP499" s="714"/>
      <c r="AQ499" s="716"/>
    </row>
    <row r="500" spans="1:43" s="708" customFormat="1" ht="12.75" customHeight="1" x14ac:dyDescent="0.25">
      <c r="A500" s="8"/>
      <c r="B500" s="8"/>
      <c r="C500" s="845" t="str">
        <f>$C$35</f>
        <v>Grid/Transmission Risk</v>
      </c>
      <c r="D500" s="57"/>
      <c r="E500" s="57"/>
      <c r="F500" s="57"/>
      <c r="G500" s="8"/>
      <c r="H500" s="8"/>
      <c r="I500" s="11"/>
      <c r="J500" s="1157"/>
      <c r="K500" s="1157"/>
      <c r="L500" s="1170">
        <v>1.1891243092111727E-2</v>
      </c>
      <c r="M500" s="1170">
        <v>0</v>
      </c>
      <c r="N500" s="1173">
        <v>0</v>
      </c>
      <c r="O500" s="1172">
        <v>6.1495692277430229E-3</v>
      </c>
      <c r="P500" s="1462">
        <v>5.9456215460558627E-3</v>
      </c>
      <c r="Q500" s="1466">
        <v>0</v>
      </c>
      <c r="R500" s="1467">
        <v>0</v>
      </c>
      <c r="S500" s="1468">
        <v>3.0747846138715115E-3</v>
      </c>
      <c r="T500" s="8"/>
      <c r="U500" s="8"/>
      <c r="V500" s="714"/>
      <c r="W500" s="714"/>
      <c r="X500" s="714"/>
      <c r="Y500" s="714"/>
      <c r="Z500" s="714"/>
      <c r="AA500" s="714"/>
      <c r="AB500" s="714"/>
      <c r="AC500" s="714"/>
      <c r="AD500" s="714"/>
      <c r="AE500" s="714"/>
      <c r="AF500" s="714"/>
      <c r="AG500" s="714"/>
      <c r="AH500" s="714"/>
      <c r="AI500" s="714"/>
      <c r="AJ500" s="714"/>
      <c r="AK500" s="714"/>
      <c r="AL500" s="714"/>
      <c r="AM500" s="714"/>
      <c r="AN500" s="714"/>
      <c r="AO500" s="714"/>
      <c r="AP500" s="714"/>
      <c r="AQ500" s="716"/>
    </row>
    <row r="501" spans="1:43" s="708" customFormat="1" ht="12.75" customHeight="1" x14ac:dyDescent="0.25">
      <c r="A501" s="8"/>
      <c r="B501" s="8"/>
      <c r="C501" s="845" t="str">
        <f>$C$36</f>
        <v>Counterparty Risk</v>
      </c>
      <c r="D501" s="57"/>
      <c r="E501" s="57"/>
      <c r="F501" s="57"/>
      <c r="G501" s="8"/>
      <c r="H501" s="8"/>
      <c r="I501" s="11"/>
      <c r="J501" s="1157"/>
      <c r="K501" s="1157"/>
      <c r="L501" s="1170">
        <v>1.0691687867907475E-2</v>
      </c>
      <c r="M501" s="1170">
        <v>0</v>
      </c>
      <c r="N501" s="1173">
        <v>0</v>
      </c>
      <c r="O501" s="1172">
        <v>5.5292179459970163E-3</v>
      </c>
      <c r="P501" s="1462">
        <v>5.3458439339537384E-3</v>
      </c>
      <c r="Q501" s="1466">
        <v>0</v>
      </c>
      <c r="R501" s="1467">
        <v>0</v>
      </c>
      <c r="S501" s="1468">
        <v>2.7646089729985081E-3</v>
      </c>
      <c r="T501" s="8"/>
      <c r="U501" s="8"/>
      <c r="V501" s="714"/>
      <c r="W501" s="714"/>
      <c r="X501" s="714"/>
      <c r="Y501" s="714"/>
      <c r="Z501" s="714"/>
      <c r="AA501" s="714"/>
      <c r="AB501" s="714"/>
      <c r="AC501" s="714"/>
      <c r="AD501" s="714"/>
      <c r="AE501" s="714"/>
      <c r="AF501" s="714"/>
      <c r="AG501" s="714"/>
      <c r="AH501" s="714"/>
      <c r="AI501" s="714"/>
      <c r="AJ501" s="714"/>
      <c r="AK501" s="714"/>
      <c r="AL501" s="714"/>
      <c r="AM501" s="714"/>
      <c r="AN501" s="714"/>
      <c r="AO501" s="714"/>
      <c r="AP501" s="714"/>
      <c r="AQ501" s="716"/>
    </row>
    <row r="502" spans="1:43" s="708" customFormat="1" ht="12.75" customHeight="1" x14ac:dyDescent="0.25">
      <c r="A502" s="8"/>
      <c r="B502" s="8"/>
      <c r="C502" s="845" t="str">
        <f>$C$37</f>
        <v>Financial Sector Risk</v>
      </c>
      <c r="D502" s="57"/>
      <c r="E502" s="57"/>
      <c r="F502" s="57"/>
      <c r="G502" s="8"/>
      <c r="H502" s="8"/>
      <c r="I502" s="11"/>
      <c r="J502" s="1157"/>
      <c r="K502" s="1157"/>
      <c r="L502" s="1170">
        <v>8.4568643306399856E-3</v>
      </c>
      <c r="M502" s="1170" t="s">
        <v>232</v>
      </c>
      <c r="N502" s="1173" t="s">
        <v>232</v>
      </c>
      <c r="O502" s="1172" t="s">
        <v>232</v>
      </c>
      <c r="P502" s="1462">
        <v>7.3997562893099878E-3</v>
      </c>
      <c r="Q502" s="1466" t="s">
        <v>232</v>
      </c>
      <c r="R502" s="1467" t="s">
        <v>232</v>
      </c>
      <c r="S502" s="1468" t="s">
        <v>232</v>
      </c>
      <c r="T502" s="8"/>
      <c r="U502" s="8"/>
      <c r="V502" s="714"/>
      <c r="W502" s="714"/>
      <c r="X502" s="714"/>
      <c r="Y502" s="714"/>
      <c r="Z502" s="714"/>
      <c r="AA502" s="714"/>
      <c r="AB502" s="714"/>
      <c r="AC502" s="714"/>
      <c r="AD502" s="714"/>
      <c r="AE502" s="714"/>
      <c r="AF502" s="714"/>
      <c r="AG502" s="714"/>
      <c r="AH502" s="714"/>
      <c r="AI502" s="714"/>
      <c r="AJ502" s="714"/>
      <c r="AK502" s="714"/>
      <c r="AL502" s="714"/>
      <c r="AM502" s="714"/>
      <c r="AN502" s="714"/>
      <c r="AO502" s="714"/>
      <c r="AP502" s="714"/>
      <c r="AQ502" s="716"/>
    </row>
    <row r="503" spans="1:43" s="708" customFormat="1" ht="12.75" customHeight="1" x14ac:dyDescent="0.25">
      <c r="A503" s="8"/>
      <c r="B503" s="8"/>
      <c r="C503" s="845" t="str">
        <f>$C$38</f>
        <v>Political Risk</v>
      </c>
      <c r="D503" s="57"/>
      <c r="E503" s="57"/>
      <c r="F503" s="57"/>
      <c r="G503" s="8"/>
      <c r="H503" s="8"/>
      <c r="I503" s="11"/>
      <c r="J503" s="1157"/>
      <c r="K503" s="1157"/>
      <c r="L503" s="1170">
        <v>1.1881760442118019E-2</v>
      </c>
      <c r="M503" s="1170">
        <v>0</v>
      </c>
      <c r="N503" s="1173">
        <v>0</v>
      </c>
      <c r="O503" s="1172">
        <v>6.1446652650414737E-3</v>
      </c>
      <c r="P503" s="1462">
        <v>1.1881760442118019E-2</v>
      </c>
      <c r="Q503" s="1466">
        <v>0</v>
      </c>
      <c r="R503" s="1467">
        <v>0</v>
      </c>
      <c r="S503" s="1468">
        <v>6.1446652650414737E-3</v>
      </c>
      <c r="T503" s="8"/>
      <c r="U503" s="8"/>
      <c r="V503" s="714"/>
      <c r="W503" s="714"/>
      <c r="X503" s="714"/>
      <c r="Y503" s="714"/>
      <c r="Z503" s="714"/>
      <c r="AA503" s="714"/>
      <c r="AB503" s="714"/>
      <c r="AC503" s="714"/>
      <c r="AD503" s="714"/>
      <c r="AE503" s="714"/>
      <c r="AF503" s="714"/>
      <c r="AG503" s="714"/>
      <c r="AH503" s="714"/>
      <c r="AI503" s="714"/>
      <c r="AJ503" s="714"/>
      <c r="AK503" s="714"/>
      <c r="AL503" s="714"/>
      <c r="AM503" s="714"/>
      <c r="AN503" s="714"/>
      <c r="AO503" s="714"/>
      <c r="AP503" s="714"/>
      <c r="AQ503" s="716"/>
    </row>
    <row r="504" spans="1:43" s="708" customFormat="1" ht="12.75" customHeight="1" x14ac:dyDescent="0.25">
      <c r="A504" s="8"/>
      <c r="B504" s="8"/>
      <c r="C504" s="866" t="str">
        <f>$C$39</f>
        <v>Currency/Macro Risk</v>
      </c>
      <c r="D504" s="866"/>
      <c r="E504" s="866"/>
      <c r="F504" s="866"/>
      <c r="G504" s="866"/>
      <c r="H504" s="866"/>
      <c r="I504" s="866"/>
      <c r="J504" s="866"/>
      <c r="K504" s="866"/>
      <c r="L504" s="1174">
        <v>1.0696429192904328E-2</v>
      </c>
      <c r="M504" s="1170">
        <v>0</v>
      </c>
      <c r="N504" s="1173">
        <v>0</v>
      </c>
      <c r="O504" s="1175">
        <v>5.5316699273477909E-3</v>
      </c>
      <c r="P504" s="1469">
        <v>5.3482145964521641E-3</v>
      </c>
      <c r="Q504" s="1469">
        <v>0</v>
      </c>
      <c r="R504" s="1470">
        <v>0</v>
      </c>
      <c r="S504" s="1471">
        <v>2.7658349636738955E-3</v>
      </c>
      <c r="T504" s="8"/>
      <c r="U504" s="8"/>
      <c r="V504" s="714"/>
      <c r="W504" s="714"/>
      <c r="X504" s="714"/>
      <c r="Y504" s="714"/>
      <c r="Z504" s="714"/>
      <c r="AA504" s="714"/>
      <c r="AB504" s="714"/>
      <c r="AC504" s="714"/>
      <c r="AD504" s="714"/>
      <c r="AE504" s="714"/>
      <c r="AF504" s="714"/>
      <c r="AG504" s="714"/>
      <c r="AH504" s="714"/>
      <c r="AI504" s="714"/>
      <c r="AJ504" s="714"/>
      <c r="AK504" s="714"/>
      <c r="AL504" s="714"/>
      <c r="AM504" s="714"/>
      <c r="AN504" s="714"/>
      <c r="AO504" s="714"/>
      <c r="AP504" s="714"/>
      <c r="AQ504" s="716"/>
    </row>
    <row r="505" spans="1:43" s="708" customFormat="1" ht="12.75" customHeight="1" x14ac:dyDescent="0.25">
      <c r="A505" s="8"/>
      <c r="B505" s="8"/>
      <c r="C505" s="56" t="s">
        <v>81</v>
      </c>
      <c r="D505" s="132"/>
      <c r="E505" s="56"/>
      <c r="F505" s="57"/>
      <c r="G505" s="57"/>
      <c r="H505" s="57"/>
      <c r="I505" s="57"/>
      <c r="J505" s="57"/>
      <c r="K505" s="57"/>
      <c r="L505" s="889">
        <v>7.9999999999999974E-2</v>
      </c>
      <c r="M505" s="890" t="s">
        <v>232</v>
      </c>
      <c r="N505" s="891" t="s">
        <v>232</v>
      </c>
      <c r="O505" s="892">
        <v>3.4999999999999989E-2</v>
      </c>
      <c r="P505" s="1476">
        <v>5.426815854213738E-2</v>
      </c>
      <c r="Q505" s="1477">
        <v>0</v>
      </c>
      <c r="R505" s="1478">
        <v>0</v>
      </c>
      <c r="S505" s="1479">
        <v>2.2739087422943078E-2</v>
      </c>
      <c r="T505" s="8"/>
      <c r="U505" s="8"/>
      <c r="V505" s="714"/>
      <c r="W505" s="714"/>
      <c r="X505" s="714"/>
      <c r="Y505" s="714"/>
      <c r="Z505" s="714"/>
      <c r="AA505" s="714"/>
      <c r="AB505" s="714"/>
      <c r="AC505" s="714"/>
      <c r="AD505" s="714"/>
      <c r="AE505" s="714"/>
      <c r="AF505" s="714"/>
      <c r="AG505" s="714"/>
      <c r="AH505" s="714"/>
      <c r="AI505" s="714"/>
      <c r="AJ505" s="714"/>
      <c r="AK505" s="714"/>
      <c r="AL505" s="714"/>
      <c r="AM505" s="714"/>
      <c r="AN505" s="714"/>
      <c r="AO505" s="714"/>
      <c r="AP505" s="714"/>
      <c r="AQ505" s="716"/>
    </row>
    <row r="506" spans="1:43" s="708" customFormat="1" ht="12.75" customHeight="1" x14ac:dyDescent="0.25">
      <c r="A506" s="8"/>
      <c r="B506" s="8"/>
      <c r="C506" s="8"/>
      <c r="D506" s="8"/>
      <c r="E506" s="8"/>
      <c r="F506" s="8"/>
      <c r="G506" s="8"/>
      <c r="H506" s="8"/>
      <c r="I506" s="11"/>
      <c r="J506" s="1157"/>
      <c r="K506" s="1157"/>
      <c r="L506" s="1208"/>
      <c r="M506" s="1208"/>
      <c r="N506" s="1208"/>
      <c r="O506" s="1208"/>
      <c r="P506" s="40"/>
      <c r="Q506" s="8"/>
      <c r="R506" s="8"/>
      <c r="S506" s="8"/>
      <c r="T506" s="8"/>
      <c r="U506" s="8"/>
      <c r="V506" s="714"/>
      <c r="W506" s="714"/>
      <c r="X506" s="714"/>
      <c r="Y506" s="714"/>
      <c r="Z506" s="714"/>
      <c r="AA506" s="714"/>
      <c r="AB506" s="714"/>
      <c r="AC506" s="714"/>
      <c r="AD506" s="714"/>
      <c r="AE506" s="714"/>
      <c r="AF506" s="714"/>
      <c r="AG506" s="714"/>
      <c r="AH506" s="714"/>
      <c r="AI506" s="714"/>
      <c r="AJ506" s="714"/>
      <c r="AK506" s="714"/>
      <c r="AL506" s="714"/>
      <c r="AM506" s="714"/>
      <c r="AN506" s="714"/>
      <c r="AO506" s="714"/>
      <c r="AP506" s="714"/>
      <c r="AQ506" s="716"/>
    </row>
    <row r="507" spans="1:43" s="708" customFormat="1" ht="12.75" customHeight="1" x14ac:dyDescent="0.25">
      <c r="A507" s="8"/>
      <c r="B507" s="8"/>
      <c r="C507" s="8"/>
      <c r="D507" s="8"/>
      <c r="E507" s="8"/>
      <c r="F507" s="8"/>
      <c r="G507" s="8"/>
      <c r="H507" s="8"/>
      <c r="I507" s="11"/>
      <c r="J507" s="1157"/>
      <c r="K507" s="1157"/>
      <c r="L507" s="1208"/>
      <c r="M507" s="1208"/>
      <c r="N507" s="1208"/>
      <c r="O507" s="1208"/>
      <c r="P507" s="40"/>
      <c r="Q507" s="8"/>
      <c r="R507" s="8"/>
      <c r="S507" s="8"/>
      <c r="T507" s="8"/>
      <c r="U507" s="8"/>
      <c r="V507" s="714"/>
      <c r="W507" s="714"/>
      <c r="X507" s="714"/>
      <c r="Y507" s="714"/>
      <c r="Z507" s="714"/>
      <c r="AA507" s="714"/>
      <c r="AB507" s="714"/>
      <c r="AC507" s="714"/>
      <c r="AD507" s="714"/>
      <c r="AE507" s="714"/>
      <c r="AF507" s="714"/>
      <c r="AG507" s="714"/>
      <c r="AH507" s="714"/>
      <c r="AI507" s="714"/>
      <c r="AJ507" s="714"/>
      <c r="AK507" s="714"/>
      <c r="AL507" s="714"/>
      <c r="AM507" s="714"/>
      <c r="AN507" s="714"/>
      <c r="AO507" s="714"/>
      <c r="AP507" s="714"/>
      <c r="AQ507" s="716"/>
    </row>
    <row r="508" spans="1:43" s="708" customFormat="1" ht="12.75" customHeight="1" x14ac:dyDescent="0.25">
      <c r="A508" s="8"/>
      <c r="B508" s="8"/>
      <c r="C508" s="8"/>
      <c r="D508" s="8"/>
      <c r="E508" s="8"/>
      <c r="F508" s="8"/>
      <c r="G508" s="8"/>
      <c r="H508" s="8"/>
      <c r="I508" s="11"/>
      <c r="J508" s="1157"/>
      <c r="K508" s="1157"/>
      <c r="L508" s="1208"/>
      <c r="M508" s="1208"/>
      <c r="N508" s="1208"/>
      <c r="O508" s="1208"/>
      <c r="P508" s="40"/>
      <c r="Q508" s="8"/>
      <c r="R508" s="8"/>
      <c r="S508" s="8"/>
      <c r="T508" s="8"/>
      <c r="U508" s="8"/>
      <c r="V508" s="714"/>
      <c r="W508" s="714"/>
      <c r="X508" s="714"/>
      <c r="Y508" s="714"/>
      <c r="Z508" s="714"/>
      <c r="AA508" s="714"/>
      <c r="AB508" s="714"/>
      <c r="AC508" s="714"/>
      <c r="AD508" s="714"/>
      <c r="AE508" s="714"/>
      <c r="AF508" s="714"/>
      <c r="AG508" s="714"/>
      <c r="AH508" s="714"/>
      <c r="AI508" s="714"/>
      <c r="AJ508" s="714"/>
      <c r="AK508" s="714"/>
      <c r="AL508" s="714"/>
      <c r="AM508" s="714"/>
      <c r="AN508" s="714"/>
      <c r="AO508" s="714"/>
      <c r="AP508" s="714"/>
      <c r="AQ508" s="716"/>
    </row>
    <row r="509" spans="1:43" s="708" customFormat="1" ht="12.75" customHeight="1" x14ac:dyDescent="0.25">
      <c r="A509" s="8"/>
      <c r="B509" s="8"/>
      <c r="C509" s="8"/>
      <c r="D509" s="8"/>
      <c r="E509" s="8"/>
      <c r="F509" s="8"/>
      <c r="G509" s="8"/>
      <c r="H509" s="8"/>
      <c r="I509" s="8"/>
      <c r="J509" s="1156"/>
      <c r="K509" s="1156"/>
      <c r="L509" s="1207"/>
      <c r="M509" s="1207"/>
      <c r="N509" s="1621" t="s">
        <v>483</v>
      </c>
      <c r="O509" s="1622"/>
      <c r="P509" s="1622"/>
      <c r="Q509" s="1623"/>
      <c r="R509" s="8"/>
      <c r="S509" s="8"/>
      <c r="T509" s="8"/>
      <c r="U509" s="8"/>
      <c r="V509" s="714"/>
      <c r="W509" s="714"/>
      <c r="X509" s="714"/>
      <c r="Y509" s="714"/>
      <c r="Z509" s="714"/>
      <c r="AA509" s="714"/>
      <c r="AB509" s="714"/>
      <c r="AC509" s="714"/>
      <c r="AD509" s="714"/>
      <c r="AE509" s="714"/>
      <c r="AF509" s="714"/>
      <c r="AG509" s="714"/>
      <c r="AH509" s="714"/>
      <c r="AI509" s="714"/>
      <c r="AJ509" s="714"/>
      <c r="AK509" s="714"/>
      <c r="AL509" s="714"/>
      <c r="AM509" s="714"/>
      <c r="AN509" s="714"/>
      <c r="AO509" s="714"/>
      <c r="AP509" s="714"/>
      <c r="AQ509" s="716"/>
    </row>
    <row r="510" spans="1:43" s="708" customFormat="1" ht="12.75" customHeight="1" x14ac:dyDescent="0.25">
      <c r="A510" s="8"/>
      <c r="B510" s="8"/>
      <c r="C510" s="8"/>
      <c r="D510" s="8"/>
      <c r="E510" s="8"/>
      <c r="F510" s="8"/>
      <c r="G510" s="8"/>
      <c r="H510" s="8"/>
      <c r="I510" s="8"/>
      <c r="J510" s="1156"/>
      <c r="K510" s="1156"/>
      <c r="L510" s="1207"/>
      <c r="M510" s="1207"/>
      <c r="N510" s="1577" t="s">
        <v>201</v>
      </c>
      <c r="O510" s="1578"/>
      <c r="P510" s="1579" t="s">
        <v>202</v>
      </c>
      <c r="Q510" s="1580"/>
      <c r="R510" s="8"/>
      <c r="S510" s="8"/>
      <c r="T510" s="8"/>
      <c r="U510" s="8"/>
      <c r="V510" s="714"/>
      <c r="W510" s="714"/>
      <c r="X510" s="714"/>
      <c r="Y510" s="714"/>
      <c r="Z510" s="714"/>
      <c r="AA510" s="714"/>
      <c r="AB510" s="714"/>
      <c r="AC510" s="714"/>
      <c r="AD510" s="714"/>
      <c r="AE510" s="714"/>
      <c r="AF510" s="714"/>
      <c r="AG510" s="714"/>
      <c r="AH510" s="714"/>
      <c r="AI510" s="714"/>
      <c r="AJ510" s="714"/>
      <c r="AK510" s="714"/>
      <c r="AL510" s="714"/>
      <c r="AM510" s="714"/>
      <c r="AN510" s="714"/>
      <c r="AO510" s="714"/>
      <c r="AP510" s="714"/>
      <c r="AQ510" s="716"/>
    </row>
    <row r="511" spans="1:43" s="708" customFormat="1" ht="12.75" customHeight="1" x14ac:dyDescent="0.25">
      <c r="A511" s="8"/>
      <c r="B511" s="8"/>
      <c r="C511" s="11" t="s">
        <v>484</v>
      </c>
      <c r="D511" s="712"/>
      <c r="E511" s="11"/>
      <c r="F511" s="11"/>
      <c r="G511" s="11"/>
      <c r="H511" s="11"/>
      <c r="I511" s="11"/>
      <c r="J511" s="1157" t="s">
        <v>435</v>
      </c>
      <c r="K511" s="1157"/>
      <c r="L511" s="1208"/>
      <c r="M511" s="1208"/>
      <c r="N511" s="1638">
        <v>0.10482009608609499</v>
      </c>
      <c r="O511" s="1639"/>
      <c r="P511" s="1640">
        <v>7.9228726573486521E-2</v>
      </c>
      <c r="Q511" s="1641"/>
      <c r="R511" s="8"/>
      <c r="S511" s="8"/>
      <c r="T511" s="8"/>
      <c r="U511" s="8"/>
      <c r="V511" s="714"/>
      <c r="W511" s="714"/>
      <c r="X511" s="714"/>
      <c r="Y511" s="714"/>
      <c r="Z511" s="714"/>
      <c r="AA511" s="714"/>
      <c r="AB511" s="714"/>
      <c r="AC511" s="714"/>
      <c r="AD511" s="714"/>
      <c r="AE511" s="714"/>
      <c r="AF511" s="714"/>
      <c r="AG511" s="714"/>
      <c r="AH511" s="714"/>
      <c r="AI511" s="714"/>
      <c r="AJ511" s="714"/>
      <c r="AK511" s="714"/>
      <c r="AL511" s="714"/>
      <c r="AM511" s="714"/>
      <c r="AN511" s="714"/>
      <c r="AO511" s="714"/>
      <c r="AP511" s="714"/>
      <c r="AQ511" s="716"/>
    </row>
    <row r="512" spans="1:43" s="708" customFormat="1" ht="12.75" customHeight="1" x14ac:dyDescent="0.25">
      <c r="A512" s="8"/>
      <c r="B512" s="8"/>
      <c r="C512" s="11"/>
      <c r="D512" s="8" t="s">
        <v>485</v>
      </c>
      <c r="E512" s="712"/>
      <c r="F512" s="11"/>
      <c r="G512" s="11"/>
      <c r="H512" s="11"/>
      <c r="I512" s="11"/>
      <c r="J512" s="1203" t="s">
        <v>435</v>
      </c>
      <c r="K512" s="1203"/>
      <c r="L512" s="1207"/>
      <c r="M512" s="1208"/>
      <c r="N512" s="1536">
        <v>9.8217027731983653E-2</v>
      </c>
      <c r="O512" s="2034"/>
      <c r="P512" s="1541">
        <v>7.4238001047829266E-2</v>
      </c>
      <c r="Q512" s="2035"/>
      <c r="R512" s="8"/>
      <c r="S512" s="8"/>
      <c r="T512" s="8"/>
      <c r="U512" s="8"/>
      <c r="V512" s="714"/>
      <c r="W512" s="714"/>
      <c r="X512" s="714"/>
      <c r="Y512" s="714"/>
      <c r="Z512" s="714"/>
      <c r="AA512" s="714"/>
      <c r="AB512" s="714"/>
      <c r="AC512" s="714"/>
      <c r="AD512" s="714"/>
      <c r="AE512" s="714"/>
      <c r="AF512" s="714"/>
      <c r="AG512" s="714"/>
      <c r="AH512" s="714"/>
      <c r="AI512" s="714"/>
      <c r="AJ512" s="714"/>
      <c r="AK512" s="714"/>
      <c r="AL512" s="714"/>
      <c r="AM512" s="714"/>
      <c r="AN512" s="714"/>
      <c r="AO512" s="714"/>
      <c r="AP512" s="714"/>
      <c r="AQ512" s="716"/>
    </row>
    <row r="513" spans="1:43" s="708" customFormat="1" ht="12.75" customHeight="1" x14ac:dyDescent="0.25">
      <c r="A513" s="8"/>
      <c r="B513" s="8"/>
      <c r="C513" s="712"/>
      <c r="D513" s="8" t="s">
        <v>521</v>
      </c>
      <c r="E513" s="712"/>
      <c r="F513" s="11"/>
      <c r="G513" s="11"/>
      <c r="H513" s="11"/>
      <c r="I513" s="11"/>
      <c r="J513" s="1203" t="s">
        <v>435</v>
      </c>
      <c r="K513" s="1203"/>
      <c r="L513" s="1207"/>
      <c r="M513" s="1208"/>
      <c r="N513" s="2029">
        <v>6.6030683541113454E-3</v>
      </c>
      <c r="O513" s="2036"/>
      <c r="P513" s="2031">
        <v>4.9907255256572526E-3</v>
      </c>
      <c r="Q513" s="2033"/>
      <c r="R513" s="8"/>
      <c r="S513" s="8"/>
      <c r="T513" s="8"/>
      <c r="U513" s="8"/>
      <c r="V513" s="714"/>
      <c r="W513" s="714"/>
      <c r="X513" s="714"/>
      <c r="Y513" s="714"/>
      <c r="Z513" s="714"/>
      <c r="AA513" s="714"/>
      <c r="AB513" s="714"/>
      <c r="AC513" s="714"/>
      <c r="AD513" s="714"/>
      <c r="AE513" s="714"/>
      <c r="AF513" s="714"/>
      <c r="AG513" s="714"/>
      <c r="AH513" s="714"/>
      <c r="AI513" s="714"/>
      <c r="AJ513" s="714"/>
      <c r="AK513" s="714"/>
      <c r="AL513" s="714"/>
      <c r="AM513" s="714"/>
      <c r="AN513" s="714"/>
      <c r="AO513" s="714"/>
      <c r="AP513" s="714"/>
      <c r="AQ513" s="716"/>
    </row>
    <row r="514" spans="1:43" s="708" customFormat="1" ht="12.75" customHeight="1" x14ac:dyDescent="0.25">
      <c r="A514" s="8"/>
      <c r="B514" s="8"/>
      <c r="C514" s="8"/>
      <c r="D514" s="8"/>
      <c r="E514" s="8"/>
      <c r="F514" s="8"/>
      <c r="G514" s="8"/>
      <c r="H514" s="8"/>
      <c r="I514" s="11"/>
      <c r="J514" s="1157"/>
      <c r="K514" s="1157"/>
      <c r="L514" s="1208"/>
      <c r="M514" s="1208"/>
      <c r="N514" s="1208"/>
      <c r="O514" s="1208"/>
      <c r="P514" s="40"/>
      <c r="Q514" s="8"/>
      <c r="R514" s="8"/>
      <c r="S514" s="8"/>
      <c r="T514" s="8"/>
      <c r="U514" s="8"/>
      <c r="V514" s="714"/>
      <c r="W514" s="714"/>
      <c r="X514" s="714"/>
      <c r="Y514" s="714"/>
      <c r="Z514" s="714"/>
      <c r="AA514" s="714"/>
      <c r="AB514" s="714"/>
      <c r="AC514" s="714"/>
      <c r="AD514" s="714"/>
      <c r="AE514" s="714"/>
      <c r="AF514" s="714"/>
      <c r="AG514" s="714"/>
      <c r="AH514" s="714"/>
      <c r="AI514" s="714"/>
      <c r="AJ514" s="714"/>
      <c r="AK514" s="714"/>
      <c r="AL514" s="714"/>
      <c r="AM514" s="714"/>
      <c r="AN514" s="714"/>
      <c r="AO514" s="714"/>
      <c r="AP514" s="714"/>
      <c r="AQ514" s="716"/>
    </row>
    <row r="515" spans="1:43" s="708" customFormat="1" ht="12.75" customHeight="1" x14ac:dyDescent="0.25">
      <c r="A515" s="8"/>
      <c r="B515" s="8"/>
      <c r="C515" s="8"/>
      <c r="D515" s="8"/>
      <c r="E515" s="8"/>
      <c r="F515" s="8"/>
      <c r="G515" s="8"/>
      <c r="H515" s="8"/>
      <c r="I515" s="8"/>
      <c r="J515" s="1157"/>
      <c r="K515" s="1157"/>
      <c r="L515" s="1208"/>
      <c r="M515" s="1208"/>
      <c r="N515" s="1574" t="s">
        <v>483</v>
      </c>
      <c r="O515" s="1575"/>
      <c r="P515" s="1575"/>
      <c r="Q515" s="1576"/>
      <c r="R515" s="8"/>
      <c r="S515" s="8"/>
      <c r="T515" s="8"/>
      <c r="U515" s="8"/>
      <c r="V515" s="714"/>
      <c r="W515" s="714"/>
      <c r="X515" s="714"/>
      <c r="Y515" s="714"/>
      <c r="Z515" s="714"/>
      <c r="AA515" s="714"/>
      <c r="AB515" s="714"/>
      <c r="AC515" s="714"/>
      <c r="AD515" s="714"/>
      <c r="AE515" s="714"/>
      <c r="AF515" s="714"/>
      <c r="AG515" s="714"/>
      <c r="AH515" s="714"/>
      <c r="AI515" s="714"/>
      <c r="AJ515" s="714"/>
      <c r="AK515" s="714"/>
      <c r="AL515" s="714"/>
      <c r="AM515" s="714"/>
      <c r="AN515" s="714"/>
      <c r="AO515" s="714"/>
      <c r="AP515" s="714"/>
      <c r="AQ515" s="716"/>
    </row>
    <row r="516" spans="1:43" s="708" customFormat="1" ht="12.75" customHeight="1" x14ac:dyDescent="0.25">
      <c r="A516" s="8"/>
      <c r="B516" s="8"/>
      <c r="C516" s="11"/>
      <c r="D516" s="11"/>
      <c r="E516" s="11"/>
      <c r="F516" s="11"/>
      <c r="G516" s="11"/>
      <c r="H516" s="11"/>
      <c r="I516" s="8"/>
      <c r="J516" s="1157"/>
      <c r="K516" s="1157"/>
      <c r="L516" s="1208"/>
      <c r="M516" s="1208"/>
      <c r="N516" s="1577" t="s">
        <v>201</v>
      </c>
      <c r="O516" s="1578"/>
      <c r="P516" s="1579" t="s">
        <v>202</v>
      </c>
      <c r="Q516" s="1580"/>
      <c r="R516" s="8"/>
      <c r="S516" s="8"/>
      <c r="T516" s="8"/>
      <c r="U516" s="8"/>
      <c r="V516" s="714"/>
      <c r="W516" s="714"/>
      <c r="X516" s="714"/>
      <c r="Y516" s="714"/>
      <c r="Z516" s="714"/>
      <c r="AA516" s="714"/>
      <c r="AB516" s="714"/>
      <c r="AC516" s="714"/>
      <c r="AD516" s="714"/>
      <c r="AE516" s="714"/>
      <c r="AF516" s="714"/>
      <c r="AG516" s="714"/>
      <c r="AH516" s="714"/>
      <c r="AI516" s="714"/>
      <c r="AJ516" s="714"/>
      <c r="AK516" s="714"/>
      <c r="AL516" s="714"/>
      <c r="AM516" s="714"/>
      <c r="AN516" s="714"/>
      <c r="AO516" s="714"/>
      <c r="AP516" s="714"/>
      <c r="AQ516" s="716"/>
    </row>
    <row r="517" spans="1:43" s="708" customFormat="1" ht="12.75" customHeight="1" x14ac:dyDescent="0.25">
      <c r="A517" s="8"/>
      <c r="B517" s="8"/>
      <c r="C517" s="11" t="s">
        <v>146</v>
      </c>
      <c r="D517" s="11"/>
      <c r="E517" s="11"/>
      <c r="F517" s="11"/>
      <c r="G517" s="11"/>
      <c r="H517" s="11"/>
      <c r="I517" s="8"/>
      <c r="J517" s="1157"/>
      <c r="K517" s="1157"/>
      <c r="L517" s="1208"/>
      <c r="M517" s="1208"/>
      <c r="N517" s="1587"/>
      <c r="O517" s="1588"/>
      <c r="P517" s="1583"/>
      <c r="Q517" s="1584"/>
      <c r="R517" s="8"/>
      <c r="S517" s="8"/>
      <c r="T517" s="8"/>
      <c r="U517" s="8"/>
      <c r="V517" s="714"/>
      <c r="W517" s="714"/>
      <c r="X517" s="714"/>
      <c r="Y517" s="714"/>
      <c r="Z517" s="714"/>
      <c r="AA517" s="714"/>
      <c r="AB517" s="714"/>
      <c r="AC517" s="714"/>
      <c r="AD517" s="714"/>
      <c r="AE517" s="714"/>
      <c r="AF517" s="714"/>
      <c r="AG517" s="714"/>
      <c r="AH517" s="714"/>
      <c r="AI517" s="714"/>
      <c r="AJ517" s="714"/>
      <c r="AK517" s="714"/>
      <c r="AL517" s="714"/>
      <c r="AM517" s="714"/>
      <c r="AN517" s="714"/>
      <c r="AO517" s="714"/>
      <c r="AP517" s="714"/>
      <c r="AQ517" s="716"/>
    </row>
    <row r="518" spans="1:43" s="708" customFormat="1" ht="12.75" customHeight="1" x14ac:dyDescent="0.25">
      <c r="A518" s="8"/>
      <c r="B518" s="8"/>
      <c r="C518" s="11"/>
      <c r="D518" s="11" t="s">
        <v>246</v>
      </c>
      <c r="E518" s="11"/>
      <c r="F518" s="11"/>
      <c r="G518" s="11"/>
      <c r="H518" s="11"/>
      <c r="I518" s="8"/>
      <c r="J518" s="1157"/>
      <c r="K518" s="1157"/>
      <c r="L518" s="1208"/>
      <c r="M518" s="1208"/>
      <c r="N518" s="1585">
        <v>1.2791149288522994</v>
      </c>
      <c r="O518" s="1586"/>
      <c r="P518" s="1581">
        <v>2.0135955844020477</v>
      </c>
      <c r="Q518" s="1582"/>
      <c r="R518" s="8"/>
      <c r="S518" s="8"/>
      <c r="T518" s="8"/>
      <c r="U518" s="8"/>
      <c r="V518" s="714"/>
      <c r="W518" s="714"/>
      <c r="X518" s="714"/>
      <c r="Y518" s="714"/>
      <c r="Z518" s="714"/>
      <c r="AA518" s="714"/>
      <c r="AB518" s="714"/>
      <c r="AC518" s="714"/>
      <c r="AD518" s="714"/>
      <c r="AE518" s="714"/>
      <c r="AF518" s="714"/>
      <c r="AG518" s="714"/>
      <c r="AH518" s="714"/>
      <c r="AI518" s="714"/>
      <c r="AJ518" s="714"/>
      <c r="AK518" s="714"/>
      <c r="AL518" s="714"/>
      <c r="AM518" s="714"/>
      <c r="AN518" s="714"/>
      <c r="AO518" s="714"/>
      <c r="AP518" s="714"/>
      <c r="AQ518" s="716"/>
    </row>
    <row r="519" spans="1:43" s="708" customFormat="1" ht="12.75" customHeight="1" x14ac:dyDescent="0.25">
      <c r="A519" s="8"/>
      <c r="B519" s="8"/>
      <c r="C519" s="8"/>
      <c r="D519" s="8" t="s">
        <v>490</v>
      </c>
      <c r="E519" s="8"/>
      <c r="F519" s="8"/>
      <c r="G519" s="8"/>
      <c r="H519" s="8"/>
      <c r="I519" s="8"/>
      <c r="J519" s="1156" t="s">
        <v>437</v>
      </c>
      <c r="K519" s="1156"/>
      <c r="L519" s="1207"/>
      <c r="M519" s="1207"/>
      <c r="N519" s="1547">
        <v>934558832.11678815</v>
      </c>
      <c r="O519" s="1548"/>
      <c r="P519" s="1572">
        <v>934558832.11678815</v>
      </c>
      <c r="Q519" s="1573"/>
      <c r="R519" s="8"/>
      <c r="S519" s="8"/>
      <c r="T519" s="8"/>
      <c r="U519" s="8"/>
      <c r="V519" s="714"/>
      <c r="W519" s="714"/>
      <c r="X519" s="714"/>
      <c r="Y519" s="714"/>
      <c r="Z519" s="714"/>
      <c r="AA519" s="714"/>
      <c r="AB519" s="714"/>
      <c r="AC519" s="714"/>
      <c r="AD519" s="714"/>
      <c r="AE519" s="714"/>
      <c r="AF519" s="714"/>
      <c r="AG519" s="714"/>
      <c r="AH519" s="714"/>
      <c r="AI519" s="714"/>
      <c r="AJ519" s="714"/>
      <c r="AK519" s="714"/>
      <c r="AL519" s="714"/>
      <c r="AM519" s="714"/>
      <c r="AN519" s="714"/>
      <c r="AO519" s="714"/>
      <c r="AP519" s="714"/>
      <c r="AQ519" s="716"/>
    </row>
    <row r="520" spans="1:43" s="708" customFormat="1" ht="12.75" customHeight="1" x14ac:dyDescent="0.25">
      <c r="A520" s="8"/>
      <c r="B520" s="8"/>
      <c r="C520" s="8"/>
      <c r="D520" s="1158" t="s">
        <v>563</v>
      </c>
      <c r="E520" s="8"/>
      <c r="F520" s="8"/>
      <c r="G520" s="8"/>
      <c r="H520" s="8"/>
      <c r="I520" s="8"/>
      <c r="J520" s="1156" t="s">
        <v>437</v>
      </c>
      <c r="K520" s="1156"/>
      <c r="L520" s="1207"/>
      <c r="M520" s="1207"/>
      <c r="N520" s="1547">
        <v>729853225.47946417</v>
      </c>
      <c r="O520" s="1548"/>
      <c r="P520" s="1572">
        <v>317651175.52623874</v>
      </c>
      <c r="Q520" s="1573"/>
      <c r="R520" s="8"/>
      <c r="S520" s="8"/>
      <c r="T520" s="8"/>
      <c r="U520" s="8"/>
      <c r="V520" s="714"/>
      <c r="W520" s="714"/>
      <c r="X520" s="714"/>
      <c r="Y520" s="714"/>
      <c r="Z520" s="714"/>
      <c r="AA520" s="714"/>
      <c r="AB520" s="714"/>
      <c r="AC520" s="714"/>
      <c r="AD520" s="714"/>
      <c r="AE520" s="714"/>
      <c r="AF520" s="714"/>
      <c r="AG520" s="714"/>
      <c r="AH520" s="714"/>
      <c r="AI520" s="714"/>
      <c r="AJ520" s="714"/>
      <c r="AK520" s="714"/>
      <c r="AL520" s="714"/>
      <c r="AM520" s="714"/>
      <c r="AN520" s="714"/>
      <c r="AO520" s="714"/>
      <c r="AP520" s="714"/>
      <c r="AQ520" s="716"/>
    </row>
    <row r="521" spans="1:43" s="708" customFormat="1" ht="12.75" customHeight="1" x14ac:dyDescent="0.25">
      <c r="A521" s="8"/>
      <c r="B521" s="8"/>
      <c r="C521" s="8"/>
      <c r="D521" s="8" t="s">
        <v>307</v>
      </c>
      <c r="E521" s="8"/>
      <c r="F521" s="8"/>
      <c r="G521" s="8"/>
      <c r="H521" s="8"/>
      <c r="I521" s="8"/>
      <c r="J521" s="1156" t="s">
        <v>437</v>
      </c>
      <c r="K521" s="1156"/>
      <c r="L521" s="1207"/>
      <c r="M521" s="1207"/>
      <c r="N521" s="1547">
        <v>0</v>
      </c>
      <c r="O521" s="1548"/>
      <c r="P521" s="1572">
        <v>142084439.26764578</v>
      </c>
      <c r="Q521" s="1573"/>
      <c r="R521" s="8"/>
      <c r="S521" s="8"/>
      <c r="T521" s="8"/>
      <c r="U521" s="8"/>
      <c r="V521" s="714"/>
      <c r="W521" s="714"/>
      <c r="X521" s="714"/>
      <c r="Y521" s="714"/>
      <c r="Z521" s="714"/>
      <c r="AA521" s="714"/>
      <c r="AB521" s="714"/>
      <c r="AC521" s="714"/>
      <c r="AD521" s="714"/>
      <c r="AE521" s="714"/>
      <c r="AF521" s="714"/>
      <c r="AG521" s="714"/>
      <c r="AH521" s="714"/>
      <c r="AI521" s="714"/>
      <c r="AJ521" s="714"/>
      <c r="AK521" s="714"/>
      <c r="AL521" s="714"/>
      <c r="AM521" s="714"/>
      <c r="AN521" s="714"/>
      <c r="AO521" s="714"/>
      <c r="AP521" s="714"/>
      <c r="AQ521" s="716"/>
    </row>
    <row r="522" spans="1:43" s="708" customFormat="1" ht="12.75" customHeight="1" x14ac:dyDescent="0.25">
      <c r="A522" s="8"/>
      <c r="B522" s="8"/>
      <c r="C522" s="8"/>
      <c r="D522" s="8" t="s">
        <v>306</v>
      </c>
      <c r="E522" s="8"/>
      <c r="F522" s="8"/>
      <c r="G522" s="8"/>
      <c r="H522" s="8"/>
      <c r="I522" s="8"/>
      <c r="J522" s="1156" t="s">
        <v>437</v>
      </c>
      <c r="K522" s="1156"/>
      <c r="L522" s="1207"/>
      <c r="M522" s="1207"/>
      <c r="N522" s="1547">
        <v>776064.38062053395</v>
      </c>
      <c r="O522" s="1548"/>
      <c r="P522" s="1572">
        <v>4388780.0727800559</v>
      </c>
      <c r="Q522" s="1573"/>
      <c r="R522" s="8"/>
      <c r="S522" s="8"/>
      <c r="T522" s="8"/>
      <c r="U522" s="8"/>
      <c r="V522" s="714"/>
      <c r="W522" s="714"/>
      <c r="X522" s="714"/>
      <c r="Y522" s="714"/>
      <c r="Z522" s="714"/>
      <c r="AA522" s="714"/>
      <c r="AB522" s="714"/>
      <c r="AC522" s="714"/>
      <c r="AD522" s="714"/>
      <c r="AE522" s="714"/>
      <c r="AF522" s="714"/>
      <c r="AG522" s="714"/>
      <c r="AH522" s="714"/>
      <c r="AI522" s="714"/>
      <c r="AJ522" s="714"/>
      <c r="AK522" s="714"/>
      <c r="AL522" s="714"/>
      <c r="AM522" s="714"/>
      <c r="AN522" s="714"/>
      <c r="AO522" s="714"/>
      <c r="AP522" s="714"/>
      <c r="AQ522" s="716"/>
    </row>
    <row r="523" spans="1:43" s="708" customFormat="1" ht="12.75" customHeight="1" x14ac:dyDescent="0.25">
      <c r="A523" s="8"/>
      <c r="B523" s="8"/>
      <c r="C523" s="8"/>
      <c r="D523" s="8"/>
      <c r="E523" s="8"/>
      <c r="F523" s="8"/>
      <c r="G523" s="8"/>
      <c r="H523" s="8"/>
      <c r="I523" s="8"/>
      <c r="J523" s="1156"/>
      <c r="K523" s="1156"/>
      <c r="L523" s="1207"/>
      <c r="M523" s="1207"/>
      <c r="N523" s="1497"/>
      <c r="O523" s="1495"/>
      <c r="P523" s="1439"/>
      <c r="Q523" s="1496"/>
      <c r="R523" s="8"/>
      <c r="S523" s="8"/>
      <c r="T523" s="8"/>
      <c r="U523" s="8"/>
      <c r="V523" s="714"/>
      <c r="W523" s="714"/>
      <c r="X523" s="714"/>
      <c r="Y523" s="714"/>
      <c r="Z523" s="714"/>
      <c r="AA523" s="714"/>
      <c r="AB523" s="714"/>
      <c r="AC523" s="714"/>
      <c r="AD523" s="714"/>
      <c r="AE523" s="714"/>
      <c r="AF523" s="714"/>
      <c r="AG523" s="714"/>
      <c r="AH523" s="714"/>
      <c r="AI523" s="714"/>
      <c r="AJ523" s="714"/>
      <c r="AK523" s="714"/>
      <c r="AL523" s="714"/>
      <c r="AM523" s="714"/>
      <c r="AN523" s="714"/>
      <c r="AO523" s="714"/>
      <c r="AP523" s="714"/>
      <c r="AQ523" s="716"/>
    </row>
    <row r="524" spans="1:43" s="708" customFormat="1" ht="12.75" customHeight="1" x14ac:dyDescent="0.25">
      <c r="A524" s="8"/>
      <c r="B524" s="8"/>
      <c r="C524" s="11" t="s">
        <v>147</v>
      </c>
      <c r="D524" s="8"/>
      <c r="E524" s="8"/>
      <c r="F524" s="8"/>
      <c r="G524" s="8"/>
      <c r="H524" s="8"/>
      <c r="I524" s="8"/>
      <c r="J524" s="1156"/>
      <c r="K524" s="1156"/>
      <c r="L524" s="1207"/>
      <c r="M524" s="1207"/>
      <c r="N524" s="1497"/>
      <c r="O524" s="1495"/>
      <c r="P524" s="1439"/>
      <c r="Q524" s="1496"/>
      <c r="R524" s="8"/>
      <c r="S524" s="8"/>
      <c r="T524" s="8"/>
      <c r="U524" s="8"/>
      <c r="V524" s="714"/>
      <c r="W524" s="714"/>
      <c r="X524" s="714"/>
      <c r="Y524" s="714"/>
      <c r="Z524" s="714"/>
      <c r="AA524" s="714"/>
      <c r="AB524" s="714"/>
      <c r="AC524" s="714"/>
      <c r="AD524" s="714"/>
      <c r="AE524" s="714"/>
      <c r="AF524" s="714"/>
      <c r="AG524" s="714"/>
      <c r="AH524" s="714"/>
      <c r="AI524" s="714"/>
      <c r="AJ524" s="714"/>
      <c r="AK524" s="714"/>
      <c r="AL524" s="714"/>
      <c r="AM524" s="714"/>
      <c r="AN524" s="714"/>
      <c r="AO524" s="714"/>
      <c r="AP524" s="714"/>
      <c r="AQ524" s="716"/>
    </row>
    <row r="525" spans="1:43" s="708" customFormat="1" ht="12.75" customHeight="1" x14ac:dyDescent="0.25">
      <c r="A525" s="8"/>
      <c r="B525" s="8"/>
      <c r="C525" s="8"/>
      <c r="D525" s="11" t="s">
        <v>246</v>
      </c>
      <c r="E525" s="11"/>
      <c r="F525" s="11"/>
      <c r="G525" s="11"/>
      <c r="H525" s="11"/>
      <c r="I525" s="8"/>
      <c r="J525" s="1157"/>
      <c r="K525" s="1157"/>
      <c r="L525" s="1208"/>
      <c r="M525" s="1208"/>
      <c r="N525" s="1598"/>
      <c r="O525" s="1590"/>
      <c r="P525" s="1581">
        <v>2.8141803109768877</v>
      </c>
      <c r="Q525" s="1582"/>
      <c r="R525" s="8"/>
      <c r="S525" s="8"/>
      <c r="T525" s="8"/>
      <c r="U525" s="8"/>
      <c r="V525" s="714"/>
      <c r="W525" s="714"/>
      <c r="X525" s="714"/>
      <c r="Y525" s="714"/>
      <c r="Z525" s="714"/>
      <c r="AA525" s="714"/>
      <c r="AB525" s="714"/>
      <c r="AC525" s="714"/>
      <c r="AD525" s="714"/>
      <c r="AE525" s="714"/>
      <c r="AF525" s="714"/>
      <c r="AG525" s="714"/>
      <c r="AH525" s="714"/>
      <c r="AI525" s="714"/>
      <c r="AJ525" s="714"/>
      <c r="AK525" s="714"/>
      <c r="AL525" s="714"/>
      <c r="AM525" s="714"/>
      <c r="AN525" s="714"/>
      <c r="AO525" s="714"/>
      <c r="AP525" s="714"/>
      <c r="AQ525" s="716"/>
    </row>
    <row r="526" spans="1:43" s="708" customFormat="1" ht="12.75" customHeight="1" x14ac:dyDescent="0.25">
      <c r="A526" s="8"/>
      <c r="B526" s="8"/>
      <c r="C526" s="8"/>
      <c r="D526" s="8" t="s">
        <v>307</v>
      </c>
      <c r="E526" s="8"/>
      <c r="F526" s="8"/>
      <c r="G526" s="8"/>
      <c r="H526" s="8"/>
      <c r="I526" s="8"/>
      <c r="J526" s="1156" t="s">
        <v>437</v>
      </c>
      <c r="K526" s="1156"/>
      <c r="L526" s="1207"/>
      <c r="M526" s="1207"/>
      <c r="N526" s="1547">
        <v>0</v>
      </c>
      <c r="O526" s="1548"/>
      <c r="P526" s="1572">
        <v>142084439.26764578</v>
      </c>
      <c r="Q526" s="1573"/>
      <c r="R526" s="8"/>
      <c r="S526" s="8"/>
      <c r="T526" s="8"/>
      <c r="U526" s="8"/>
      <c r="V526" s="714"/>
      <c r="W526" s="714"/>
      <c r="X526" s="714"/>
      <c r="Y526" s="714"/>
      <c r="Z526" s="714"/>
      <c r="AA526" s="714"/>
      <c r="AB526" s="714"/>
      <c r="AC526" s="714"/>
      <c r="AD526" s="714"/>
      <c r="AE526" s="714"/>
      <c r="AF526" s="714"/>
      <c r="AG526" s="714"/>
      <c r="AH526" s="714"/>
      <c r="AI526" s="714"/>
      <c r="AJ526" s="714"/>
      <c r="AK526" s="714"/>
      <c r="AL526" s="714"/>
      <c r="AM526" s="714"/>
      <c r="AN526" s="714"/>
      <c r="AO526" s="714"/>
      <c r="AP526" s="714"/>
      <c r="AQ526" s="716"/>
    </row>
    <row r="527" spans="1:43" s="708" customFormat="1" ht="12.75" customHeight="1" x14ac:dyDescent="0.25">
      <c r="A527" s="8"/>
      <c r="B527" s="8"/>
      <c r="C527" s="8"/>
      <c r="D527" s="8" t="s">
        <v>306</v>
      </c>
      <c r="E527" s="8"/>
      <c r="F527" s="8"/>
      <c r="G527" s="8"/>
      <c r="H527" s="8"/>
      <c r="I527" s="8"/>
      <c r="J527" s="1156" t="s">
        <v>437</v>
      </c>
      <c r="K527" s="1156"/>
      <c r="L527" s="1207"/>
      <c r="M527" s="1207"/>
      <c r="N527" s="1547">
        <v>776064.38062053395</v>
      </c>
      <c r="O527" s="1548"/>
      <c r="P527" s="1572">
        <v>4388780.0727800559</v>
      </c>
      <c r="Q527" s="1573"/>
      <c r="R527" s="8"/>
      <c r="S527" s="8"/>
      <c r="T527" s="8"/>
      <c r="U527" s="8"/>
      <c r="V527" s="714"/>
      <c r="W527" s="714"/>
      <c r="X527" s="714"/>
      <c r="Y527" s="714"/>
      <c r="Z527" s="714"/>
      <c r="AA527" s="714"/>
      <c r="AB527" s="714"/>
      <c r="AC527" s="714"/>
      <c r="AD527" s="714"/>
      <c r="AE527" s="714"/>
      <c r="AF527" s="714"/>
      <c r="AG527" s="714"/>
      <c r="AH527" s="714"/>
      <c r="AI527" s="714"/>
      <c r="AJ527" s="714"/>
      <c r="AK527" s="714"/>
      <c r="AL527" s="714"/>
      <c r="AM527" s="714"/>
      <c r="AN527" s="714"/>
      <c r="AO527" s="714"/>
      <c r="AP527" s="714"/>
      <c r="AQ527" s="716"/>
    </row>
    <row r="528" spans="1:43" s="708" customFormat="1" ht="12.75" customHeight="1" x14ac:dyDescent="0.25">
      <c r="A528" s="8"/>
      <c r="B528" s="8"/>
      <c r="C528" s="8"/>
      <c r="D528" s="1557" t="s">
        <v>564</v>
      </c>
      <c r="E528" s="1557"/>
      <c r="F528" s="1557"/>
      <c r="G528" s="1557"/>
      <c r="H528" s="1557"/>
      <c r="I528" s="1557"/>
      <c r="J528" s="1156" t="s">
        <v>437</v>
      </c>
      <c r="K528" s="1156"/>
      <c r="L528" s="1207"/>
      <c r="M528" s="1207"/>
      <c r="N528" s="1547">
        <v>729853225.47946417</v>
      </c>
      <c r="O528" s="1548"/>
      <c r="P528" s="1572">
        <v>317651175.52623874</v>
      </c>
      <c r="Q528" s="1573"/>
      <c r="R528" s="29"/>
      <c r="S528" s="8"/>
      <c r="T528" s="8"/>
      <c r="U528" s="8"/>
      <c r="V528" s="714"/>
      <c r="W528" s="714"/>
      <c r="X528" s="714"/>
      <c r="Y528" s="714"/>
      <c r="Z528" s="714"/>
      <c r="AA528" s="714"/>
      <c r="AB528" s="714"/>
      <c r="AC528" s="714"/>
      <c r="AD528" s="714"/>
      <c r="AE528" s="714"/>
      <c r="AF528" s="714"/>
      <c r="AG528" s="714"/>
      <c r="AH528" s="714"/>
      <c r="AI528" s="714"/>
      <c r="AJ528" s="714"/>
      <c r="AK528" s="714"/>
      <c r="AL528" s="714"/>
      <c r="AM528" s="714"/>
      <c r="AN528" s="714"/>
      <c r="AO528" s="714"/>
      <c r="AP528" s="714"/>
      <c r="AQ528" s="716"/>
    </row>
    <row r="529" spans="1:45" s="708" customFormat="1" ht="12.75" customHeight="1" x14ac:dyDescent="0.25">
      <c r="A529" s="757"/>
      <c r="B529" s="8"/>
      <c r="C529" s="8"/>
      <c r="D529" s="1557" t="s">
        <v>565</v>
      </c>
      <c r="E529" s="1557"/>
      <c r="F529" s="1557"/>
      <c r="G529" s="1557"/>
      <c r="H529" s="1557"/>
      <c r="I529" s="1557"/>
      <c r="J529" s="1156" t="s">
        <v>437</v>
      </c>
      <c r="K529" s="1156"/>
      <c r="L529" s="1207"/>
      <c r="M529" s="1207"/>
      <c r="N529" s="1598"/>
      <c r="O529" s="1590"/>
      <c r="P529" s="1572">
        <v>412202049.95322543</v>
      </c>
      <c r="Q529" s="1573"/>
      <c r="R529" s="8"/>
      <c r="S529" s="8"/>
      <c r="T529" s="8"/>
      <c r="U529" s="8"/>
      <c r="V529" s="714"/>
      <c r="W529" s="714"/>
      <c r="X529" s="714"/>
      <c r="Y529" s="714"/>
      <c r="Z529" s="714"/>
      <c r="AA529" s="714"/>
      <c r="AB529" s="714"/>
      <c r="AC529" s="714"/>
      <c r="AD529" s="714"/>
      <c r="AE529" s="714"/>
      <c r="AF529" s="714"/>
      <c r="AG529" s="714"/>
      <c r="AH529" s="714"/>
      <c r="AI529" s="714"/>
      <c r="AJ529" s="714"/>
      <c r="AK529" s="714"/>
      <c r="AL529" s="714"/>
      <c r="AM529" s="714"/>
      <c r="AN529" s="714"/>
      <c r="AO529" s="714"/>
      <c r="AP529" s="714"/>
      <c r="AQ529" s="716"/>
    </row>
    <row r="530" spans="1:45" s="708" customFormat="1" ht="12.75" customHeight="1" x14ac:dyDescent="0.25">
      <c r="A530" s="8"/>
      <c r="B530" s="8"/>
      <c r="C530" s="8"/>
      <c r="D530" s="8"/>
      <c r="E530" s="8"/>
      <c r="F530" s="8"/>
      <c r="G530" s="8"/>
      <c r="H530" s="8"/>
      <c r="I530" s="8"/>
      <c r="J530" s="1156"/>
      <c r="K530" s="1156"/>
      <c r="L530" s="1207"/>
      <c r="M530" s="1207"/>
      <c r="N530" s="1497"/>
      <c r="O530" s="1495"/>
      <c r="P530" s="1439"/>
      <c r="Q530" s="1496"/>
      <c r="R530" s="8"/>
      <c r="S530" s="8"/>
      <c r="T530" s="8"/>
      <c r="U530" s="8"/>
      <c r="V530" s="714"/>
      <c r="W530" s="714"/>
      <c r="X530" s="714"/>
      <c r="Y530" s="714"/>
      <c r="Z530" s="714"/>
      <c r="AA530" s="714"/>
      <c r="AB530" s="714"/>
      <c r="AC530" s="714"/>
      <c r="AD530" s="714"/>
      <c r="AE530" s="714"/>
      <c r="AF530" s="714"/>
      <c r="AG530" s="714"/>
      <c r="AH530" s="714"/>
      <c r="AI530" s="714"/>
      <c r="AJ530" s="714"/>
      <c r="AK530" s="714"/>
      <c r="AL530" s="714"/>
      <c r="AM530" s="714"/>
      <c r="AN530" s="714"/>
      <c r="AO530" s="714"/>
      <c r="AP530" s="714"/>
      <c r="AQ530" s="716"/>
    </row>
    <row r="531" spans="1:45" s="708" customFormat="1" ht="12.75" customHeight="1" x14ac:dyDescent="0.25">
      <c r="A531" s="8"/>
      <c r="B531" s="8"/>
      <c r="C531" s="11" t="s">
        <v>187</v>
      </c>
      <c r="D531" s="11"/>
      <c r="E531" s="11"/>
      <c r="F531" s="11"/>
      <c r="G531" s="11"/>
      <c r="H531" s="11"/>
      <c r="I531" s="8"/>
      <c r="J531" s="748"/>
      <c r="K531" s="748"/>
      <c r="L531" s="748"/>
      <c r="M531" s="748"/>
      <c r="N531" s="1611"/>
      <c r="O531" s="1612"/>
      <c r="P531" s="1603"/>
      <c r="Q531" s="1604"/>
      <c r="R531" s="8"/>
      <c r="S531" s="8"/>
      <c r="T531" s="8"/>
      <c r="U531" s="8"/>
      <c r="V531" s="714"/>
      <c r="W531" s="714"/>
      <c r="X531" s="714"/>
      <c r="Y531" s="714"/>
      <c r="Z531" s="714"/>
      <c r="AA531" s="714"/>
      <c r="AB531" s="714"/>
      <c r="AC531" s="714"/>
      <c r="AD531" s="714"/>
      <c r="AE531" s="714"/>
      <c r="AF531" s="714"/>
      <c r="AG531" s="714"/>
      <c r="AH531" s="714"/>
      <c r="AI531" s="714"/>
      <c r="AJ531" s="714"/>
      <c r="AK531" s="714"/>
      <c r="AL531" s="714"/>
      <c r="AM531" s="714"/>
      <c r="AN531" s="714"/>
      <c r="AO531" s="714"/>
      <c r="AP531" s="714"/>
      <c r="AQ531" s="716"/>
    </row>
    <row r="532" spans="1:45" s="708" customFormat="1" ht="12.75" customHeight="1" x14ac:dyDescent="0.25">
      <c r="A532" s="8"/>
      <c r="B532" s="8"/>
      <c r="C532" s="8"/>
      <c r="D532" s="8" t="s">
        <v>491</v>
      </c>
      <c r="E532" s="8"/>
      <c r="F532" s="8"/>
      <c r="G532" s="8"/>
      <c r="H532" s="8"/>
      <c r="I532" s="8"/>
      <c r="J532" s="1156" t="s">
        <v>435</v>
      </c>
      <c r="K532" s="1156"/>
      <c r="L532" s="1207"/>
      <c r="M532" s="1207"/>
      <c r="N532" s="1609">
        <v>0.10482009608609499</v>
      </c>
      <c r="O532" s="1610"/>
      <c r="P532" s="1605">
        <v>7.9228726573486521E-2</v>
      </c>
      <c r="Q532" s="1606"/>
      <c r="R532" s="8"/>
      <c r="S532" s="8"/>
      <c r="T532" s="8"/>
      <c r="U532" s="8"/>
      <c r="V532" s="714"/>
      <c r="W532" s="714"/>
      <c r="X532" s="714"/>
      <c r="Y532" s="714"/>
      <c r="Z532" s="714"/>
      <c r="AA532" s="714"/>
      <c r="AB532" s="714"/>
      <c r="AC532" s="714"/>
      <c r="AD532" s="714"/>
      <c r="AE532" s="714"/>
      <c r="AF532" s="714"/>
      <c r="AG532" s="714"/>
      <c r="AH532" s="714"/>
      <c r="AI532" s="714"/>
      <c r="AJ532" s="714"/>
      <c r="AK532" s="714"/>
      <c r="AL532" s="714"/>
      <c r="AM532" s="714"/>
      <c r="AN532" s="714"/>
      <c r="AO532" s="714"/>
      <c r="AP532" s="714"/>
      <c r="AQ532" s="716"/>
    </row>
    <row r="533" spans="1:45" s="708" customFormat="1" ht="12.75" customHeight="1" x14ac:dyDescent="0.25">
      <c r="A533" s="8"/>
      <c r="B533" s="8"/>
      <c r="C533" s="8"/>
      <c r="D533" s="8" t="s">
        <v>492</v>
      </c>
      <c r="E533" s="8"/>
      <c r="F533" s="8"/>
      <c r="G533" s="8"/>
      <c r="H533" s="8"/>
      <c r="I533" s="8"/>
      <c r="J533" s="1156" t="s">
        <v>16</v>
      </c>
      <c r="K533" s="1156"/>
      <c r="L533" s="1207"/>
      <c r="M533" s="1207"/>
      <c r="N533" s="1443"/>
      <c r="O533" s="1495"/>
      <c r="P533" s="1599">
        <v>-0.24414564065643252</v>
      </c>
      <c r="Q533" s="1600"/>
      <c r="R533" s="8"/>
      <c r="S533" s="8"/>
      <c r="T533" s="8"/>
      <c r="U533" s="8"/>
      <c r="V533" s="714"/>
      <c r="W533" s="714"/>
      <c r="X533" s="714"/>
      <c r="Y533" s="714"/>
      <c r="Z533" s="714"/>
      <c r="AA533" s="714"/>
      <c r="AB533" s="714"/>
      <c r="AC533" s="714"/>
      <c r="AD533" s="714"/>
      <c r="AE533" s="714"/>
      <c r="AF533" s="714"/>
      <c r="AG533" s="714"/>
      <c r="AH533" s="714"/>
      <c r="AI533" s="714"/>
      <c r="AJ533" s="714"/>
      <c r="AK533" s="714"/>
      <c r="AL533" s="714"/>
      <c r="AM533" s="714"/>
      <c r="AN533" s="714"/>
      <c r="AO533" s="714"/>
      <c r="AP533" s="714"/>
      <c r="AQ533" s="716"/>
    </row>
    <row r="534" spans="1:45" s="708" customFormat="1" ht="12.75" customHeight="1" x14ac:dyDescent="0.25">
      <c r="A534" s="8"/>
      <c r="B534" s="8"/>
      <c r="C534" s="8"/>
      <c r="D534" s="8" t="s">
        <v>277</v>
      </c>
      <c r="E534" s="8"/>
      <c r="F534" s="8"/>
      <c r="G534" s="8"/>
      <c r="H534" s="8"/>
      <c r="I534" s="8"/>
      <c r="J534" s="1156" t="s">
        <v>435</v>
      </c>
      <c r="K534" s="1156"/>
      <c r="L534" s="1207"/>
      <c r="M534" s="1207"/>
      <c r="N534" s="1609">
        <v>5.9507503425933327E-2</v>
      </c>
      <c r="O534" s="1610"/>
      <c r="P534" s="1607">
        <v>5.9507503425933327E-2</v>
      </c>
      <c r="Q534" s="1608"/>
      <c r="R534" s="8"/>
      <c r="S534" s="8"/>
      <c r="T534" s="8"/>
      <c r="U534" s="8"/>
      <c r="V534" s="714"/>
      <c r="W534" s="714"/>
      <c r="X534" s="714"/>
      <c r="Y534" s="714"/>
      <c r="Z534" s="714"/>
      <c r="AA534" s="714"/>
      <c r="AB534" s="714"/>
      <c r="AC534" s="714"/>
      <c r="AD534" s="714"/>
      <c r="AE534" s="714"/>
      <c r="AF534" s="714"/>
      <c r="AG534" s="714"/>
      <c r="AH534" s="714"/>
      <c r="AI534" s="714"/>
      <c r="AJ534" s="714"/>
      <c r="AK534" s="714"/>
      <c r="AL534" s="714"/>
      <c r="AM534" s="714"/>
      <c r="AN534" s="714"/>
      <c r="AO534" s="714"/>
      <c r="AP534" s="714"/>
      <c r="AQ534" s="716"/>
    </row>
    <row r="535" spans="1:45" s="708" customFormat="1" ht="12.75" customHeight="1" x14ac:dyDescent="0.25">
      <c r="A535" s="8"/>
      <c r="B535" s="8"/>
      <c r="C535" s="8"/>
      <c r="D535" s="8" t="s">
        <v>308</v>
      </c>
      <c r="E535" s="8"/>
      <c r="F535" s="8"/>
      <c r="G535" s="8"/>
      <c r="H535" s="8"/>
      <c r="I535" s="8"/>
      <c r="J535" s="1156" t="s">
        <v>435</v>
      </c>
      <c r="K535" s="1156"/>
      <c r="L535" s="1207"/>
      <c r="M535" s="1207"/>
      <c r="N535" s="1609">
        <v>4.5312592660161667E-2</v>
      </c>
      <c r="O535" s="1610"/>
      <c r="P535" s="1607">
        <v>1.9721223147553195E-2</v>
      </c>
      <c r="Q535" s="1608"/>
      <c r="R535" s="8"/>
      <c r="S535" s="8"/>
      <c r="T535" s="8"/>
      <c r="U535" s="8"/>
      <c r="V535" s="714"/>
      <c r="W535" s="714"/>
      <c r="X535" s="714"/>
      <c r="Y535" s="714"/>
      <c r="Z535" s="714"/>
      <c r="AA535" s="714"/>
      <c r="AB535" s="714"/>
      <c r="AC535" s="714"/>
      <c r="AD535" s="714"/>
      <c r="AE535" s="714"/>
      <c r="AF535" s="714"/>
      <c r="AG535" s="714"/>
      <c r="AH535" s="714"/>
      <c r="AI535" s="714"/>
      <c r="AJ535" s="714"/>
      <c r="AK535" s="714"/>
      <c r="AL535" s="714"/>
      <c r="AM535" s="714"/>
      <c r="AN535" s="714"/>
      <c r="AO535" s="714"/>
      <c r="AP535" s="714"/>
      <c r="AQ535" s="716"/>
    </row>
    <row r="536" spans="1:45" s="708" customFormat="1" ht="12.75" customHeight="1" x14ac:dyDescent="0.25">
      <c r="A536" s="8"/>
      <c r="B536" s="8"/>
      <c r="C536" s="8"/>
      <c r="D536" s="8"/>
      <c r="E536" s="8"/>
      <c r="F536" s="8"/>
      <c r="G536" s="8"/>
      <c r="H536" s="8"/>
      <c r="I536" s="8"/>
      <c r="J536" s="1156"/>
      <c r="K536" s="1156"/>
      <c r="L536" s="1207"/>
      <c r="M536" s="1207"/>
      <c r="N536" s="1443"/>
      <c r="O536" s="1445"/>
      <c r="P536" s="1498"/>
      <c r="Q536" s="1499"/>
      <c r="R536" s="8"/>
      <c r="S536" s="8"/>
      <c r="T536" s="8"/>
      <c r="U536" s="8"/>
      <c r="V536" s="714"/>
      <c r="W536" s="714"/>
      <c r="X536" s="714"/>
      <c r="Y536" s="714"/>
      <c r="Z536" s="714"/>
      <c r="AA536" s="714"/>
      <c r="AB536" s="714"/>
      <c r="AC536" s="714"/>
      <c r="AD536" s="714"/>
      <c r="AE536" s="714"/>
      <c r="AF536" s="714"/>
      <c r="AG536" s="714"/>
      <c r="AH536" s="714"/>
      <c r="AI536" s="714"/>
      <c r="AJ536" s="714"/>
      <c r="AK536" s="714"/>
      <c r="AL536" s="714"/>
      <c r="AM536" s="714"/>
      <c r="AN536" s="714"/>
      <c r="AO536" s="714"/>
      <c r="AP536" s="714"/>
      <c r="AQ536" s="716"/>
    </row>
    <row r="537" spans="1:45" s="708" customFormat="1" ht="12.75" customHeight="1" x14ac:dyDescent="0.25">
      <c r="A537" s="8"/>
      <c r="B537" s="8"/>
      <c r="C537" s="11" t="s">
        <v>148</v>
      </c>
      <c r="D537" s="11"/>
      <c r="E537" s="11"/>
      <c r="F537" s="11"/>
      <c r="G537" s="11"/>
      <c r="H537" s="11"/>
      <c r="I537" s="8"/>
      <c r="J537" s="748"/>
      <c r="K537" s="748"/>
      <c r="L537" s="748"/>
      <c r="M537" s="748"/>
      <c r="N537" s="1611"/>
      <c r="O537" s="1612"/>
      <c r="P537" s="1603"/>
      <c r="Q537" s="1604"/>
      <c r="R537" s="8"/>
      <c r="S537" s="8"/>
      <c r="T537" s="8"/>
      <c r="U537" s="8"/>
      <c r="V537" s="714"/>
      <c r="W537" s="714"/>
      <c r="X537" s="714"/>
      <c r="Y537" s="714"/>
      <c r="Z537" s="714"/>
      <c r="AA537" s="714"/>
      <c r="AB537" s="714"/>
      <c r="AC537" s="714"/>
      <c r="AD537" s="714"/>
      <c r="AE537" s="714"/>
      <c r="AF537" s="714"/>
      <c r="AG537" s="714"/>
      <c r="AH537" s="714"/>
      <c r="AI537" s="714"/>
      <c r="AJ537" s="714"/>
      <c r="AK537" s="714"/>
      <c r="AL537" s="714"/>
      <c r="AM537" s="714"/>
      <c r="AN537" s="714"/>
      <c r="AO537" s="714"/>
      <c r="AP537" s="714"/>
      <c r="AQ537" s="716"/>
    </row>
    <row r="538" spans="1:45" s="708" customFormat="1" ht="12.75" customHeight="1" x14ac:dyDescent="0.25">
      <c r="A538" s="8"/>
      <c r="B538" s="1504"/>
      <c r="C538" s="1504"/>
      <c r="D538" s="1504"/>
      <c r="E538" s="1506" t="s">
        <v>689</v>
      </c>
      <c r="F538" s="1504"/>
      <c r="G538" s="1504"/>
      <c r="H538" s="1504"/>
      <c r="I538" s="1504"/>
      <c r="J538" s="1507" t="s">
        <v>438</v>
      </c>
      <c r="K538" s="1509"/>
      <c r="L538" s="1509"/>
      <c r="M538" s="1509"/>
      <c r="N538" s="2057">
        <v>58.005788841628679</v>
      </c>
      <c r="O538" s="2058"/>
      <c r="P538" s="2059">
        <v>25.24563346385947</v>
      </c>
      <c r="Q538" s="2060"/>
      <c r="R538" s="8"/>
      <c r="S538" s="8"/>
      <c r="T538" s="8"/>
      <c r="U538" s="8"/>
      <c r="V538" s="714"/>
      <c r="W538" s="714"/>
      <c r="X538" s="714"/>
      <c r="Y538" s="714"/>
      <c r="Z538" s="714"/>
      <c r="AA538" s="714"/>
      <c r="AB538" s="714"/>
      <c r="AC538" s="714"/>
      <c r="AD538" s="714"/>
      <c r="AE538" s="714"/>
      <c r="AF538" s="714"/>
      <c r="AG538" s="714"/>
      <c r="AH538" s="714"/>
      <c r="AI538" s="714"/>
      <c r="AJ538" s="714"/>
      <c r="AK538" s="714"/>
      <c r="AL538" s="714"/>
      <c r="AM538" s="714"/>
      <c r="AN538" s="714"/>
      <c r="AO538" s="714"/>
      <c r="AP538" s="714"/>
      <c r="AQ538" s="716"/>
    </row>
    <row r="539" spans="1:45" s="708" customFormat="1" ht="12.75" customHeight="1" x14ac:dyDescent="0.25">
      <c r="A539" s="8"/>
      <c r="B539" s="1504"/>
      <c r="C539" s="1504"/>
      <c r="D539" s="1504"/>
      <c r="E539" s="1506" t="s">
        <v>690</v>
      </c>
      <c r="F539" s="1504"/>
      <c r="G539" s="1504"/>
      <c r="H539" s="1504"/>
      <c r="I539" s="1504"/>
      <c r="J539" s="1507" t="s">
        <v>438</v>
      </c>
      <c r="K539" s="1509"/>
      <c r="L539" s="1509"/>
      <c r="M539" s="1509"/>
      <c r="N539" s="2057">
        <v>0</v>
      </c>
      <c r="O539" s="2058"/>
      <c r="P539" s="2059">
        <v>11.292297812928103</v>
      </c>
      <c r="Q539" s="2060"/>
      <c r="R539" s="8"/>
      <c r="S539" s="8"/>
      <c r="T539" s="8"/>
      <c r="U539" s="8"/>
      <c r="V539" s="714"/>
      <c r="W539" s="714"/>
      <c r="X539" s="714"/>
      <c r="Y539" s="714"/>
      <c r="Z539" s="714"/>
      <c r="AA539" s="714"/>
      <c r="AB539" s="714"/>
      <c r="AC539" s="714"/>
      <c r="AD539" s="714"/>
      <c r="AE539" s="714"/>
      <c r="AF539" s="714"/>
      <c r="AG539" s="714"/>
      <c r="AH539" s="714"/>
      <c r="AI539" s="714"/>
      <c r="AJ539" s="714"/>
      <c r="AK539" s="714"/>
      <c r="AL539" s="714"/>
      <c r="AM539" s="714"/>
      <c r="AN539" s="714"/>
      <c r="AO539" s="714"/>
      <c r="AP539" s="714"/>
      <c r="AQ539" s="716"/>
    </row>
    <row r="540" spans="1:45" s="708" customFormat="1" ht="12.75" customHeight="1" x14ac:dyDescent="0.25">
      <c r="A540" s="8"/>
      <c r="B540" s="1504"/>
      <c r="C540" s="1504"/>
      <c r="D540" s="1504"/>
      <c r="E540" s="1506" t="s">
        <v>691</v>
      </c>
      <c r="F540" s="1504"/>
      <c r="G540" s="1504"/>
      <c r="H540" s="1504"/>
      <c r="I540" s="1504"/>
      <c r="J540" s="1507" t="s">
        <v>438</v>
      </c>
      <c r="K540" s="1509"/>
      <c r="L540" s="1509"/>
      <c r="M540" s="1509"/>
      <c r="N540" s="2057">
        <v>6.1678464954664586E-2</v>
      </c>
      <c r="O540" s="2058"/>
      <c r="P540" s="2059">
        <v>0.34880252807924406</v>
      </c>
      <c r="Q540" s="2060"/>
      <c r="R540" s="8"/>
      <c r="S540" s="8"/>
      <c r="T540" s="8"/>
      <c r="U540" s="8"/>
      <c r="V540" s="714"/>
      <c r="W540" s="714"/>
      <c r="X540" s="714"/>
      <c r="Y540" s="714"/>
      <c r="Z540" s="714"/>
      <c r="AA540" s="714"/>
      <c r="AB540" s="714"/>
      <c r="AC540" s="714"/>
      <c r="AD540" s="714"/>
      <c r="AE540" s="714"/>
      <c r="AF540" s="714"/>
      <c r="AG540" s="714"/>
      <c r="AH540" s="714"/>
      <c r="AI540" s="714"/>
      <c r="AJ540" s="714"/>
      <c r="AK540" s="714"/>
      <c r="AL540" s="714"/>
      <c r="AM540" s="714"/>
      <c r="AN540" s="714"/>
      <c r="AO540" s="714"/>
      <c r="AP540" s="714"/>
      <c r="AQ540" s="716"/>
    </row>
    <row r="541" spans="1:45" s="708" customFormat="1" ht="12.75" customHeight="1" x14ac:dyDescent="0.25">
      <c r="A541" s="8"/>
      <c r="B541" s="1504"/>
      <c r="C541" s="1504"/>
      <c r="D541" s="1505" t="s">
        <v>692</v>
      </c>
      <c r="E541" s="1505"/>
      <c r="F541" s="1505"/>
      <c r="G541" s="1505"/>
      <c r="H541" s="1505"/>
      <c r="I541" s="1505"/>
      <c r="J541" s="1508" t="s">
        <v>438</v>
      </c>
      <c r="K541" s="1508"/>
      <c r="L541" s="1508"/>
      <c r="M541" s="1508"/>
      <c r="N541" s="2010">
        <v>58.067467306583346</v>
      </c>
      <c r="O541" s="2011"/>
      <c r="P541" s="2012">
        <v>36.886733804866822</v>
      </c>
      <c r="Q541" s="2013"/>
      <c r="R541" s="8"/>
      <c r="S541" s="8"/>
      <c r="T541" s="8"/>
      <c r="U541" s="8"/>
      <c r="V541" s="714"/>
      <c r="W541" s="714"/>
      <c r="X541" s="714"/>
      <c r="Y541" s="714"/>
      <c r="Z541" s="714"/>
      <c r="AA541" s="714"/>
      <c r="AB541" s="714"/>
      <c r="AC541" s="714"/>
      <c r="AD541" s="714"/>
      <c r="AE541" s="714"/>
      <c r="AF541" s="714"/>
      <c r="AG541" s="714"/>
      <c r="AH541" s="714"/>
      <c r="AI541" s="714"/>
      <c r="AJ541" s="714"/>
      <c r="AK541" s="714"/>
      <c r="AL541" s="714"/>
      <c r="AM541" s="714"/>
      <c r="AN541" s="714"/>
      <c r="AO541" s="714"/>
      <c r="AP541" s="714"/>
      <c r="AQ541" s="716"/>
    </row>
    <row r="542" spans="1:45" s="708" customFormat="1" ht="12.75" customHeight="1" x14ac:dyDescent="0.25">
      <c r="A542" s="8"/>
      <c r="B542" s="1504"/>
      <c r="C542" s="1504"/>
      <c r="D542" s="1504" t="s">
        <v>309</v>
      </c>
      <c r="E542" s="1504"/>
      <c r="F542" s="1504"/>
      <c r="G542" s="1504"/>
      <c r="H542" s="1504"/>
      <c r="I542" s="1504"/>
      <c r="J542" s="1507" t="s">
        <v>16</v>
      </c>
      <c r="K542" s="1507"/>
      <c r="L542" s="1507"/>
      <c r="M542" s="1507"/>
      <c r="N542" s="1510"/>
      <c r="O542" s="1511"/>
      <c r="P542" s="2002">
        <v>-0.36476075992581092</v>
      </c>
      <c r="Q542" s="2003"/>
      <c r="R542" s="8"/>
      <c r="S542" s="8"/>
      <c r="T542" s="8"/>
      <c r="U542" s="8"/>
      <c r="V542" s="714"/>
      <c r="W542" s="714"/>
      <c r="X542" s="714"/>
      <c r="Y542" s="714"/>
      <c r="Z542" s="714"/>
      <c r="AA542" s="714"/>
      <c r="AB542" s="714"/>
      <c r="AC542" s="714"/>
      <c r="AD542" s="714"/>
      <c r="AE542" s="714"/>
      <c r="AF542" s="714"/>
      <c r="AG542" s="714"/>
      <c r="AH542" s="714"/>
      <c r="AI542" s="714"/>
      <c r="AJ542" s="714"/>
      <c r="AK542" s="714"/>
      <c r="AL542" s="714"/>
      <c r="AM542" s="714"/>
      <c r="AN542" s="714"/>
      <c r="AO542" s="714"/>
      <c r="AP542" s="714"/>
      <c r="AQ542" s="716"/>
    </row>
    <row r="543" spans="1:45" s="708" customFormat="1" ht="12.75" customHeight="1" x14ac:dyDescent="0.25">
      <c r="A543" s="8"/>
      <c r="B543" s="8"/>
      <c r="C543" s="8"/>
      <c r="D543" s="1557" t="s">
        <v>566</v>
      </c>
      <c r="E543" s="1557"/>
      <c r="F543" s="1557"/>
      <c r="G543" s="1557"/>
      <c r="H543" s="1557"/>
      <c r="I543" s="1557"/>
      <c r="J543" s="1156" t="s">
        <v>368</v>
      </c>
      <c r="K543" s="1156"/>
      <c r="L543" s="1207"/>
      <c r="M543" s="1207"/>
      <c r="N543" s="1613">
        <v>12.58242048</v>
      </c>
      <c r="O543" s="1614"/>
      <c r="P543" s="1596">
        <v>12.58242048</v>
      </c>
      <c r="Q543" s="1597"/>
      <c r="R543" s="8"/>
      <c r="S543" s="8"/>
      <c r="T543" s="8"/>
      <c r="U543" s="8"/>
      <c r="V543" s="714"/>
      <c r="W543" s="714"/>
      <c r="X543" s="714"/>
      <c r="Y543" s="714"/>
      <c r="Z543" s="714"/>
      <c r="AA543" s="714"/>
      <c r="AB543" s="714"/>
      <c r="AC543" s="714"/>
      <c r="AD543" s="714"/>
      <c r="AE543" s="714"/>
      <c r="AF543" s="714"/>
      <c r="AG543" s="714"/>
      <c r="AH543" s="714"/>
      <c r="AI543" s="714"/>
      <c r="AJ543" s="714"/>
      <c r="AK543" s="714"/>
      <c r="AL543" s="714"/>
      <c r="AM543" s="714"/>
      <c r="AN543" s="714"/>
      <c r="AO543" s="714"/>
      <c r="AP543" s="714"/>
      <c r="AQ543" s="716"/>
    </row>
    <row r="544" spans="1:45" s="712" customFormat="1" ht="12.75" customHeight="1" x14ac:dyDescent="0.25">
      <c r="A544" s="711"/>
      <c r="B544" s="708"/>
      <c r="C544" s="708"/>
      <c r="F544" s="713"/>
      <c r="G544" s="713"/>
      <c r="H544" s="713"/>
      <c r="I544" s="713"/>
      <c r="J544" s="714"/>
      <c r="K544" s="714"/>
      <c r="L544" s="714"/>
      <c r="M544" s="714"/>
      <c r="N544" s="714"/>
      <c r="O544" s="714"/>
      <c r="P544" s="714"/>
      <c r="Q544" s="714"/>
      <c r="R544" s="714"/>
      <c r="S544" s="714"/>
      <c r="T544" s="714"/>
      <c r="U544" s="714"/>
      <c r="V544" s="714"/>
      <c r="W544" s="714"/>
      <c r="X544" s="714"/>
      <c r="Y544" s="714"/>
      <c r="Z544" s="714"/>
      <c r="AA544" s="714"/>
      <c r="AB544" s="714"/>
      <c r="AC544" s="714"/>
      <c r="AD544" s="714"/>
      <c r="AE544" s="714"/>
      <c r="AF544" s="714"/>
      <c r="AG544" s="714"/>
      <c r="AH544" s="714"/>
      <c r="AI544" s="714"/>
      <c r="AJ544" s="714"/>
      <c r="AK544" s="714"/>
      <c r="AL544" s="714"/>
      <c r="AM544" s="714"/>
      <c r="AN544" s="714"/>
      <c r="AO544" s="714"/>
      <c r="AP544" s="715"/>
      <c r="AQ544" s="716"/>
      <c r="AR544" s="708"/>
      <c r="AS544" s="708"/>
    </row>
    <row r="545" spans="1:45" s="712" customFormat="1" ht="12.75" customHeight="1" x14ac:dyDescent="0.25">
      <c r="A545" s="711"/>
      <c r="B545" s="708"/>
      <c r="C545" s="708"/>
      <c r="F545" s="713"/>
      <c r="G545" s="713"/>
      <c r="H545" s="713"/>
      <c r="I545" s="713"/>
      <c r="J545" s="714"/>
      <c r="K545" s="714"/>
      <c r="L545" s="714"/>
      <c r="M545" s="714"/>
      <c r="N545" s="714"/>
      <c r="O545" s="714"/>
      <c r="P545" s="714"/>
      <c r="Q545" s="714"/>
      <c r="R545" s="714"/>
      <c r="S545" s="714"/>
      <c r="T545" s="714"/>
      <c r="U545" s="714"/>
      <c r="V545" s="714"/>
      <c r="W545" s="714"/>
      <c r="X545" s="714"/>
      <c r="Y545" s="714"/>
      <c r="Z545" s="714"/>
      <c r="AA545" s="714"/>
      <c r="AB545" s="714"/>
      <c r="AC545" s="714"/>
      <c r="AD545" s="714"/>
      <c r="AE545" s="714"/>
      <c r="AF545" s="714"/>
      <c r="AG545" s="714"/>
      <c r="AH545" s="714"/>
      <c r="AI545" s="714"/>
      <c r="AJ545" s="714"/>
      <c r="AK545" s="714"/>
      <c r="AL545" s="714"/>
      <c r="AM545" s="714"/>
      <c r="AN545" s="714"/>
      <c r="AO545" s="714"/>
      <c r="AP545" s="715"/>
      <c r="AQ545" s="716"/>
      <c r="AR545" s="708"/>
      <c r="AS545" s="708"/>
    </row>
    <row r="546" spans="1:45" s="712" customFormat="1" ht="12.75" customHeight="1" x14ac:dyDescent="0.25">
      <c r="A546" s="711"/>
      <c r="B546" s="52" t="s">
        <v>578</v>
      </c>
      <c r="C546" s="21"/>
      <c r="D546" s="21"/>
      <c r="E546" s="21"/>
      <c r="F546" s="21"/>
      <c r="G546" s="21"/>
      <c r="H546" s="21"/>
      <c r="I546" s="21"/>
      <c r="J546" s="22"/>
      <c r="K546" s="22"/>
      <c r="L546" s="22"/>
      <c r="M546" s="22"/>
      <c r="N546" s="22"/>
      <c r="O546" s="21"/>
      <c r="P546" s="21"/>
      <c r="Q546" s="21"/>
      <c r="R546" s="21"/>
      <c r="S546" s="21"/>
      <c r="T546" s="21"/>
      <c r="U546" s="21"/>
      <c r="V546" s="714"/>
      <c r="W546" s="714"/>
      <c r="X546" s="714"/>
      <c r="Y546" s="714"/>
      <c r="Z546" s="714"/>
      <c r="AA546" s="714"/>
      <c r="AB546" s="714"/>
      <c r="AC546" s="714"/>
      <c r="AD546" s="714"/>
      <c r="AE546" s="714"/>
      <c r="AF546" s="714"/>
      <c r="AG546" s="714"/>
      <c r="AH546" s="714"/>
      <c r="AI546" s="714"/>
      <c r="AJ546" s="714"/>
      <c r="AK546" s="714"/>
      <c r="AL546" s="714"/>
      <c r="AM546" s="714"/>
      <c r="AN546" s="714"/>
      <c r="AO546" s="714"/>
      <c r="AP546" s="715"/>
      <c r="AQ546" s="716"/>
      <c r="AR546" s="708"/>
      <c r="AS546" s="708"/>
    </row>
    <row r="547" spans="1:45" s="712" customFormat="1" ht="12.75" customHeight="1" x14ac:dyDescent="0.25">
      <c r="A547" s="711"/>
      <c r="B547" s="8"/>
      <c r="C547" s="8"/>
      <c r="D547" s="8"/>
      <c r="E547" s="8"/>
      <c r="F547" s="8"/>
      <c r="G547" s="8"/>
      <c r="H547" s="8"/>
      <c r="I547" s="11"/>
      <c r="J547" s="1157"/>
      <c r="K547" s="1157"/>
      <c r="L547" s="1157"/>
      <c r="M547" s="1157"/>
      <c r="N547" s="1157"/>
      <c r="O547" s="1157"/>
      <c r="P547" s="40"/>
      <c r="Q547" s="8"/>
      <c r="R547" s="8"/>
      <c r="S547" s="8"/>
      <c r="T547" s="8"/>
      <c r="U547" s="8"/>
      <c r="V547" s="714"/>
      <c r="W547" s="714"/>
      <c r="X547" s="714"/>
      <c r="Y547" s="714"/>
      <c r="Z547" s="714"/>
      <c r="AA547" s="714"/>
      <c r="AB547" s="714"/>
      <c r="AC547" s="714"/>
      <c r="AD547" s="714"/>
      <c r="AE547" s="714"/>
      <c r="AF547" s="714"/>
      <c r="AG547" s="714"/>
      <c r="AH547" s="714"/>
      <c r="AI547" s="714"/>
      <c r="AJ547" s="714"/>
      <c r="AK547" s="714"/>
      <c r="AL547" s="714"/>
      <c r="AM547" s="714"/>
      <c r="AN547" s="714"/>
      <c r="AO547" s="714"/>
      <c r="AP547" s="715"/>
      <c r="AQ547" s="716"/>
      <c r="AR547" s="708"/>
      <c r="AS547" s="708"/>
    </row>
    <row r="548" spans="1:45" s="712" customFormat="1" ht="12.75" customHeight="1" x14ac:dyDescent="0.25">
      <c r="A548" s="711"/>
      <c r="B548" s="8"/>
      <c r="C548" s="8"/>
      <c r="D548" s="8"/>
      <c r="E548" s="8"/>
      <c r="F548" s="8"/>
      <c r="G548" s="8"/>
      <c r="H548" s="8"/>
      <c r="I548" s="11"/>
      <c r="J548" s="1157"/>
      <c r="K548" s="1157"/>
      <c r="L548" s="1157"/>
      <c r="M548" s="1157"/>
      <c r="N548" s="1157"/>
      <c r="O548" s="1157"/>
      <c r="P548" s="40"/>
      <c r="Q548" s="8"/>
      <c r="R548" s="8"/>
      <c r="S548" s="8"/>
      <c r="T548" s="8"/>
      <c r="U548" s="8"/>
      <c r="V548" s="714"/>
      <c r="W548" s="714"/>
      <c r="X548" s="714"/>
      <c r="Y548" s="714"/>
      <c r="Z548" s="714"/>
      <c r="AA548" s="714"/>
      <c r="AB548" s="714"/>
      <c r="AC548" s="714"/>
      <c r="AD548" s="714"/>
      <c r="AE548" s="714"/>
      <c r="AF548" s="714"/>
      <c r="AG548" s="714"/>
      <c r="AH548" s="714"/>
      <c r="AI548" s="714"/>
      <c r="AJ548" s="714"/>
      <c r="AK548" s="714"/>
      <c r="AL548" s="714"/>
      <c r="AM548" s="714"/>
      <c r="AN548" s="714"/>
      <c r="AO548" s="714"/>
      <c r="AP548" s="715"/>
      <c r="AQ548" s="716"/>
      <c r="AR548" s="708"/>
      <c r="AS548" s="708"/>
    </row>
    <row r="549" spans="1:45" s="708" customFormat="1" ht="12.75" customHeight="1" x14ac:dyDescent="0.25">
      <c r="A549" s="8"/>
      <c r="B549" s="8"/>
      <c r="C549" s="8"/>
      <c r="D549" s="8"/>
      <c r="E549" s="8"/>
      <c r="F549" s="8"/>
      <c r="G549" s="8"/>
      <c r="H549" s="8"/>
      <c r="I549" s="11"/>
      <c r="J549" s="1157"/>
      <c r="K549" s="1157"/>
      <c r="L549" s="1902" t="s">
        <v>201</v>
      </c>
      <c r="M549" s="1903"/>
      <c r="N549" s="1903"/>
      <c r="O549" s="1904"/>
      <c r="P549" s="1899" t="s">
        <v>202</v>
      </c>
      <c r="Q549" s="1900"/>
      <c r="R549" s="1900"/>
      <c r="S549" s="1901"/>
      <c r="T549" s="8"/>
      <c r="U549" s="8"/>
      <c r="V549" s="714"/>
      <c r="W549" s="714"/>
      <c r="X549" s="714"/>
      <c r="Y549" s="714"/>
      <c r="Z549" s="714"/>
      <c r="AA549" s="714"/>
      <c r="AB549" s="714"/>
      <c r="AC549" s="714"/>
      <c r="AD549" s="714"/>
      <c r="AE549" s="714"/>
      <c r="AF549" s="714"/>
      <c r="AG549" s="714"/>
      <c r="AH549" s="714"/>
      <c r="AI549" s="714"/>
      <c r="AJ549" s="714"/>
      <c r="AK549" s="714"/>
      <c r="AL549" s="714"/>
      <c r="AM549" s="714"/>
      <c r="AN549" s="714"/>
      <c r="AO549" s="714"/>
      <c r="AP549" s="714"/>
      <c r="AQ549" s="716"/>
    </row>
    <row r="550" spans="1:45" s="708" customFormat="1" ht="12.75" customHeight="1" x14ac:dyDescent="0.25">
      <c r="A550" s="8"/>
      <c r="B550" s="8"/>
      <c r="C550" s="8"/>
      <c r="D550" s="8"/>
      <c r="E550" s="8"/>
      <c r="F550" s="8"/>
      <c r="G550" s="8"/>
      <c r="H550" s="8"/>
      <c r="I550" s="11"/>
      <c r="J550" s="1157"/>
      <c r="K550" s="1157"/>
      <c r="L550" s="1873" t="s">
        <v>230</v>
      </c>
      <c r="M550" s="1874"/>
      <c r="N550" s="1874"/>
      <c r="O550" s="1875"/>
      <c r="P550" s="1930" t="s">
        <v>230</v>
      </c>
      <c r="Q550" s="1931"/>
      <c r="R550" s="1931"/>
      <c r="S550" s="1932"/>
      <c r="T550" s="8"/>
      <c r="U550" s="8"/>
      <c r="V550" s="714"/>
      <c r="W550" s="714"/>
      <c r="X550" s="714"/>
      <c r="Y550" s="714"/>
      <c r="Z550" s="714"/>
      <c r="AA550" s="714"/>
      <c r="AB550" s="714"/>
      <c r="AC550" s="714"/>
      <c r="AD550" s="714"/>
      <c r="AE550" s="714"/>
      <c r="AF550" s="714"/>
      <c r="AG550" s="714"/>
      <c r="AH550" s="714"/>
      <c r="AI550" s="714"/>
      <c r="AJ550" s="714"/>
      <c r="AK550" s="714"/>
      <c r="AL550" s="714"/>
      <c r="AM550" s="714"/>
      <c r="AN550" s="714"/>
      <c r="AO550" s="714"/>
      <c r="AP550" s="714"/>
      <c r="AQ550" s="716"/>
    </row>
    <row r="551" spans="1:45" s="708" customFormat="1" ht="38.700000000000003" customHeight="1" x14ac:dyDescent="0.25">
      <c r="A551" s="8"/>
      <c r="B551" s="8"/>
      <c r="C551" s="1159" t="s">
        <v>78</v>
      </c>
      <c r="D551" s="849"/>
      <c r="E551" s="849"/>
      <c r="F551" s="849"/>
      <c r="G551" s="849"/>
      <c r="H551" s="849"/>
      <c r="I551" s="849"/>
      <c r="J551" s="849"/>
      <c r="K551" s="849"/>
      <c r="L551" s="1160" t="s">
        <v>228</v>
      </c>
      <c r="M551" s="1160" t="s">
        <v>219</v>
      </c>
      <c r="N551" s="1161" t="s">
        <v>227</v>
      </c>
      <c r="O551" s="1162" t="s">
        <v>226</v>
      </c>
      <c r="P551" s="1163" t="s">
        <v>228</v>
      </c>
      <c r="Q551" s="1163" t="s">
        <v>219</v>
      </c>
      <c r="R551" s="1164" t="s">
        <v>227</v>
      </c>
      <c r="S551" s="1165" t="s">
        <v>226</v>
      </c>
      <c r="T551" s="8"/>
      <c r="U551" s="8"/>
      <c r="V551" s="714"/>
      <c r="W551" s="714"/>
      <c r="X551" s="714"/>
      <c r="Y551" s="714"/>
      <c r="Z551" s="714"/>
      <c r="AA551" s="714"/>
      <c r="AB551" s="714"/>
      <c r="AC551" s="714"/>
      <c r="AD551" s="714"/>
      <c r="AE551" s="714"/>
      <c r="AF551" s="714"/>
      <c r="AG551" s="714"/>
      <c r="AH551" s="714"/>
      <c r="AI551" s="714"/>
      <c r="AJ551" s="714"/>
      <c r="AK551" s="714"/>
      <c r="AL551" s="714"/>
      <c r="AM551" s="714"/>
      <c r="AN551" s="714"/>
      <c r="AO551" s="714"/>
      <c r="AP551" s="714"/>
      <c r="AQ551" s="716"/>
    </row>
    <row r="552" spans="1:45" s="708" customFormat="1" ht="12.75" customHeight="1" x14ac:dyDescent="0.25">
      <c r="A552" s="8"/>
      <c r="B552" s="8"/>
      <c r="C552" s="857" t="s">
        <v>152</v>
      </c>
      <c r="D552" s="57"/>
      <c r="E552" s="182"/>
      <c r="F552" s="57"/>
      <c r="G552" s="57"/>
      <c r="H552" s="57"/>
      <c r="I552" s="57"/>
      <c r="J552" s="57"/>
      <c r="K552" s="57"/>
      <c r="L552" s="1215">
        <v>0.14000000000000001</v>
      </c>
      <c r="M552" s="859" t="s">
        <v>232</v>
      </c>
      <c r="N552" s="860" t="s">
        <v>232</v>
      </c>
      <c r="O552" s="861">
        <v>5.5E-2</v>
      </c>
      <c r="P552" s="862">
        <v>0.12070111890660305</v>
      </c>
      <c r="Q552" s="862" t="s">
        <v>232</v>
      </c>
      <c r="R552" s="863" t="s">
        <v>232</v>
      </c>
      <c r="S552" s="864">
        <v>4.9745323181261319E-2</v>
      </c>
      <c r="T552" s="8"/>
      <c r="U552" s="8"/>
      <c r="V552" s="714"/>
      <c r="W552" s="714"/>
      <c r="X552" s="714"/>
      <c r="Y552" s="714"/>
      <c r="Z552" s="714"/>
      <c r="AA552" s="714"/>
      <c r="AB552" s="714"/>
      <c r="AC552" s="714"/>
      <c r="AD552" s="714"/>
      <c r="AE552" s="714"/>
      <c r="AF552" s="714"/>
      <c r="AG552" s="714"/>
      <c r="AH552" s="714"/>
      <c r="AI552" s="714"/>
      <c r="AJ552" s="714"/>
      <c r="AK552" s="714"/>
      <c r="AL552" s="714"/>
      <c r="AM552" s="714"/>
      <c r="AN552" s="714"/>
      <c r="AO552" s="714"/>
      <c r="AP552" s="714"/>
      <c r="AQ552" s="716"/>
    </row>
    <row r="553" spans="1:45" s="708" customFormat="1" ht="12.75" customHeight="1" x14ac:dyDescent="0.25">
      <c r="A553" s="8"/>
      <c r="B553" s="8"/>
      <c r="C553" s="865" t="s">
        <v>239</v>
      </c>
      <c r="D553" s="866"/>
      <c r="E553" s="866"/>
      <c r="F553" s="866"/>
      <c r="G553" s="866"/>
      <c r="H553" s="866"/>
      <c r="I553" s="866"/>
      <c r="J553" s="866"/>
      <c r="K553" s="866"/>
      <c r="L553" s="1167">
        <v>0.08</v>
      </c>
      <c r="M553" s="1167">
        <v>0</v>
      </c>
      <c r="N553" s="1168">
        <v>0</v>
      </c>
      <c r="O553" s="1169">
        <v>0.04</v>
      </c>
      <c r="P553" s="868">
        <v>0.08</v>
      </c>
      <c r="Q553" s="868">
        <v>0</v>
      </c>
      <c r="R553" s="869">
        <v>0</v>
      </c>
      <c r="S553" s="870">
        <v>0.04</v>
      </c>
      <c r="T553" s="8"/>
      <c r="U553" s="8"/>
      <c r="V553" s="714"/>
      <c r="W553" s="714"/>
      <c r="X553" s="714"/>
      <c r="Y553" s="714"/>
      <c r="Z553" s="714"/>
      <c r="AA553" s="714"/>
      <c r="AB553" s="714"/>
      <c r="AC553" s="714"/>
      <c r="AD553" s="714"/>
      <c r="AE553" s="714"/>
      <c r="AF553" s="714"/>
      <c r="AG553" s="714"/>
      <c r="AH553" s="714"/>
      <c r="AI553" s="714"/>
      <c r="AJ553" s="714"/>
      <c r="AK553" s="714"/>
      <c r="AL553" s="714"/>
      <c r="AM553" s="714"/>
      <c r="AN553" s="714"/>
      <c r="AO553" s="714"/>
      <c r="AP553" s="714"/>
      <c r="AQ553" s="716"/>
    </row>
    <row r="554" spans="1:45" s="708" customFormat="1" ht="12.75" customHeight="1" x14ac:dyDescent="0.25">
      <c r="A554" s="8"/>
      <c r="B554" s="8"/>
      <c r="C554" s="56" t="s">
        <v>80</v>
      </c>
      <c r="D554" s="56"/>
      <c r="E554" s="56"/>
      <c r="F554" s="57"/>
      <c r="G554" s="57"/>
      <c r="H554" s="57"/>
      <c r="I554" s="57"/>
      <c r="J554" s="57"/>
      <c r="K554" s="57"/>
      <c r="L554" s="871">
        <v>6.0000000000000012E-2</v>
      </c>
      <c r="M554" s="871" t="s">
        <v>232</v>
      </c>
      <c r="N554" s="872" t="s">
        <v>232</v>
      </c>
      <c r="O554" s="872">
        <v>1.4999999999999999E-2</v>
      </c>
      <c r="P554" s="873">
        <v>4.0701118906603051E-2</v>
      </c>
      <c r="Q554" s="873" t="s">
        <v>232</v>
      </c>
      <c r="R554" s="874" t="s">
        <v>232</v>
      </c>
      <c r="S554" s="875">
        <v>9.7453231812613186E-3</v>
      </c>
      <c r="T554" s="8"/>
      <c r="U554" s="8"/>
      <c r="V554" s="714"/>
      <c r="W554" s="714"/>
      <c r="X554" s="714"/>
      <c r="Y554" s="714"/>
      <c r="Z554" s="714"/>
      <c r="AA554" s="714"/>
      <c r="AB554" s="714"/>
      <c r="AC554" s="714"/>
      <c r="AD554" s="714"/>
      <c r="AE554" s="714"/>
      <c r="AF554" s="714"/>
      <c r="AG554" s="714"/>
      <c r="AH554" s="714"/>
      <c r="AI554" s="714"/>
      <c r="AJ554" s="714"/>
      <c r="AK554" s="714"/>
      <c r="AL554" s="714"/>
      <c r="AM554" s="714"/>
      <c r="AN554" s="714"/>
      <c r="AO554" s="714"/>
      <c r="AP554" s="714"/>
      <c r="AQ554" s="716"/>
    </row>
    <row r="555" spans="1:45" s="708" customFormat="1" ht="12.75" customHeight="1" x14ac:dyDescent="0.25">
      <c r="A555" s="8"/>
      <c r="B555" s="8"/>
      <c r="C555" s="8"/>
      <c r="D555" s="8"/>
      <c r="E555" s="8"/>
      <c r="F555" s="8"/>
      <c r="G555" s="8"/>
      <c r="H555" s="8"/>
      <c r="I555" s="11"/>
      <c r="J555" s="1157"/>
      <c r="K555" s="1157"/>
      <c r="L555" s="1208"/>
      <c r="M555" s="1208"/>
      <c r="N555" s="1208"/>
      <c r="O555" s="1208"/>
      <c r="P555" s="40"/>
      <c r="Q555" s="8"/>
      <c r="R555" s="8"/>
      <c r="S555" s="8"/>
      <c r="T555" s="8"/>
      <c r="U555" s="8"/>
      <c r="V555" s="714"/>
      <c r="W555" s="714"/>
      <c r="X555" s="714"/>
      <c r="Y555" s="714"/>
      <c r="Z555" s="714"/>
      <c r="AA555" s="714"/>
      <c r="AB555" s="714"/>
      <c r="AC555" s="714"/>
      <c r="AD555" s="714"/>
      <c r="AE555" s="714"/>
      <c r="AF555" s="714"/>
      <c r="AG555" s="714"/>
      <c r="AH555" s="714"/>
      <c r="AI555" s="714"/>
      <c r="AJ555" s="714"/>
      <c r="AK555" s="714"/>
      <c r="AL555" s="714"/>
      <c r="AM555" s="714"/>
      <c r="AN555" s="714"/>
      <c r="AO555" s="714"/>
      <c r="AP555" s="714"/>
      <c r="AQ555" s="716"/>
    </row>
    <row r="556" spans="1:45" s="708" customFormat="1" ht="12.75" customHeight="1" x14ac:dyDescent="0.25">
      <c r="A556" s="8"/>
      <c r="B556" s="8"/>
      <c r="C556" s="8"/>
      <c r="D556" s="8"/>
      <c r="E556" s="8"/>
      <c r="F556" s="8"/>
      <c r="G556" s="8"/>
      <c r="H556" s="8"/>
      <c r="I556" s="11"/>
      <c r="J556" s="1157"/>
      <c r="K556" s="1157"/>
      <c r="L556" s="1208"/>
      <c r="M556" s="1208"/>
      <c r="N556" s="1208"/>
      <c r="O556" s="1208"/>
      <c r="P556" s="40"/>
      <c r="Q556" s="8"/>
      <c r="R556" s="8"/>
      <c r="S556" s="8"/>
      <c r="T556" s="8"/>
      <c r="U556" s="8"/>
      <c r="V556" s="714"/>
      <c r="W556" s="714"/>
      <c r="X556" s="714"/>
      <c r="Y556" s="714"/>
      <c r="Z556" s="714"/>
      <c r="AA556" s="714"/>
      <c r="AB556" s="714"/>
      <c r="AC556" s="714"/>
      <c r="AD556" s="714"/>
      <c r="AE556" s="714"/>
      <c r="AF556" s="714"/>
      <c r="AG556" s="714"/>
      <c r="AH556" s="714"/>
      <c r="AI556" s="714"/>
      <c r="AJ556" s="714"/>
      <c r="AK556" s="714"/>
      <c r="AL556" s="714"/>
      <c r="AM556" s="714"/>
      <c r="AN556" s="714"/>
      <c r="AO556" s="714"/>
      <c r="AP556" s="714"/>
      <c r="AQ556" s="716"/>
    </row>
    <row r="557" spans="1:45" s="708" customFormat="1" ht="12.75" customHeight="1" x14ac:dyDescent="0.25">
      <c r="A557" s="8"/>
      <c r="B557" s="8"/>
      <c r="C557" s="8"/>
      <c r="D557" s="8"/>
      <c r="E557" s="8"/>
      <c r="F557" s="8"/>
      <c r="G557" s="8"/>
      <c r="H557" s="8"/>
      <c r="I557" s="11"/>
      <c r="J557" s="1157"/>
      <c r="K557" s="1157"/>
      <c r="L557" s="1902" t="s">
        <v>201</v>
      </c>
      <c r="M557" s="1903"/>
      <c r="N557" s="1903"/>
      <c r="O557" s="1904"/>
      <c r="P557" s="1899" t="s">
        <v>202</v>
      </c>
      <c r="Q557" s="1900"/>
      <c r="R557" s="1900"/>
      <c r="S557" s="1901"/>
      <c r="T557" s="8"/>
      <c r="U557" s="8"/>
      <c r="V557" s="714"/>
      <c r="W557" s="714"/>
      <c r="X557" s="714"/>
      <c r="Y557" s="714"/>
      <c r="Z557" s="714"/>
      <c r="AA557" s="714"/>
      <c r="AB557" s="714"/>
      <c r="AC557" s="714"/>
      <c r="AD557" s="714"/>
      <c r="AE557" s="714"/>
      <c r="AF557" s="714"/>
      <c r="AG557" s="714"/>
      <c r="AH557" s="714"/>
      <c r="AI557" s="714"/>
      <c r="AJ557" s="714"/>
      <c r="AK557" s="714"/>
      <c r="AL557" s="714"/>
      <c r="AM557" s="714"/>
      <c r="AN557" s="714"/>
      <c r="AO557" s="714"/>
      <c r="AP557" s="714"/>
      <c r="AQ557" s="716"/>
    </row>
    <row r="558" spans="1:45" s="708" customFormat="1" ht="12.75" customHeight="1" x14ac:dyDescent="0.25">
      <c r="A558" s="8"/>
      <c r="B558" s="8"/>
      <c r="C558" s="8"/>
      <c r="D558" s="8"/>
      <c r="E558" s="8"/>
      <c r="F558" s="8"/>
      <c r="G558" s="8"/>
      <c r="H558" s="8"/>
      <c r="I558" s="11"/>
      <c r="J558" s="1157"/>
      <c r="K558" s="1157"/>
      <c r="L558" s="1873" t="s">
        <v>230</v>
      </c>
      <c r="M558" s="1874"/>
      <c r="N558" s="1874"/>
      <c r="O558" s="1875"/>
      <c r="P558" s="1930" t="s">
        <v>230</v>
      </c>
      <c r="Q558" s="1931"/>
      <c r="R558" s="1931"/>
      <c r="S558" s="1932"/>
      <c r="T558" s="8"/>
      <c r="U558" s="8"/>
      <c r="V558" s="714"/>
      <c r="W558" s="714"/>
      <c r="X558" s="714"/>
      <c r="Y558" s="714"/>
      <c r="Z558" s="714"/>
      <c r="AA558" s="714"/>
      <c r="AB558" s="714"/>
      <c r="AC558" s="714"/>
      <c r="AD558" s="714"/>
      <c r="AE558" s="714"/>
      <c r="AF558" s="714"/>
      <c r="AG558" s="714"/>
      <c r="AH558" s="714"/>
      <c r="AI558" s="714"/>
      <c r="AJ558" s="714"/>
      <c r="AK558" s="714"/>
      <c r="AL558" s="714"/>
      <c r="AM558" s="714"/>
      <c r="AN558" s="714"/>
      <c r="AO558" s="714"/>
      <c r="AP558" s="714"/>
      <c r="AQ558" s="716"/>
    </row>
    <row r="559" spans="1:45" s="708" customFormat="1" ht="39.450000000000003" customHeight="1" x14ac:dyDescent="0.25">
      <c r="A559" s="8"/>
      <c r="B559" s="8"/>
      <c r="C559" s="876" t="s">
        <v>231</v>
      </c>
      <c r="D559" s="877"/>
      <c r="E559" s="55"/>
      <c r="F559" s="877"/>
      <c r="G559" s="877"/>
      <c r="H559" s="877"/>
      <c r="I559" s="877"/>
      <c r="J559" s="877"/>
      <c r="K559" s="877"/>
      <c r="L559" s="1209" t="s">
        <v>228</v>
      </c>
      <c r="M559" s="1209" t="s">
        <v>219</v>
      </c>
      <c r="N559" s="1210" t="s">
        <v>227</v>
      </c>
      <c r="O559" s="1211" t="s">
        <v>226</v>
      </c>
      <c r="P559" s="1212" t="s">
        <v>228</v>
      </c>
      <c r="Q559" s="1212" t="s">
        <v>219</v>
      </c>
      <c r="R559" s="1213" t="s">
        <v>227</v>
      </c>
      <c r="S559" s="1214" t="s">
        <v>226</v>
      </c>
      <c r="T559" s="8"/>
      <c r="U559" s="8"/>
      <c r="V559" s="714"/>
      <c r="W559" s="714"/>
      <c r="X559" s="714"/>
      <c r="Y559" s="714"/>
      <c r="Z559" s="714"/>
      <c r="AA559" s="714"/>
      <c r="AB559" s="714"/>
      <c r="AC559" s="714"/>
      <c r="AD559" s="714"/>
      <c r="AE559" s="714"/>
      <c r="AF559" s="714"/>
      <c r="AG559" s="714"/>
      <c r="AH559" s="714"/>
      <c r="AI559" s="714"/>
      <c r="AJ559" s="714"/>
      <c r="AK559" s="714"/>
      <c r="AL559" s="714"/>
      <c r="AM559" s="714"/>
      <c r="AN559" s="714"/>
      <c r="AO559" s="714"/>
      <c r="AP559" s="714"/>
      <c r="AQ559" s="716"/>
    </row>
    <row r="560" spans="1:45" s="708" customFormat="1" ht="12.75" customHeight="1" x14ac:dyDescent="0.25">
      <c r="A560" s="8"/>
      <c r="B560" s="8"/>
      <c r="C560" s="845" t="str">
        <f>$C$31</f>
        <v>Power Market Risk</v>
      </c>
      <c r="D560" s="57"/>
      <c r="E560" s="57"/>
      <c r="F560" s="57"/>
      <c r="G560" s="8"/>
      <c r="H560" s="8"/>
      <c r="I560" s="11"/>
      <c r="J560" s="1157"/>
      <c r="K560" s="1157"/>
      <c r="L560" s="1170">
        <v>1.1784760834890702E-2</v>
      </c>
      <c r="M560" s="1170">
        <v>0</v>
      </c>
      <c r="N560" s="1171">
        <v>0</v>
      </c>
      <c r="O560" s="1172">
        <v>3.4825724647086906E-3</v>
      </c>
      <c r="P560" s="1462">
        <v>7.3654755218066888E-3</v>
      </c>
      <c r="Q560" s="1463">
        <v>0</v>
      </c>
      <c r="R560" s="1464">
        <v>0</v>
      </c>
      <c r="S560" s="1465">
        <v>2.1766077904429317E-3</v>
      </c>
      <c r="T560" s="8"/>
      <c r="U560" s="8"/>
      <c r="V560" s="714"/>
      <c r="W560" s="714"/>
      <c r="X560" s="714"/>
      <c r="Y560" s="714"/>
      <c r="Z560" s="714"/>
      <c r="AA560" s="714"/>
      <c r="AB560" s="714"/>
      <c r="AC560" s="714"/>
      <c r="AD560" s="714"/>
      <c r="AE560" s="714"/>
      <c r="AF560" s="714"/>
      <c r="AG560" s="714"/>
      <c r="AH560" s="714"/>
      <c r="AI560" s="714"/>
      <c r="AJ560" s="714"/>
      <c r="AK560" s="714"/>
      <c r="AL560" s="714"/>
      <c r="AM560" s="714"/>
      <c r="AN560" s="714"/>
      <c r="AO560" s="714"/>
      <c r="AP560" s="714"/>
      <c r="AQ560" s="716"/>
    </row>
    <row r="561" spans="1:43" s="708" customFormat="1" ht="12.75" customHeight="1" x14ac:dyDescent="0.25">
      <c r="A561" s="8"/>
      <c r="B561" s="8"/>
      <c r="C561" s="845" t="str">
        <f>$C$32</f>
        <v>Permits Risk</v>
      </c>
      <c r="D561" s="57"/>
      <c r="E561" s="57"/>
      <c r="F561" s="57"/>
      <c r="G561" s="8"/>
      <c r="H561" s="8"/>
      <c r="I561" s="11"/>
      <c r="J561" s="1157"/>
      <c r="K561" s="1157"/>
      <c r="L561" s="1170">
        <v>2.8984905037022341E-3</v>
      </c>
      <c r="M561" s="1170" t="s">
        <v>232</v>
      </c>
      <c r="N561" s="1173" t="s">
        <v>232</v>
      </c>
      <c r="O561" s="1172" t="s">
        <v>232</v>
      </c>
      <c r="P561" s="1462">
        <v>2.1738678777766755E-3</v>
      </c>
      <c r="Q561" s="1466" t="s">
        <v>232</v>
      </c>
      <c r="R561" s="1467" t="s">
        <v>232</v>
      </c>
      <c r="S561" s="1468" t="s">
        <v>232</v>
      </c>
      <c r="T561" s="8"/>
      <c r="U561" s="8"/>
      <c r="V561" s="714"/>
      <c r="W561" s="714"/>
      <c r="X561" s="714"/>
      <c r="Y561" s="714"/>
      <c r="Z561" s="714"/>
      <c r="AA561" s="714"/>
      <c r="AB561" s="714"/>
      <c r="AC561" s="714"/>
      <c r="AD561" s="714"/>
      <c r="AE561" s="714"/>
      <c r="AF561" s="714"/>
      <c r="AG561" s="714"/>
      <c r="AH561" s="714"/>
      <c r="AI561" s="714"/>
      <c r="AJ561" s="714"/>
      <c r="AK561" s="714"/>
      <c r="AL561" s="714"/>
      <c r="AM561" s="714"/>
      <c r="AN561" s="714"/>
      <c r="AO561" s="714"/>
      <c r="AP561" s="714"/>
      <c r="AQ561" s="716"/>
    </row>
    <row r="562" spans="1:43" s="708" customFormat="1" ht="12.75" customHeight="1" x14ac:dyDescent="0.25">
      <c r="A562" s="8"/>
      <c r="B562" s="8"/>
      <c r="C562" s="845" t="str">
        <f>$C$33</f>
        <v>Social Acceptance Risk</v>
      </c>
      <c r="D562" s="57"/>
      <c r="E562" s="57"/>
      <c r="F562" s="57"/>
      <c r="G562" s="8"/>
      <c r="H562" s="8"/>
      <c r="I562" s="11"/>
      <c r="J562" s="1157"/>
      <c r="K562" s="1157"/>
      <c r="L562" s="1170">
        <v>1.9557965612025875E-3</v>
      </c>
      <c r="M562" s="1170">
        <v>0</v>
      </c>
      <c r="N562" s="1173">
        <v>0</v>
      </c>
      <c r="O562" s="1172">
        <v>5.7796703268261506E-4</v>
      </c>
      <c r="P562" s="1462">
        <v>1.4668474209019408E-3</v>
      </c>
      <c r="Q562" s="1466">
        <v>0</v>
      </c>
      <c r="R562" s="1467">
        <v>0</v>
      </c>
      <c r="S562" s="1468">
        <v>4.3347527451196129E-4</v>
      </c>
      <c r="T562" s="8"/>
      <c r="U562" s="8"/>
      <c r="V562" s="714"/>
      <c r="W562" s="714"/>
      <c r="X562" s="714"/>
      <c r="Y562" s="714"/>
      <c r="Z562" s="714"/>
      <c r="AA562" s="714"/>
      <c r="AB562" s="714"/>
      <c r="AC562" s="714"/>
      <c r="AD562" s="714"/>
      <c r="AE562" s="714"/>
      <c r="AF562" s="714"/>
      <c r="AG562" s="714"/>
      <c r="AH562" s="714"/>
      <c r="AI562" s="714"/>
      <c r="AJ562" s="714"/>
      <c r="AK562" s="714"/>
      <c r="AL562" s="714"/>
      <c r="AM562" s="714"/>
      <c r="AN562" s="714"/>
      <c r="AO562" s="714"/>
      <c r="AP562" s="714"/>
      <c r="AQ562" s="716"/>
    </row>
    <row r="563" spans="1:43" s="708" customFormat="1" ht="12.75" customHeight="1" x14ac:dyDescent="0.25">
      <c r="A563" s="8"/>
      <c r="B563" s="8"/>
      <c r="C563" s="845" t="str">
        <f>$C$34</f>
        <v>Resource &amp; Technology Risk</v>
      </c>
      <c r="D563" s="57"/>
      <c r="E563" s="57"/>
      <c r="F563" s="57"/>
      <c r="G563" s="8"/>
      <c r="H563" s="8"/>
      <c r="I563" s="11"/>
      <c r="J563" s="1157"/>
      <c r="K563" s="1157"/>
      <c r="L563" s="1170">
        <v>3.1474634059433233E-3</v>
      </c>
      <c r="M563" s="1170">
        <v>0</v>
      </c>
      <c r="N563" s="1173">
        <v>0</v>
      </c>
      <c r="O563" s="1172">
        <v>9.3012234569613233E-4</v>
      </c>
      <c r="P563" s="1462">
        <v>2.7540304802004078E-3</v>
      </c>
      <c r="Q563" s="1466">
        <v>0</v>
      </c>
      <c r="R563" s="1467">
        <v>0</v>
      </c>
      <c r="S563" s="1468">
        <v>8.1385705248411576E-4</v>
      </c>
      <c r="T563" s="8"/>
      <c r="U563" s="8"/>
      <c r="V563" s="714"/>
      <c r="W563" s="714"/>
      <c r="X563" s="714"/>
      <c r="Y563" s="714"/>
      <c r="Z563" s="714"/>
      <c r="AA563" s="714"/>
      <c r="AB563" s="714"/>
      <c r="AC563" s="714"/>
      <c r="AD563" s="714"/>
      <c r="AE563" s="714"/>
      <c r="AF563" s="714"/>
      <c r="AG563" s="714"/>
      <c r="AH563" s="714"/>
      <c r="AI563" s="714"/>
      <c r="AJ563" s="714"/>
      <c r="AK563" s="714"/>
      <c r="AL563" s="714"/>
      <c r="AM563" s="714"/>
      <c r="AN563" s="714"/>
      <c r="AO563" s="714"/>
      <c r="AP563" s="714"/>
      <c r="AQ563" s="716"/>
    </row>
    <row r="564" spans="1:43" s="708" customFormat="1" ht="12.75" customHeight="1" x14ac:dyDescent="0.25">
      <c r="A564" s="8"/>
      <c r="B564" s="8"/>
      <c r="C564" s="845" t="str">
        <f>$C$35</f>
        <v>Grid/Transmission Risk</v>
      </c>
      <c r="D564" s="57"/>
      <c r="E564" s="57"/>
      <c r="F564" s="57"/>
      <c r="G564" s="8"/>
      <c r="H564" s="8"/>
      <c r="I564" s="11"/>
      <c r="J564" s="1157"/>
      <c r="K564" s="1157"/>
      <c r="L564" s="1170">
        <v>8.918432319083798E-3</v>
      </c>
      <c r="M564" s="1170">
        <v>0</v>
      </c>
      <c r="N564" s="1173">
        <v>0</v>
      </c>
      <c r="O564" s="1172">
        <v>2.6355296690327244E-3</v>
      </c>
      <c r="P564" s="1462">
        <v>4.459216159541899E-3</v>
      </c>
      <c r="Q564" s="1466">
        <v>0</v>
      </c>
      <c r="R564" s="1467">
        <v>0</v>
      </c>
      <c r="S564" s="1468">
        <v>1.3177648345163622E-3</v>
      </c>
      <c r="T564" s="8"/>
      <c r="U564" s="8"/>
      <c r="V564" s="714"/>
      <c r="W564" s="714"/>
      <c r="X564" s="714"/>
      <c r="Y564" s="714"/>
      <c r="Z564" s="714"/>
      <c r="AA564" s="714"/>
      <c r="AB564" s="714"/>
      <c r="AC564" s="714"/>
      <c r="AD564" s="714"/>
      <c r="AE564" s="714"/>
      <c r="AF564" s="714"/>
      <c r="AG564" s="714"/>
      <c r="AH564" s="714"/>
      <c r="AI564" s="714"/>
      <c r="AJ564" s="714"/>
      <c r="AK564" s="714"/>
      <c r="AL564" s="714"/>
      <c r="AM564" s="714"/>
      <c r="AN564" s="714"/>
      <c r="AO564" s="714"/>
      <c r="AP564" s="714"/>
      <c r="AQ564" s="716"/>
    </row>
    <row r="565" spans="1:43" s="708" customFormat="1" ht="12.75" customHeight="1" x14ac:dyDescent="0.25">
      <c r="A565" s="8"/>
      <c r="B565" s="8"/>
      <c r="C565" s="845" t="str">
        <f>$C$36</f>
        <v>Counterparty Risk</v>
      </c>
      <c r="D565" s="57"/>
      <c r="E565" s="57"/>
      <c r="F565" s="57"/>
      <c r="G565" s="8"/>
      <c r="H565" s="8"/>
      <c r="I565" s="11"/>
      <c r="J565" s="1157"/>
      <c r="K565" s="1157"/>
      <c r="L565" s="1170">
        <v>8.0187659009306085E-3</v>
      </c>
      <c r="M565" s="1170">
        <v>0</v>
      </c>
      <c r="N565" s="1173">
        <v>0</v>
      </c>
      <c r="O565" s="1172">
        <v>2.3696648339987217E-3</v>
      </c>
      <c r="P565" s="1462">
        <v>4.0093829504653043E-3</v>
      </c>
      <c r="Q565" s="1466">
        <v>0</v>
      </c>
      <c r="R565" s="1467">
        <v>0</v>
      </c>
      <c r="S565" s="1468">
        <v>1.1848324169993611E-3</v>
      </c>
      <c r="T565" s="8"/>
      <c r="U565" s="8"/>
      <c r="V565" s="714"/>
      <c r="W565" s="714"/>
      <c r="X565" s="714"/>
      <c r="Y565" s="714"/>
      <c r="Z565" s="714"/>
      <c r="AA565" s="714"/>
      <c r="AB565" s="714"/>
      <c r="AC565" s="714"/>
      <c r="AD565" s="714"/>
      <c r="AE565" s="714"/>
      <c r="AF565" s="714"/>
      <c r="AG565" s="714"/>
      <c r="AH565" s="714"/>
      <c r="AI565" s="714"/>
      <c r="AJ565" s="714"/>
      <c r="AK565" s="714"/>
      <c r="AL565" s="714"/>
      <c r="AM565" s="714"/>
      <c r="AN565" s="714"/>
      <c r="AO565" s="714"/>
      <c r="AP565" s="714"/>
      <c r="AQ565" s="716"/>
    </row>
    <row r="566" spans="1:43" s="708" customFormat="1" ht="12.75" customHeight="1" x14ac:dyDescent="0.25">
      <c r="A566" s="8"/>
      <c r="B566" s="8"/>
      <c r="C566" s="845" t="str">
        <f>$C$37</f>
        <v>Financial Sector Risk</v>
      </c>
      <c r="D566" s="57"/>
      <c r="E566" s="57"/>
      <c r="F566" s="57"/>
      <c r="G566" s="8"/>
      <c r="H566" s="8"/>
      <c r="I566" s="11"/>
      <c r="J566" s="1157"/>
      <c r="K566" s="1157"/>
      <c r="L566" s="1170">
        <v>6.3426482479799909E-3</v>
      </c>
      <c r="M566" s="1170" t="s">
        <v>232</v>
      </c>
      <c r="N566" s="1173" t="s">
        <v>232</v>
      </c>
      <c r="O566" s="1172" t="s">
        <v>232</v>
      </c>
      <c r="P566" s="1462">
        <v>5.5498172169824922E-3</v>
      </c>
      <c r="Q566" s="1466" t="s">
        <v>232</v>
      </c>
      <c r="R566" s="1467" t="s">
        <v>232</v>
      </c>
      <c r="S566" s="1468" t="s">
        <v>232</v>
      </c>
      <c r="T566" s="8"/>
      <c r="U566" s="8"/>
      <c r="V566" s="714"/>
      <c r="W566" s="714"/>
      <c r="X566" s="714"/>
      <c r="Y566" s="714"/>
      <c r="Z566" s="714"/>
      <c r="AA566" s="714"/>
      <c r="AB566" s="714"/>
      <c r="AC566" s="714"/>
      <c r="AD566" s="714"/>
      <c r="AE566" s="714"/>
      <c r="AF566" s="714"/>
      <c r="AG566" s="714"/>
      <c r="AH566" s="714"/>
      <c r="AI566" s="714"/>
      <c r="AJ566" s="714"/>
      <c r="AK566" s="714"/>
      <c r="AL566" s="714"/>
      <c r="AM566" s="714"/>
      <c r="AN566" s="714"/>
      <c r="AO566" s="714"/>
      <c r="AP566" s="714"/>
      <c r="AQ566" s="716"/>
    </row>
    <row r="567" spans="1:43" s="708" customFormat="1" ht="12.75" customHeight="1" x14ac:dyDescent="0.25">
      <c r="A567" s="8"/>
      <c r="B567" s="8"/>
      <c r="C567" s="845" t="str">
        <f>$C$38</f>
        <v>Political Risk</v>
      </c>
      <c r="D567" s="57"/>
      <c r="E567" s="57"/>
      <c r="F567" s="57"/>
      <c r="G567" s="8"/>
      <c r="H567" s="8"/>
      <c r="I567" s="11"/>
      <c r="J567" s="1157"/>
      <c r="K567" s="1157"/>
      <c r="L567" s="1170">
        <v>8.9113203315885157E-3</v>
      </c>
      <c r="M567" s="1170">
        <v>0</v>
      </c>
      <c r="N567" s="1173">
        <v>0</v>
      </c>
      <c r="O567" s="1172">
        <v>2.6334279707320605E-3</v>
      </c>
      <c r="P567" s="1462">
        <v>8.9113203315885157E-3</v>
      </c>
      <c r="Q567" s="1466">
        <v>0</v>
      </c>
      <c r="R567" s="1467">
        <v>0</v>
      </c>
      <c r="S567" s="1468">
        <v>2.6334279707320605E-3</v>
      </c>
      <c r="T567" s="8"/>
      <c r="U567" s="8"/>
      <c r="V567" s="714"/>
      <c r="W567" s="714"/>
      <c r="X567" s="714"/>
      <c r="Y567" s="714"/>
      <c r="Z567" s="714"/>
      <c r="AA567" s="714"/>
      <c r="AB567" s="714"/>
      <c r="AC567" s="714"/>
      <c r="AD567" s="714"/>
      <c r="AE567" s="714"/>
      <c r="AF567" s="714"/>
      <c r="AG567" s="714"/>
      <c r="AH567" s="714"/>
      <c r="AI567" s="714"/>
      <c r="AJ567" s="714"/>
      <c r="AK567" s="714"/>
      <c r="AL567" s="714"/>
      <c r="AM567" s="714"/>
      <c r="AN567" s="714"/>
      <c r="AO567" s="714"/>
      <c r="AP567" s="714"/>
      <c r="AQ567" s="716"/>
    </row>
    <row r="568" spans="1:43" s="708" customFormat="1" ht="12.75" customHeight="1" x14ac:dyDescent="0.25">
      <c r="A568" s="8"/>
      <c r="B568" s="8"/>
      <c r="C568" s="866" t="str">
        <f>$C$39</f>
        <v>Currency/Macro Risk</v>
      </c>
      <c r="D568" s="866"/>
      <c r="E568" s="866"/>
      <c r="F568" s="866"/>
      <c r="G568" s="866"/>
      <c r="H568" s="866"/>
      <c r="I568" s="866"/>
      <c r="J568" s="866"/>
      <c r="K568" s="866"/>
      <c r="L568" s="1174">
        <v>8.0223218946782488E-3</v>
      </c>
      <c r="M568" s="1170">
        <v>0</v>
      </c>
      <c r="N568" s="1173">
        <v>0</v>
      </c>
      <c r="O568" s="1175">
        <v>2.3707156831490536E-3</v>
      </c>
      <c r="P568" s="1469">
        <v>4.0111609473391244E-3</v>
      </c>
      <c r="Q568" s="1469">
        <v>0</v>
      </c>
      <c r="R568" s="1470">
        <v>0</v>
      </c>
      <c r="S568" s="1471">
        <v>1.1853578415745268E-3</v>
      </c>
      <c r="T568" s="8"/>
      <c r="U568" s="8"/>
      <c r="V568" s="714"/>
      <c r="W568" s="714"/>
      <c r="X568" s="714"/>
      <c r="Y568" s="714"/>
      <c r="Z568" s="714"/>
      <c r="AA568" s="714"/>
      <c r="AB568" s="714"/>
      <c r="AC568" s="714"/>
      <c r="AD568" s="714"/>
      <c r="AE568" s="714"/>
      <c r="AF568" s="714"/>
      <c r="AG568" s="714"/>
      <c r="AH568" s="714"/>
      <c r="AI568" s="714"/>
      <c r="AJ568" s="714"/>
      <c r="AK568" s="714"/>
      <c r="AL568" s="714"/>
      <c r="AM568" s="714"/>
      <c r="AN568" s="714"/>
      <c r="AO568" s="714"/>
      <c r="AP568" s="714"/>
      <c r="AQ568" s="716"/>
    </row>
    <row r="569" spans="1:43" s="708" customFormat="1" ht="12.75" customHeight="1" x14ac:dyDescent="0.25">
      <c r="A569" s="8"/>
      <c r="B569" s="8"/>
      <c r="C569" s="56" t="s">
        <v>81</v>
      </c>
      <c r="D569" s="132"/>
      <c r="E569" s="56"/>
      <c r="F569" s="57"/>
      <c r="G569" s="57"/>
      <c r="H569" s="57"/>
      <c r="I569" s="57"/>
      <c r="J569" s="57"/>
      <c r="K569" s="57"/>
      <c r="L569" s="889">
        <v>6.0000000000000005E-2</v>
      </c>
      <c r="M569" s="890" t="s">
        <v>232</v>
      </c>
      <c r="N569" s="891" t="s">
        <v>232</v>
      </c>
      <c r="O569" s="892">
        <v>1.4999999999999999E-2</v>
      </c>
      <c r="P569" s="1476">
        <v>4.0701118906603044E-2</v>
      </c>
      <c r="Q569" s="1477">
        <v>0</v>
      </c>
      <c r="R569" s="1478">
        <v>0</v>
      </c>
      <c r="S569" s="1479">
        <v>9.7453231812613186E-3</v>
      </c>
      <c r="T569" s="8"/>
      <c r="U569" s="8"/>
      <c r="V569" s="714"/>
      <c r="W569" s="714"/>
      <c r="X569" s="714"/>
      <c r="Y569" s="714"/>
      <c r="Z569" s="714"/>
      <c r="AA569" s="714"/>
      <c r="AB569" s="714"/>
      <c r="AC569" s="714"/>
      <c r="AD569" s="714"/>
      <c r="AE569" s="714"/>
      <c r="AF569" s="714"/>
      <c r="AG569" s="714"/>
      <c r="AH569" s="714"/>
      <c r="AI569" s="714"/>
      <c r="AJ569" s="714"/>
      <c r="AK569" s="714"/>
      <c r="AL569" s="714"/>
      <c r="AM569" s="714"/>
      <c r="AN569" s="714"/>
      <c r="AO569" s="714"/>
      <c r="AP569" s="714"/>
      <c r="AQ569" s="716"/>
    </row>
    <row r="570" spans="1:43" s="708" customFormat="1" ht="12.75" customHeight="1" x14ac:dyDescent="0.25">
      <c r="A570" s="8"/>
      <c r="B570" s="8"/>
      <c r="C570" s="8"/>
      <c r="D570" s="8"/>
      <c r="E570" s="8"/>
      <c r="F570" s="8"/>
      <c r="G570" s="8"/>
      <c r="H570" s="8"/>
      <c r="I570" s="11"/>
      <c r="J570" s="1157"/>
      <c r="K570" s="1157"/>
      <c r="L570" s="1208"/>
      <c r="M570" s="1208"/>
      <c r="N570" s="1208"/>
      <c r="O570" s="1208"/>
      <c r="P570" s="40"/>
      <c r="Q570" s="8"/>
      <c r="R570" s="8"/>
      <c r="S570" s="8"/>
      <c r="T570" s="8"/>
      <c r="U570" s="8"/>
      <c r="V570" s="714"/>
      <c r="W570" s="714"/>
      <c r="X570" s="714"/>
      <c r="Y570" s="714"/>
      <c r="Z570" s="714"/>
      <c r="AA570" s="714"/>
      <c r="AB570" s="714"/>
      <c r="AC570" s="714"/>
      <c r="AD570" s="714"/>
      <c r="AE570" s="714"/>
      <c r="AF570" s="714"/>
      <c r="AG570" s="714"/>
      <c r="AH570" s="714"/>
      <c r="AI570" s="714"/>
      <c r="AJ570" s="714"/>
      <c r="AK570" s="714"/>
      <c r="AL570" s="714"/>
      <c r="AM570" s="714"/>
      <c r="AN570" s="714"/>
      <c r="AO570" s="714"/>
      <c r="AP570" s="714"/>
      <c r="AQ570" s="716"/>
    </row>
    <row r="571" spans="1:43" s="708" customFormat="1" ht="12.75" customHeight="1" x14ac:dyDescent="0.25">
      <c r="A571" s="8"/>
      <c r="B571" s="8"/>
      <c r="C571" s="8"/>
      <c r="D571" s="8"/>
      <c r="E571" s="8"/>
      <c r="F571" s="8"/>
      <c r="G571" s="8"/>
      <c r="H571" s="8"/>
      <c r="I571" s="11"/>
      <c r="J571" s="1157"/>
      <c r="K571" s="1157"/>
      <c r="L571" s="1208"/>
      <c r="M571" s="1208"/>
      <c r="N571" s="1208"/>
      <c r="O571" s="1208"/>
      <c r="P571" s="40"/>
      <c r="Q571" s="8"/>
      <c r="R571" s="8"/>
      <c r="S571" s="8"/>
      <c r="T571" s="8"/>
      <c r="U571" s="8"/>
      <c r="V571" s="714"/>
      <c r="W571" s="714"/>
      <c r="X571" s="714"/>
      <c r="Y571" s="714"/>
      <c r="Z571" s="714"/>
      <c r="AA571" s="714"/>
      <c r="AB571" s="714"/>
      <c r="AC571" s="714"/>
      <c r="AD571" s="714"/>
      <c r="AE571" s="714"/>
      <c r="AF571" s="714"/>
      <c r="AG571" s="714"/>
      <c r="AH571" s="714"/>
      <c r="AI571" s="714"/>
      <c r="AJ571" s="714"/>
      <c r="AK571" s="714"/>
      <c r="AL571" s="714"/>
      <c r="AM571" s="714"/>
      <c r="AN571" s="714"/>
      <c r="AO571" s="714"/>
      <c r="AP571" s="714"/>
      <c r="AQ571" s="716"/>
    </row>
    <row r="572" spans="1:43" s="708" customFormat="1" ht="12.75" customHeight="1" x14ac:dyDescent="0.25">
      <c r="A572" s="8"/>
      <c r="B572" s="8"/>
      <c r="C572" s="8"/>
      <c r="D572" s="8"/>
      <c r="E572" s="8"/>
      <c r="F572" s="8"/>
      <c r="G572" s="8"/>
      <c r="H572" s="8"/>
      <c r="I572" s="11"/>
      <c r="J572" s="1157"/>
      <c r="K572" s="1157"/>
      <c r="L572" s="1208"/>
      <c r="M572" s="1208"/>
      <c r="N572" s="1208"/>
      <c r="O572" s="1208"/>
      <c r="P572" s="40"/>
      <c r="Q572" s="8"/>
      <c r="R572" s="8"/>
      <c r="S572" s="8"/>
      <c r="T572" s="8"/>
      <c r="U572" s="8"/>
      <c r="V572" s="714"/>
      <c r="W572" s="714"/>
      <c r="X572" s="714"/>
      <c r="Y572" s="714"/>
      <c r="Z572" s="714"/>
      <c r="AA572" s="714"/>
      <c r="AB572" s="714"/>
      <c r="AC572" s="714"/>
      <c r="AD572" s="714"/>
      <c r="AE572" s="714"/>
      <c r="AF572" s="714"/>
      <c r="AG572" s="714"/>
      <c r="AH572" s="714"/>
      <c r="AI572" s="714"/>
      <c r="AJ572" s="714"/>
      <c r="AK572" s="714"/>
      <c r="AL572" s="714"/>
      <c r="AM572" s="714"/>
      <c r="AN572" s="714"/>
      <c r="AO572" s="714"/>
      <c r="AP572" s="714"/>
      <c r="AQ572" s="716"/>
    </row>
    <row r="573" spans="1:43" s="708" customFormat="1" ht="12.75" customHeight="1" x14ac:dyDescent="0.25">
      <c r="A573" s="8"/>
      <c r="B573" s="8"/>
      <c r="C573" s="8"/>
      <c r="D573" s="8"/>
      <c r="E573" s="8"/>
      <c r="F573" s="8"/>
      <c r="G573" s="8"/>
      <c r="H573" s="8"/>
      <c r="I573" s="8"/>
      <c r="J573" s="1156"/>
      <c r="K573" s="1156"/>
      <c r="L573" s="1207"/>
      <c r="M573" s="1207"/>
      <c r="N573" s="1621" t="s">
        <v>483</v>
      </c>
      <c r="O573" s="1622"/>
      <c r="P573" s="1622"/>
      <c r="Q573" s="1623"/>
      <c r="R573" s="8"/>
      <c r="S573" s="8"/>
      <c r="T573" s="8"/>
      <c r="U573" s="8"/>
      <c r="V573" s="714"/>
      <c r="W573" s="714"/>
      <c r="X573" s="714"/>
      <c r="Y573" s="714"/>
      <c r="Z573" s="714"/>
      <c r="AA573" s="714"/>
      <c r="AB573" s="714"/>
      <c r="AC573" s="714"/>
      <c r="AD573" s="714"/>
      <c r="AE573" s="714"/>
      <c r="AF573" s="714"/>
      <c r="AG573" s="714"/>
      <c r="AH573" s="714"/>
      <c r="AI573" s="714"/>
      <c r="AJ573" s="714"/>
      <c r="AK573" s="714"/>
      <c r="AL573" s="714"/>
      <c r="AM573" s="714"/>
      <c r="AN573" s="714"/>
      <c r="AO573" s="714"/>
      <c r="AP573" s="714"/>
      <c r="AQ573" s="716"/>
    </row>
    <row r="574" spans="1:43" s="708" customFormat="1" ht="12.75" customHeight="1" x14ac:dyDescent="0.25">
      <c r="A574" s="8"/>
      <c r="B574" s="8"/>
      <c r="C574" s="8"/>
      <c r="D574" s="8"/>
      <c r="E574" s="8"/>
      <c r="F574" s="8"/>
      <c r="G574" s="8"/>
      <c r="H574" s="8"/>
      <c r="I574" s="8"/>
      <c r="J574" s="1156"/>
      <c r="K574" s="1156"/>
      <c r="L574" s="1207"/>
      <c r="M574" s="1207"/>
      <c r="N574" s="1577" t="s">
        <v>201</v>
      </c>
      <c r="O574" s="1578"/>
      <c r="P574" s="1579" t="s">
        <v>202</v>
      </c>
      <c r="Q574" s="1580"/>
      <c r="R574" s="8"/>
      <c r="S574" s="8"/>
      <c r="T574" s="8"/>
      <c r="U574" s="8"/>
      <c r="V574" s="714"/>
      <c r="W574" s="714"/>
      <c r="X574" s="714"/>
      <c r="Y574" s="714"/>
      <c r="Z574" s="714"/>
      <c r="AA574" s="714"/>
      <c r="AB574" s="714"/>
      <c r="AC574" s="714"/>
      <c r="AD574" s="714"/>
      <c r="AE574" s="714"/>
      <c r="AF574" s="714"/>
      <c r="AG574" s="714"/>
      <c r="AH574" s="714"/>
      <c r="AI574" s="714"/>
      <c r="AJ574" s="714"/>
      <c r="AK574" s="714"/>
      <c r="AL574" s="714"/>
      <c r="AM574" s="714"/>
      <c r="AN574" s="714"/>
      <c r="AO574" s="714"/>
      <c r="AP574" s="714"/>
      <c r="AQ574" s="716"/>
    </row>
    <row r="575" spans="1:43" s="708" customFormat="1" ht="12.75" customHeight="1" x14ac:dyDescent="0.25">
      <c r="A575" s="8"/>
      <c r="B575" s="8"/>
      <c r="C575" s="11" t="s">
        <v>484</v>
      </c>
      <c r="D575" s="712"/>
      <c r="E575" s="11"/>
      <c r="F575" s="11"/>
      <c r="G575" s="11"/>
      <c r="H575" s="11"/>
      <c r="I575" s="11"/>
      <c r="J575" s="1157" t="s">
        <v>435</v>
      </c>
      <c r="K575" s="1157"/>
      <c r="L575" s="1208"/>
      <c r="M575" s="1208"/>
      <c r="N575" s="1638">
        <v>9.3057420262772E-2</v>
      </c>
      <c r="O575" s="1639"/>
      <c r="P575" s="1640">
        <v>7.4033496707593155E-2</v>
      </c>
      <c r="Q575" s="1641"/>
      <c r="R575" s="8"/>
      <c r="S575" s="8"/>
      <c r="T575" s="8"/>
      <c r="U575" s="8"/>
      <c r="V575" s="714"/>
      <c r="W575" s="714"/>
      <c r="X575" s="714"/>
      <c r="Y575" s="714"/>
      <c r="Z575" s="714"/>
      <c r="AA575" s="714"/>
      <c r="AB575" s="714"/>
      <c r="AC575" s="714"/>
      <c r="AD575" s="714"/>
      <c r="AE575" s="714"/>
      <c r="AF575" s="714"/>
      <c r="AG575" s="714"/>
      <c r="AH575" s="714"/>
      <c r="AI575" s="714"/>
      <c r="AJ575" s="714"/>
      <c r="AK575" s="714"/>
      <c r="AL575" s="714"/>
      <c r="AM575" s="714"/>
      <c r="AN575" s="714"/>
      <c r="AO575" s="714"/>
      <c r="AP575" s="714"/>
      <c r="AQ575" s="716"/>
    </row>
    <row r="576" spans="1:43" s="708" customFormat="1" ht="12.75" customHeight="1" x14ac:dyDescent="0.25">
      <c r="A576" s="8"/>
      <c r="B576" s="8"/>
      <c r="C576" s="712"/>
      <c r="D576" s="8" t="s">
        <v>485</v>
      </c>
      <c r="E576" s="712"/>
      <c r="F576" s="11"/>
      <c r="G576" s="11"/>
      <c r="H576" s="11"/>
      <c r="I576" s="11"/>
      <c r="J576" s="1203" t="s">
        <v>435</v>
      </c>
      <c r="K576" s="1203"/>
      <c r="L576" s="1207"/>
      <c r="M576" s="1208"/>
      <c r="N576" s="1536">
        <v>8.7195443346108015E-2</v>
      </c>
      <c r="O576" s="2034"/>
      <c r="P576" s="1541">
        <v>6.9370092026028327E-2</v>
      </c>
      <c r="Q576" s="2035"/>
      <c r="R576" s="8"/>
      <c r="S576" s="8"/>
      <c r="T576" s="8"/>
      <c r="U576" s="8"/>
      <c r="V576" s="714"/>
      <c r="W576" s="714"/>
      <c r="X576" s="714"/>
      <c r="Y576" s="714"/>
      <c r="Z576" s="714"/>
      <c r="AA576" s="714"/>
      <c r="AB576" s="714"/>
      <c r="AC576" s="714"/>
      <c r="AD576" s="714"/>
      <c r="AE576" s="714"/>
      <c r="AF576" s="714"/>
      <c r="AG576" s="714"/>
      <c r="AH576" s="714"/>
      <c r="AI576" s="714"/>
      <c r="AJ576" s="714"/>
      <c r="AK576" s="714"/>
      <c r="AL576" s="714"/>
      <c r="AM576" s="714"/>
      <c r="AN576" s="714"/>
      <c r="AO576" s="714"/>
      <c r="AP576" s="714"/>
      <c r="AQ576" s="716"/>
    </row>
    <row r="577" spans="1:43" s="708" customFormat="1" ht="12.75" customHeight="1" x14ac:dyDescent="0.25">
      <c r="A577" s="8"/>
      <c r="B577" s="8"/>
      <c r="C577" s="712"/>
      <c r="D577" s="8" t="s">
        <v>521</v>
      </c>
      <c r="E577" s="712"/>
      <c r="F577" s="11"/>
      <c r="G577" s="11"/>
      <c r="H577" s="11"/>
      <c r="I577" s="11"/>
      <c r="J577" s="1203" t="s">
        <v>435</v>
      </c>
      <c r="K577" s="1203"/>
      <c r="L577" s="1207"/>
      <c r="M577" s="1208"/>
      <c r="N577" s="2029">
        <v>5.8619769166639865E-3</v>
      </c>
      <c r="O577" s="2036"/>
      <c r="P577" s="2031">
        <v>4.6634046815648301E-3</v>
      </c>
      <c r="Q577" s="2033"/>
      <c r="R577" s="8"/>
      <c r="S577" s="8"/>
      <c r="T577" s="8"/>
      <c r="U577" s="8"/>
      <c r="V577" s="714"/>
      <c r="W577" s="714"/>
      <c r="X577" s="714"/>
      <c r="Y577" s="714"/>
      <c r="Z577" s="714"/>
      <c r="AA577" s="714"/>
      <c r="AB577" s="714"/>
      <c r="AC577" s="714"/>
      <c r="AD577" s="714"/>
      <c r="AE577" s="714"/>
      <c r="AF577" s="714"/>
      <c r="AG577" s="714"/>
      <c r="AH577" s="714"/>
      <c r="AI577" s="714"/>
      <c r="AJ577" s="714"/>
      <c r="AK577" s="714"/>
      <c r="AL577" s="714"/>
      <c r="AM577" s="714"/>
      <c r="AN577" s="714"/>
      <c r="AO577" s="714"/>
      <c r="AP577" s="714"/>
      <c r="AQ577" s="716"/>
    </row>
    <row r="578" spans="1:43" s="708" customFormat="1" ht="12.75" customHeight="1" x14ac:dyDescent="0.25">
      <c r="A578" s="8"/>
      <c r="B578" s="8"/>
      <c r="C578" s="8"/>
      <c r="D578" s="8"/>
      <c r="E578" s="8"/>
      <c r="F578" s="8"/>
      <c r="G578" s="8"/>
      <c r="H578" s="8"/>
      <c r="I578" s="11"/>
      <c r="J578" s="1157"/>
      <c r="K578" s="1157"/>
      <c r="L578" s="1208"/>
      <c r="M578" s="1208"/>
      <c r="N578" s="1208"/>
      <c r="O578" s="1208"/>
      <c r="P578" s="40"/>
      <c r="Q578" s="8"/>
      <c r="R578" s="8"/>
      <c r="S578" s="8"/>
      <c r="T578" s="8"/>
      <c r="U578" s="8"/>
      <c r="V578" s="714"/>
      <c r="W578" s="714"/>
      <c r="X578" s="714"/>
      <c r="Y578" s="714"/>
      <c r="Z578" s="714"/>
      <c r="AA578" s="714"/>
      <c r="AB578" s="714"/>
      <c r="AC578" s="714"/>
      <c r="AD578" s="714"/>
      <c r="AE578" s="714"/>
      <c r="AF578" s="714"/>
      <c r="AG578" s="714"/>
      <c r="AH578" s="714"/>
      <c r="AI578" s="714"/>
      <c r="AJ578" s="714"/>
      <c r="AK578" s="714"/>
      <c r="AL578" s="714"/>
      <c r="AM578" s="714"/>
      <c r="AN578" s="714"/>
      <c r="AO578" s="714"/>
      <c r="AP578" s="714"/>
      <c r="AQ578" s="716"/>
    </row>
    <row r="579" spans="1:43" s="708" customFormat="1" ht="12.75" customHeight="1" x14ac:dyDescent="0.25">
      <c r="A579" s="8"/>
      <c r="B579" s="8"/>
      <c r="C579" s="8"/>
      <c r="D579" s="8"/>
      <c r="E579" s="8"/>
      <c r="F579" s="8"/>
      <c r="G579" s="8"/>
      <c r="H579" s="8"/>
      <c r="I579" s="8"/>
      <c r="J579" s="1157"/>
      <c r="K579" s="1157"/>
      <c r="L579" s="1208"/>
      <c r="M579" s="1208"/>
      <c r="N579" s="1574" t="s">
        <v>483</v>
      </c>
      <c r="O579" s="1575"/>
      <c r="P579" s="1575"/>
      <c r="Q579" s="1576"/>
      <c r="R579" s="8"/>
      <c r="S579" s="8"/>
      <c r="T579" s="8"/>
      <c r="U579" s="8"/>
      <c r="V579" s="714"/>
      <c r="W579" s="714"/>
      <c r="X579" s="714"/>
      <c r="Y579" s="714"/>
      <c r="Z579" s="714"/>
      <c r="AA579" s="714"/>
      <c r="AB579" s="714"/>
      <c r="AC579" s="714"/>
      <c r="AD579" s="714"/>
      <c r="AE579" s="714"/>
      <c r="AF579" s="714"/>
      <c r="AG579" s="714"/>
      <c r="AH579" s="714"/>
      <c r="AI579" s="714"/>
      <c r="AJ579" s="714"/>
      <c r="AK579" s="714"/>
      <c r="AL579" s="714"/>
      <c r="AM579" s="714"/>
      <c r="AN579" s="714"/>
      <c r="AO579" s="714"/>
      <c r="AP579" s="714"/>
      <c r="AQ579" s="716"/>
    </row>
    <row r="580" spans="1:43" s="708" customFormat="1" ht="12.75" customHeight="1" x14ac:dyDescent="0.25">
      <c r="A580" s="8"/>
      <c r="B580" s="8"/>
      <c r="C580" s="11"/>
      <c r="D580" s="11"/>
      <c r="E580" s="11"/>
      <c r="F580" s="11"/>
      <c r="G580" s="11"/>
      <c r="H580" s="11"/>
      <c r="I580" s="8"/>
      <c r="J580" s="1157"/>
      <c r="K580" s="1157"/>
      <c r="L580" s="1208"/>
      <c r="M580" s="1208"/>
      <c r="N580" s="1577" t="s">
        <v>201</v>
      </c>
      <c r="O580" s="1578"/>
      <c r="P580" s="1579" t="s">
        <v>202</v>
      </c>
      <c r="Q580" s="1580"/>
      <c r="R580" s="8"/>
      <c r="S580" s="8"/>
      <c r="T580" s="8"/>
      <c r="U580" s="8"/>
      <c r="V580" s="714"/>
      <c r="W580" s="714"/>
      <c r="X580" s="714"/>
      <c r="Y580" s="714"/>
      <c r="Z580" s="714"/>
      <c r="AA580" s="714"/>
      <c r="AB580" s="714"/>
      <c r="AC580" s="714"/>
      <c r="AD580" s="714"/>
      <c r="AE580" s="714"/>
      <c r="AF580" s="714"/>
      <c r="AG580" s="714"/>
      <c r="AH580" s="714"/>
      <c r="AI580" s="714"/>
      <c r="AJ580" s="714"/>
      <c r="AK580" s="714"/>
      <c r="AL580" s="714"/>
      <c r="AM580" s="714"/>
      <c r="AN580" s="714"/>
      <c r="AO580" s="714"/>
      <c r="AP580" s="714"/>
      <c r="AQ580" s="716"/>
    </row>
    <row r="581" spans="1:43" s="708" customFormat="1" ht="12.75" customHeight="1" x14ac:dyDescent="0.25">
      <c r="A581" s="8"/>
      <c r="B581" s="8"/>
      <c r="C581" s="11" t="s">
        <v>146</v>
      </c>
      <c r="D581" s="11"/>
      <c r="E581" s="11"/>
      <c r="F581" s="11"/>
      <c r="G581" s="11"/>
      <c r="H581" s="11"/>
      <c r="I581" s="8"/>
      <c r="J581" s="1157"/>
      <c r="K581" s="1157"/>
      <c r="L581" s="1208"/>
      <c r="M581" s="1208"/>
      <c r="N581" s="1587"/>
      <c r="O581" s="1588"/>
      <c r="P581" s="1583"/>
      <c r="Q581" s="1584"/>
      <c r="R581" s="8"/>
      <c r="S581" s="8"/>
      <c r="T581" s="8"/>
      <c r="U581" s="8"/>
      <c r="V581" s="714"/>
      <c r="W581" s="714"/>
      <c r="X581" s="714"/>
      <c r="Y581" s="714"/>
      <c r="Z581" s="714"/>
      <c r="AA581" s="714"/>
      <c r="AB581" s="714"/>
      <c r="AC581" s="714"/>
      <c r="AD581" s="714"/>
      <c r="AE581" s="714"/>
      <c r="AF581" s="714"/>
      <c r="AG581" s="714"/>
      <c r="AH581" s="714"/>
      <c r="AI581" s="714"/>
      <c r="AJ581" s="714"/>
      <c r="AK581" s="714"/>
      <c r="AL581" s="714"/>
      <c r="AM581" s="714"/>
      <c r="AN581" s="714"/>
      <c r="AO581" s="714"/>
      <c r="AP581" s="714"/>
      <c r="AQ581" s="716"/>
    </row>
    <row r="582" spans="1:43" s="708" customFormat="1" ht="12.75" customHeight="1" x14ac:dyDescent="0.25">
      <c r="A582" s="8"/>
      <c r="B582" s="8"/>
      <c r="C582" s="11"/>
      <c r="D582" s="11" t="s">
        <v>246</v>
      </c>
      <c r="E582" s="11"/>
      <c r="F582" s="11"/>
      <c r="G582" s="11"/>
      <c r="H582" s="11"/>
      <c r="I582" s="8"/>
      <c r="J582" s="1157"/>
      <c r="K582" s="1157"/>
      <c r="L582" s="1208"/>
      <c r="M582" s="1208"/>
      <c r="N582" s="1585">
        <v>1.726932363563652</v>
      </c>
      <c r="O582" s="1586"/>
      <c r="P582" s="1581">
        <v>2.4758190338457231</v>
      </c>
      <c r="Q582" s="1582"/>
      <c r="R582" s="8"/>
      <c r="S582" s="8"/>
      <c r="T582" s="8"/>
      <c r="U582" s="8"/>
      <c r="V582" s="714"/>
      <c r="W582" s="714"/>
      <c r="X582" s="714"/>
      <c r="Y582" s="714"/>
      <c r="Z582" s="714"/>
      <c r="AA582" s="714"/>
      <c r="AB582" s="714"/>
      <c r="AC582" s="714"/>
      <c r="AD582" s="714"/>
      <c r="AE582" s="714"/>
      <c r="AF582" s="714"/>
      <c r="AG582" s="714"/>
      <c r="AH582" s="714"/>
      <c r="AI582" s="714"/>
      <c r="AJ582" s="714"/>
      <c r="AK582" s="714"/>
      <c r="AL582" s="714"/>
      <c r="AM582" s="714"/>
      <c r="AN582" s="714"/>
      <c r="AO582" s="714"/>
      <c r="AP582" s="714"/>
      <c r="AQ582" s="716"/>
    </row>
    <row r="583" spans="1:43" s="708" customFormat="1" ht="12.75" customHeight="1" x14ac:dyDescent="0.25">
      <c r="A583" s="8"/>
      <c r="B583" s="8"/>
      <c r="C583" s="8"/>
      <c r="D583" s="8" t="s">
        <v>490</v>
      </c>
      <c r="E583" s="8"/>
      <c r="F583" s="8"/>
      <c r="G583" s="8"/>
      <c r="H583" s="8"/>
      <c r="I583" s="8"/>
      <c r="J583" s="1156" t="s">
        <v>437</v>
      </c>
      <c r="K583" s="1156"/>
      <c r="L583" s="1207"/>
      <c r="M583" s="1207"/>
      <c r="N583" s="1547">
        <v>934558832.11678815</v>
      </c>
      <c r="O583" s="1548"/>
      <c r="P583" s="1572">
        <v>934558832.11678815</v>
      </c>
      <c r="Q583" s="1573"/>
      <c r="R583" s="8"/>
      <c r="S583" s="8"/>
      <c r="T583" s="8"/>
      <c r="U583" s="8"/>
      <c r="V583" s="714"/>
      <c r="W583" s="714"/>
      <c r="X583" s="714"/>
      <c r="Y583" s="714"/>
      <c r="Z583" s="714"/>
      <c r="AA583" s="714"/>
      <c r="AB583" s="714"/>
      <c r="AC583" s="714"/>
      <c r="AD583" s="714"/>
      <c r="AE583" s="714"/>
      <c r="AF583" s="714"/>
      <c r="AG583" s="714"/>
      <c r="AH583" s="714"/>
      <c r="AI583" s="714"/>
      <c r="AJ583" s="714"/>
      <c r="AK583" s="714"/>
      <c r="AL583" s="714"/>
      <c r="AM583" s="714"/>
      <c r="AN583" s="714"/>
      <c r="AO583" s="714"/>
      <c r="AP583" s="714"/>
      <c r="AQ583" s="716"/>
    </row>
    <row r="584" spans="1:43" s="708" customFormat="1" ht="12.75" customHeight="1" x14ac:dyDescent="0.25">
      <c r="A584" s="8"/>
      <c r="B584" s="8"/>
      <c r="C584" s="8"/>
      <c r="D584" s="1158" t="s">
        <v>563</v>
      </c>
      <c r="E584" s="8"/>
      <c r="F584" s="8"/>
      <c r="G584" s="8"/>
      <c r="H584" s="8"/>
      <c r="I584" s="8"/>
      <c r="J584" s="1156" t="s">
        <v>437</v>
      </c>
      <c r="K584" s="1156"/>
      <c r="L584" s="1207"/>
      <c r="M584" s="1207"/>
      <c r="N584" s="1547">
        <v>540390950.51523638</v>
      </c>
      <c r="O584" s="1548"/>
      <c r="P584" s="1572">
        <v>233971230.23669916</v>
      </c>
      <c r="Q584" s="1573"/>
      <c r="R584" s="8"/>
      <c r="S584" s="8"/>
      <c r="T584" s="8"/>
      <c r="U584" s="8"/>
      <c r="V584" s="714"/>
      <c r="W584" s="714"/>
      <c r="X584" s="714"/>
      <c r="Y584" s="714"/>
      <c r="Z584" s="714"/>
      <c r="AA584" s="714"/>
      <c r="AB584" s="714"/>
      <c r="AC584" s="714"/>
      <c r="AD584" s="714"/>
      <c r="AE584" s="714"/>
      <c r="AF584" s="714"/>
      <c r="AG584" s="714"/>
      <c r="AH584" s="714"/>
      <c r="AI584" s="714"/>
      <c r="AJ584" s="714"/>
      <c r="AK584" s="714"/>
      <c r="AL584" s="714"/>
      <c r="AM584" s="714"/>
      <c r="AN584" s="714"/>
      <c r="AO584" s="714"/>
      <c r="AP584" s="714"/>
      <c r="AQ584" s="716"/>
    </row>
    <row r="585" spans="1:43" s="708" customFormat="1" ht="12.75" customHeight="1" x14ac:dyDescent="0.25">
      <c r="A585" s="8"/>
      <c r="B585" s="8"/>
      <c r="C585" s="8"/>
      <c r="D585" s="8" t="s">
        <v>307</v>
      </c>
      <c r="E585" s="8"/>
      <c r="F585" s="8"/>
      <c r="G585" s="8"/>
      <c r="H585" s="8"/>
      <c r="I585" s="8"/>
      <c r="J585" s="1156" t="s">
        <v>437</v>
      </c>
      <c r="K585" s="1156"/>
      <c r="L585" s="1207"/>
      <c r="M585" s="1207"/>
      <c r="N585" s="1547">
        <v>0</v>
      </c>
      <c r="O585" s="1548"/>
      <c r="P585" s="1572">
        <v>139114602.87544543</v>
      </c>
      <c r="Q585" s="1573"/>
      <c r="R585" s="8"/>
      <c r="S585" s="8"/>
      <c r="T585" s="8"/>
      <c r="U585" s="8"/>
      <c r="V585" s="714"/>
      <c r="W585" s="714"/>
      <c r="X585" s="714"/>
      <c r="Y585" s="714"/>
      <c r="Z585" s="714"/>
      <c r="AA585" s="714"/>
      <c r="AB585" s="714"/>
      <c r="AC585" s="714"/>
      <c r="AD585" s="714"/>
      <c r="AE585" s="714"/>
      <c r="AF585" s="714"/>
      <c r="AG585" s="714"/>
      <c r="AH585" s="714"/>
      <c r="AI585" s="714"/>
      <c r="AJ585" s="714"/>
      <c r="AK585" s="714"/>
      <c r="AL585" s="714"/>
      <c r="AM585" s="714"/>
      <c r="AN585" s="714"/>
      <c r="AO585" s="714"/>
      <c r="AP585" s="714"/>
      <c r="AQ585" s="716"/>
    </row>
    <row r="586" spans="1:43" s="708" customFormat="1" ht="12.75" customHeight="1" x14ac:dyDescent="0.25">
      <c r="A586" s="8"/>
      <c r="B586" s="8"/>
      <c r="C586" s="8"/>
      <c r="D586" s="8" t="s">
        <v>306</v>
      </c>
      <c r="E586" s="8"/>
      <c r="F586" s="8"/>
      <c r="G586" s="8"/>
      <c r="H586" s="8"/>
      <c r="I586" s="8"/>
      <c r="J586" s="1156" t="s">
        <v>437</v>
      </c>
      <c r="K586" s="1156"/>
      <c r="L586" s="1207"/>
      <c r="M586" s="1207"/>
      <c r="N586" s="1547">
        <v>776064.38062053395</v>
      </c>
      <c r="O586" s="1548"/>
      <c r="P586" s="1572">
        <v>4388780.0727800559</v>
      </c>
      <c r="Q586" s="1573"/>
      <c r="R586" s="8"/>
      <c r="S586" s="8"/>
      <c r="T586" s="8"/>
      <c r="U586" s="8"/>
      <c r="V586" s="714"/>
      <c r="W586" s="714"/>
      <c r="X586" s="714"/>
      <c r="Y586" s="714"/>
      <c r="Z586" s="714"/>
      <c r="AA586" s="714"/>
      <c r="AB586" s="714"/>
      <c r="AC586" s="714"/>
      <c r="AD586" s="714"/>
      <c r="AE586" s="714"/>
      <c r="AF586" s="714"/>
      <c r="AG586" s="714"/>
      <c r="AH586" s="714"/>
      <c r="AI586" s="714"/>
      <c r="AJ586" s="714"/>
      <c r="AK586" s="714"/>
      <c r="AL586" s="714"/>
      <c r="AM586" s="714"/>
      <c r="AN586" s="714"/>
      <c r="AO586" s="714"/>
      <c r="AP586" s="714"/>
      <c r="AQ586" s="716"/>
    </row>
    <row r="587" spans="1:43" s="708" customFormat="1" ht="12.75" customHeight="1" x14ac:dyDescent="0.25">
      <c r="A587" s="8"/>
      <c r="B587" s="8"/>
      <c r="C587" s="8"/>
      <c r="D587" s="8"/>
      <c r="E587" s="8"/>
      <c r="F587" s="8"/>
      <c r="G587" s="8"/>
      <c r="H587" s="8"/>
      <c r="I587" s="8"/>
      <c r="J587" s="1156"/>
      <c r="K587" s="1156"/>
      <c r="L587" s="1207"/>
      <c r="M587" s="1207"/>
      <c r="N587" s="1497"/>
      <c r="O587" s="1495"/>
      <c r="P587" s="1439"/>
      <c r="Q587" s="1496"/>
      <c r="R587" s="8"/>
      <c r="S587" s="8"/>
      <c r="T587" s="8"/>
      <c r="U587" s="8"/>
      <c r="V587" s="714"/>
      <c r="W587" s="714"/>
      <c r="X587" s="714"/>
      <c r="Y587" s="714"/>
      <c r="Z587" s="714"/>
      <c r="AA587" s="714"/>
      <c r="AB587" s="714"/>
      <c r="AC587" s="714"/>
      <c r="AD587" s="714"/>
      <c r="AE587" s="714"/>
      <c r="AF587" s="714"/>
      <c r="AG587" s="714"/>
      <c r="AH587" s="714"/>
      <c r="AI587" s="714"/>
      <c r="AJ587" s="714"/>
      <c r="AK587" s="714"/>
      <c r="AL587" s="714"/>
      <c r="AM587" s="714"/>
      <c r="AN587" s="714"/>
      <c r="AO587" s="714"/>
      <c r="AP587" s="714"/>
      <c r="AQ587" s="716"/>
    </row>
    <row r="588" spans="1:43" s="708" customFormat="1" ht="12.75" customHeight="1" x14ac:dyDescent="0.25">
      <c r="A588" s="8"/>
      <c r="B588" s="8"/>
      <c r="C588" s="11" t="s">
        <v>147</v>
      </c>
      <c r="D588" s="8"/>
      <c r="E588" s="8"/>
      <c r="F588" s="8"/>
      <c r="G588" s="8"/>
      <c r="H588" s="8"/>
      <c r="I588" s="8"/>
      <c r="J588" s="1156"/>
      <c r="K588" s="1156"/>
      <c r="L588" s="1207"/>
      <c r="M588" s="1207"/>
      <c r="N588" s="1497"/>
      <c r="O588" s="1495"/>
      <c r="P588" s="1439"/>
      <c r="Q588" s="1496"/>
      <c r="R588" s="8"/>
      <c r="S588" s="8"/>
      <c r="T588" s="8"/>
      <c r="U588" s="8"/>
      <c r="V588" s="714"/>
      <c r="W588" s="714"/>
      <c r="X588" s="714"/>
      <c r="Y588" s="714"/>
      <c r="Z588" s="714"/>
      <c r="AA588" s="714"/>
      <c r="AB588" s="714"/>
      <c r="AC588" s="714"/>
      <c r="AD588" s="714"/>
      <c r="AE588" s="714"/>
      <c r="AF588" s="714"/>
      <c r="AG588" s="714"/>
      <c r="AH588" s="714"/>
      <c r="AI588" s="714"/>
      <c r="AJ588" s="714"/>
      <c r="AK588" s="714"/>
      <c r="AL588" s="714"/>
      <c r="AM588" s="714"/>
      <c r="AN588" s="714"/>
      <c r="AO588" s="714"/>
      <c r="AP588" s="714"/>
      <c r="AQ588" s="716"/>
    </row>
    <row r="589" spans="1:43" s="708" customFormat="1" ht="12.75" customHeight="1" x14ac:dyDescent="0.25">
      <c r="A589" s="8"/>
      <c r="B589" s="8"/>
      <c r="C589" s="8"/>
      <c r="D589" s="11" t="s">
        <v>246</v>
      </c>
      <c r="E589" s="11"/>
      <c r="F589" s="11"/>
      <c r="G589" s="11"/>
      <c r="H589" s="11"/>
      <c r="I589" s="8"/>
      <c r="J589" s="1157"/>
      <c r="K589" s="1157"/>
      <c r="L589" s="1208"/>
      <c r="M589" s="1208"/>
      <c r="N589" s="1598"/>
      <c r="O589" s="1590"/>
      <c r="P589" s="1581">
        <v>2.1352787229349866</v>
      </c>
      <c r="Q589" s="1582"/>
      <c r="R589" s="8"/>
      <c r="S589" s="8"/>
      <c r="T589" s="8"/>
      <c r="U589" s="8"/>
      <c r="V589" s="714"/>
      <c r="W589" s="714"/>
      <c r="X589" s="714"/>
      <c r="Y589" s="714"/>
      <c r="Z589" s="714"/>
      <c r="AA589" s="714"/>
      <c r="AB589" s="714"/>
      <c r="AC589" s="714"/>
      <c r="AD589" s="714"/>
      <c r="AE589" s="714"/>
      <c r="AF589" s="714"/>
      <c r="AG589" s="714"/>
      <c r="AH589" s="714"/>
      <c r="AI589" s="714"/>
      <c r="AJ589" s="714"/>
      <c r="AK589" s="714"/>
      <c r="AL589" s="714"/>
      <c r="AM589" s="714"/>
      <c r="AN589" s="714"/>
      <c r="AO589" s="714"/>
      <c r="AP589" s="714"/>
      <c r="AQ589" s="716"/>
    </row>
    <row r="590" spans="1:43" s="708" customFormat="1" ht="12.75" customHeight="1" x14ac:dyDescent="0.25">
      <c r="A590" s="8"/>
      <c r="B590" s="8"/>
      <c r="C590" s="8"/>
      <c r="D590" s="8" t="s">
        <v>307</v>
      </c>
      <c r="E590" s="8"/>
      <c r="F590" s="8"/>
      <c r="G590" s="8"/>
      <c r="H590" s="8"/>
      <c r="I590" s="8"/>
      <c r="J590" s="1156" t="s">
        <v>437</v>
      </c>
      <c r="K590" s="1156"/>
      <c r="L590" s="1207"/>
      <c r="M590" s="1207"/>
      <c r="N590" s="1547">
        <v>0</v>
      </c>
      <c r="O590" s="1548"/>
      <c r="P590" s="1572">
        <v>139114602.87544543</v>
      </c>
      <c r="Q590" s="1573"/>
      <c r="R590" s="8"/>
      <c r="S590" s="8"/>
      <c r="T590" s="8"/>
      <c r="U590" s="8"/>
      <c r="V590" s="714"/>
      <c r="W590" s="714"/>
      <c r="X590" s="714"/>
      <c r="Y590" s="714"/>
      <c r="Z590" s="714"/>
      <c r="AA590" s="714"/>
      <c r="AB590" s="714"/>
      <c r="AC590" s="714"/>
      <c r="AD590" s="714"/>
      <c r="AE590" s="714"/>
      <c r="AF590" s="714"/>
      <c r="AG590" s="714"/>
      <c r="AH590" s="714"/>
      <c r="AI590" s="714"/>
      <c r="AJ590" s="714"/>
      <c r="AK590" s="714"/>
      <c r="AL590" s="714"/>
      <c r="AM590" s="714"/>
      <c r="AN590" s="714"/>
      <c r="AO590" s="714"/>
      <c r="AP590" s="714"/>
      <c r="AQ590" s="716"/>
    </row>
    <row r="591" spans="1:43" s="708" customFormat="1" ht="12.75" customHeight="1" x14ac:dyDescent="0.25">
      <c r="A591" s="8"/>
      <c r="B591" s="8"/>
      <c r="C591" s="8"/>
      <c r="D591" s="8" t="s">
        <v>306</v>
      </c>
      <c r="E591" s="8"/>
      <c r="F591" s="8"/>
      <c r="G591" s="8"/>
      <c r="H591" s="8"/>
      <c r="I591" s="8"/>
      <c r="J591" s="1156" t="s">
        <v>437</v>
      </c>
      <c r="K591" s="1156"/>
      <c r="L591" s="1207"/>
      <c r="M591" s="1207"/>
      <c r="N591" s="1547">
        <v>776064.38062053395</v>
      </c>
      <c r="O591" s="1548"/>
      <c r="P591" s="1572">
        <v>4388780.0727800559</v>
      </c>
      <c r="Q591" s="1573"/>
      <c r="R591" s="8"/>
      <c r="S591" s="8"/>
      <c r="T591" s="8"/>
      <c r="U591" s="8"/>
      <c r="V591" s="714"/>
      <c r="W591" s="714"/>
      <c r="X591" s="714"/>
      <c r="Y591" s="714"/>
      <c r="Z591" s="714"/>
      <c r="AA591" s="714"/>
      <c r="AB591" s="714"/>
      <c r="AC591" s="714"/>
      <c r="AD591" s="714"/>
      <c r="AE591" s="714"/>
      <c r="AF591" s="714"/>
      <c r="AG591" s="714"/>
      <c r="AH591" s="714"/>
      <c r="AI591" s="714"/>
      <c r="AJ591" s="714"/>
      <c r="AK591" s="714"/>
      <c r="AL591" s="714"/>
      <c r="AM591" s="714"/>
      <c r="AN591" s="714"/>
      <c r="AO591" s="714"/>
      <c r="AP591" s="714"/>
      <c r="AQ591" s="716"/>
    </row>
    <row r="592" spans="1:43" s="708" customFormat="1" ht="12.75" customHeight="1" x14ac:dyDescent="0.25">
      <c r="A592" s="8"/>
      <c r="B592" s="8"/>
      <c r="C592" s="8"/>
      <c r="D592" s="1557" t="s">
        <v>564</v>
      </c>
      <c r="E592" s="1557"/>
      <c r="F592" s="1557"/>
      <c r="G592" s="1557"/>
      <c r="H592" s="1557"/>
      <c r="I592" s="1557"/>
      <c r="J592" s="1156" t="s">
        <v>437</v>
      </c>
      <c r="K592" s="1156"/>
      <c r="L592" s="1207"/>
      <c r="M592" s="1207"/>
      <c r="N592" s="1547">
        <v>540390950.51523638</v>
      </c>
      <c r="O592" s="1548"/>
      <c r="P592" s="1572">
        <v>233971230.23669916</v>
      </c>
      <c r="Q592" s="1573"/>
      <c r="R592" s="29"/>
      <c r="S592" s="8"/>
      <c r="T592" s="8"/>
      <c r="U592" s="8"/>
      <c r="V592" s="714"/>
      <c r="W592" s="714"/>
      <c r="X592" s="714"/>
      <c r="Y592" s="714"/>
      <c r="Z592" s="714"/>
      <c r="AA592" s="714"/>
      <c r="AB592" s="714"/>
      <c r="AC592" s="714"/>
      <c r="AD592" s="714"/>
      <c r="AE592" s="714"/>
      <c r="AF592" s="714"/>
      <c r="AG592" s="714"/>
      <c r="AH592" s="714"/>
      <c r="AI592" s="714"/>
      <c r="AJ592" s="714"/>
      <c r="AK592" s="714"/>
      <c r="AL592" s="714"/>
      <c r="AM592" s="714"/>
      <c r="AN592" s="714"/>
      <c r="AO592" s="714"/>
      <c r="AP592" s="714"/>
      <c r="AQ592" s="716"/>
    </row>
    <row r="593" spans="1:43" s="708" customFormat="1" ht="12.75" customHeight="1" x14ac:dyDescent="0.25">
      <c r="A593" s="757"/>
      <c r="B593" s="8"/>
      <c r="C593" s="8"/>
      <c r="D593" s="1557" t="s">
        <v>565</v>
      </c>
      <c r="E593" s="1557"/>
      <c r="F593" s="1557"/>
      <c r="G593" s="1557"/>
      <c r="H593" s="1557"/>
      <c r="I593" s="1557"/>
      <c r="J593" s="1156" t="s">
        <v>437</v>
      </c>
      <c r="K593" s="1156"/>
      <c r="L593" s="1207"/>
      <c r="M593" s="1207"/>
      <c r="N593" s="1598"/>
      <c r="O593" s="1590"/>
      <c r="P593" s="1572">
        <v>306419720.27853721</v>
      </c>
      <c r="Q593" s="1573"/>
      <c r="R593" s="8"/>
      <c r="S593" s="8"/>
      <c r="T593" s="8"/>
      <c r="U593" s="8"/>
      <c r="V593" s="714"/>
      <c r="W593" s="714"/>
      <c r="X593" s="714"/>
      <c r="Y593" s="714"/>
      <c r="Z593" s="714"/>
      <c r="AA593" s="714"/>
      <c r="AB593" s="714"/>
      <c r="AC593" s="714"/>
      <c r="AD593" s="714"/>
      <c r="AE593" s="714"/>
      <c r="AF593" s="714"/>
      <c r="AG593" s="714"/>
      <c r="AH593" s="714"/>
      <c r="AI593" s="714"/>
      <c r="AJ593" s="714"/>
      <c r="AK593" s="714"/>
      <c r="AL593" s="714"/>
      <c r="AM593" s="714"/>
      <c r="AN593" s="714"/>
      <c r="AO593" s="714"/>
      <c r="AP593" s="714"/>
      <c r="AQ593" s="716"/>
    </row>
    <row r="594" spans="1:43" s="708" customFormat="1" ht="12.75" customHeight="1" x14ac:dyDescent="0.25">
      <c r="A594" s="8"/>
      <c r="B594" s="8"/>
      <c r="C594" s="8"/>
      <c r="D594" s="8"/>
      <c r="E594" s="8"/>
      <c r="F594" s="8"/>
      <c r="G594" s="8"/>
      <c r="H594" s="8"/>
      <c r="I594" s="8"/>
      <c r="J594" s="1156"/>
      <c r="K594" s="1156"/>
      <c r="L594" s="1207"/>
      <c r="M594" s="1207"/>
      <c r="N594" s="1497"/>
      <c r="O594" s="1495"/>
      <c r="P594" s="1439"/>
      <c r="Q594" s="1496"/>
      <c r="R594" s="8"/>
      <c r="S594" s="8"/>
      <c r="T594" s="8"/>
      <c r="U594" s="8"/>
      <c r="V594" s="714"/>
      <c r="W594" s="714"/>
      <c r="X594" s="714"/>
      <c r="Y594" s="714"/>
      <c r="Z594" s="714"/>
      <c r="AA594" s="714"/>
      <c r="AB594" s="714"/>
      <c r="AC594" s="714"/>
      <c r="AD594" s="714"/>
      <c r="AE594" s="714"/>
      <c r="AF594" s="714"/>
      <c r="AG594" s="714"/>
      <c r="AH594" s="714"/>
      <c r="AI594" s="714"/>
      <c r="AJ594" s="714"/>
      <c r="AK594" s="714"/>
      <c r="AL594" s="714"/>
      <c r="AM594" s="714"/>
      <c r="AN594" s="714"/>
      <c r="AO594" s="714"/>
      <c r="AP594" s="714"/>
      <c r="AQ594" s="716"/>
    </row>
    <row r="595" spans="1:43" s="708" customFormat="1" ht="12.75" customHeight="1" x14ac:dyDescent="0.25">
      <c r="A595" s="8"/>
      <c r="B595" s="8"/>
      <c r="C595" s="11" t="s">
        <v>187</v>
      </c>
      <c r="D595" s="11"/>
      <c r="E595" s="11"/>
      <c r="F595" s="11"/>
      <c r="G595" s="11"/>
      <c r="H595" s="11"/>
      <c r="I595" s="8"/>
      <c r="J595" s="748"/>
      <c r="K595" s="748"/>
      <c r="L595" s="748"/>
      <c r="M595" s="748"/>
      <c r="N595" s="1611"/>
      <c r="O595" s="1612"/>
      <c r="P595" s="1603"/>
      <c r="Q595" s="1604"/>
      <c r="R595" s="8"/>
      <c r="S595" s="8"/>
      <c r="T595" s="8"/>
      <c r="U595" s="8"/>
      <c r="V595" s="714"/>
      <c r="W595" s="714"/>
      <c r="X595" s="714"/>
      <c r="Y595" s="714"/>
      <c r="Z595" s="714"/>
      <c r="AA595" s="714"/>
      <c r="AB595" s="714"/>
      <c r="AC595" s="714"/>
      <c r="AD595" s="714"/>
      <c r="AE595" s="714"/>
      <c r="AF595" s="714"/>
      <c r="AG595" s="714"/>
      <c r="AH595" s="714"/>
      <c r="AI595" s="714"/>
      <c r="AJ595" s="714"/>
      <c r="AK595" s="714"/>
      <c r="AL595" s="714"/>
      <c r="AM595" s="714"/>
      <c r="AN595" s="714"/>
      <c r="AO595" s="714"/>
      <c r="AP595" s="714"/>
      <c r="AQ595" s="716"/>
    </row>
    <row r="596" spans="1:43" s="708" customFormat="1" ht="12.75" customHeight="1" x14ac:dyDescent="0.25">
      <c r="A596" s="8"/>
      <c r="B596" s="8"/>
      <c r="C596" s="8"/>
      <c r="D596" s="8" t="s">
        <v>491</v>
      </c>
      <c r="E596" s="8"/>
      <c r="F596" s="8"/>
      <c r="G596" s="8"/>
      <c r="H596" s="8"/>
      <c r="I596" s="8"/>
      <c r="J596" s="1156" t="s">
        <v>435</v>
      </c>
      <c r="K596" s="1156"/>
      <c r="L596" s="1207"/>
      <c r="M596" s="1207"/>
      <c r="N596" s="1609">
        <v>9.3057420262772E-2</v>
      </c>
      <c r="O596" s="1610"/>
      <c r="P596" s="1605">
        <v>7.4033496707593155E-2</v>
      </c>
      <c r="Q596" s="1606"/>
      <c r="R596" s="8"/>
      <c r="S596" s="8"/>
      <c r="T596" s="8"/>
      <c r="U596" s="8"/>
      <c r="V596" s="714"/>
      <c r="W596" s="714"/>
      <c r="X596" s="714"/>
      <c r="Y596" s="714"/>
      <c r="Z596" s="714"/>
      <c r="AA596" s="714"/>
      <c r="AB596" s="714"/>
      <c r="AC596" s="714"/>
      <c r="AD596" s="714"/>
      <c r="AE596" s="714"/>
      <c r="AF596" s="714"/>
      <c r="AG596" s="714"/>
      <c r="AH596" s="714"/>
      <c r="AI596" s="714"/>
      <c r="AJ596" s="714"/>
      <c r="AK596" s="714"/>
      <c r="AL596" s="714"/>
      <c r="AM596" s="714"/>
      <c r="AN596" s="714"/>
      <c r="AO596" s="714"/>
      <c r="AP596" s="714"/>
      <c r="AQ596" s="716"/>
    </row>
    <row r="597" spans="1:43" s="708" customFormat="1" ht="12.75" customHeight="1" x14ac:dyDescent="0.25">
      <c r="A597" s="8"/>
      <c r="B597" s="8"/>
      <c r="C597" s="8"/>
      <c r="D597" s="8" t="s">
        <v>492</v>
      </c>
      <c r="E597" s="8"/>
      <c r="F597" s="8"/>
      <c r="G597" s="8"/>
      <c r="H597" s="8"/>
      <c r="I597" s="8"/>
      <c r="J597" s="1156" t="s">
        <v>16</v>
      </c>
      <c r="K597" s="1156"/>
      <c r="L597" s="1207"/>
      <c r="M597" s="1207"/>
      <c r="N597" s="1443"/>
      <c r="O597" s="1495"/>
      <c r="P597" s="1599">
        <v>-0.20443209688662989</v>
      </c>
      <c r="Q597" s="1600"/>
      <c r="R597" s="8"/>
      <c r="S597" s="8"/>
      <c r="T597" s="8"/>
      <c r="U597" s="8"/>
      <c r="V597" s="714"/>
      <c r="W597" s="714"/>
      <c r="X597" s="714"/>
      <c r="Y597" s="714"/>
      <c r="Z597" s="714"/>
      <c r="AA597" s="714"/>
      <c r="AB597" s="714"/>
      <c r="AC597" s="714"/>
      <c r="AD597" s="714"/>
      <c r="AE597" s="714"/>
      <c r="AF597" s="714"/>
      <c r="AG597" s="714"/>
      <c r="AH597" s="714"/>
      <c r="AI597" s="714"/>
      <c r="AJ597" s="714"/>
      <c r="AK597" s="714"/>
      <c r="AL597" s="714"/>
      <c r="AM597" s="714"/>
      <c r="AN597" s="714"/>
      <c r="AO597" s="714"/>
      <c r="AP597" s="714"/>
      <c r="AQ597" s="716"/>
    </row>
    <row r="598" spans="1:43" s="708" customFormat="1" ht="12.75" customHeight="1" x14ac:dyDescent="0.25">
      <c r="A598" s="8"/>
      <c r="B598" s="8"/>
      <c r="C598" s="8"/>
      <c r="D598" s="8" t="s">
        <v>277</v>
      </c>
      <c r="E598" s="8"/>
      <c r="F598" s="8"/>
      <c r="G598" s="8"/>
      <c r="H598" s="8"/>
      <c r="I598" s="8"/>
      <c r="J598" s="1156" t="s">
        <v>435</v>
      </c>
      <c r="K598" s="1156"/>
      <c r="L598" s="1207"/>
      <c r="M598" s="1207"/>
      <c r="N598" s="1609">
        <v>5.9507503425933327E-2</v>
      </c>
      <c r="O598" s="1610"/>
      <c r="P598" s="1607">
        <v>5.9507503425933327E-2</v>
      </c>
      <c r="Q598" s="1608"/>
      <c r="R598" s="8"/>
      <c r="S598" s="8"/>
      <c r="T598" s="8"/>
      <c r="U598" s="8"/>
      <c r="V598" s="714"/>
      <c r="W598" s="714"/>
      <c r="X598" s="714"/>
      <c r="Y598" s="714"/>
      <c r="Z598" s="714"/>
      <c r="AA598" s="714"/>
      <c r="AB598" s="714"/>
      <c r="AC598" s="714"/>
      <c r="AD598" s="714"/>
      <c r="AE598" s="714"/>
      <c r="AF598" s="714"/>
      <c r="AG598" s="714"/>
      <c r="AH598" s="714"/>
      <c r="AI598" s="714"/>
      <c r="AJ598" s="714"/>
      <c r="AK598" s="714"/>
      <c r="AL598" s="714"/>
      <c r="AM598" s="714"/>
      <c r="AN598" s="714"/>
      <c r="AO598" s="714"/>
      <c r="AP598" s="714"/>
      <c r="AQ598" s="716"/>
    </row>
    <row r="599" spans="1:43" s="708" customFormat="1" ht="12.75" customHeight="1" x14ac:dyDescent="0.25">
      <c r="A599" s="8"/>
      <c r="B599" s="8"/>
      <c r="C599" s="8"/>
      <c r="D599" s="8" t="s">
        <v>308</v>
      </c>
      <c r="E599" s="8"/>
      <c r="F599" s="8"/>
      <c r="G599" s="8"/>
      <c r="H599" s="8"/>
      <c r="I599" s="8"/>
      <c r="J599" s="1156" t="s">
        <v>435</v>
      </c>
      <c r="K599" s="1156"/>
      <c r="L599" s="1207"/>
      <c r="M599" s="1207"/>
      <c r="N599" s="1609">
        <v>3.3549916836838674E-2</v>
      </c>
      <c r="O599" s="1610"/>
      <c r="P599" s="1607">
        <v>1.4525993281659828E-2</v>
      </c>
      <c r="Q599" s="1608"/>
      <c r="R599" s="8"/>
      <c r="S599" s="8"/>
      <c r="T599" s="8"/>
      <c r="U599" s="8"/>
      <c r="V599" s="714"/>
      <c r="W599" s="714"/>
      <c r="X599" s="714"/>
      <c r="Y599" s="714"/>
      <c r="Z599" s="714"/>
      <c r="AA599" s="714"/>
      <c r="AB599" s="714"/>
      <c r="AC599" s="714"/>
      <c r="AD599" s="714"/>
      <c r="AE599" s="714"/>
      <c r="AF599" s="714"/>
      <c r="AG599" s="714"/>
      <c r="AH599" s="714"/>
      <c r="AI599" s="714"/>
      <c r="AJ599" s="714"/>
      <c r="AK599" s="714"/>
      <c r="AL599" s="714"/>
      <c r="AM599" s="714"/>
      <c r="AN599" s="714"/>
      <c r="AO599" s="714"/>
      <c r="AP599" s="714"/>
      <c r="AQ599" s="716"/>
    </row>
    <row r="600" spans="1:43" s="708" customFormat="1" ht="12.75" customHeight="1" x14ac:dyDescent="0.25">
      <c r="A600" s="8"/>
      <c r="B600" s="8"/>
      <c r="C600" s="8"/>
      <c r="D600" s="8"/>
      <c r="E600" s="8"/>
      <c r="F600" s="8"/>
      <c r="G600" s="8"/>
      <c r="H600" s="8"/>
      <c r="I600" s="8"/>
      <c r="J600" s="1156"/>
      <c r="K600" s="1156"/>
      <c r="L600" s="1207"/>
      <c r="M600" s="1207"/>
      <c r="N600" s="1443"/>
      <c r="O600" s="1445"/>
      <c r="P600" s="1498"/>
      <c r="Q600" s="1499"/>
      <c r="R600" s="8"/>
      <c r="S600" s="8"/>
      <c r="T600" s="8"/>
      <c r="U600" s="8"/>
      <c r="V600" s="714"/>
      <c r="W600" s="714"/>
      <c r="X600" s="714"/>
      <c r="Y600" s="714"/>
      <c r="Z600" s="714"/>
      <c r="AA600" s="714"/>
      <c r="AB600" s="714"/>
      <c r="AC600" s="714"/>
      <c r="AD600" s="714"/>
      <c r="AE600" s="714"/>
      <c r="AF600" s="714"/>
      <c r="AG600" s="714"/>
      <c r="AH600" s="714"/>
      <c r="AI600" s="714"/>
      <c r="AJ600" s="714"/>
      <c r="AK600" s="714"/>
      <c r="AL600" s="714"/>
      <c r="AM600" s="714"/>
      <c r="AN600" s="714"/>
      <c r="AO600" s="714"/>
      <c r="AP600" s="714"/>
      <c r="AQ600" s="716"/>
    </row>
    <row r="601" spans="1:43" s="708" customFormat="1" ht="12.75" customHeight="1" x14ac:dyDescent="0.25">
      <c r="A601" s="8"/>
      <c r="B601" s="8"/>
      <c r="C601" s="11" t="s">
        <v>148</v>
      </c>
      <c r="D601" s="11"/>
      <c r="E601" s="11"/>
      <c r="F601" s="11"/>
      <c r="G601" s="11"/>
      <c r="H601" s="11"/>
      <c r="I601" s="8"/>
      <c r="J601" s="748"/>
      <c r="K601" s="748"/>
      <c r="L601" s="748"/>
      <c r="M601" s="748"/>
      <c r="N601" s="1611"/>
      <c r="O601" s="1612"/>
      <c r="P601" s="1603"/>
      <c r="Q601" s="1604"/>
      <c r="R601" s="8"/>
      <c r="S601" s="8"/>
      <c r="T601" s="8"/>
      <c r="U601" s="8"/>
      <c r="V601" s="714"/>
      <c r="W601" s="714"/>
      <c r="X601" s="714"/>
      <c r="Y601" s="714"/>
      <c r="Z601" s="714"/>
      <c r="AA601" s="714"/>
      <c r="AB601" s="714"/>
      <c r="AC601" s="714"/>
      <c r="AD601" s="714"/>
      <c r="AE601" s="714"/>
      <c r="AF601" s="714"/>
      <c r="AG601" s="714"/>
      <c r="AH601" s="714"/>
      <c r="AI601" s="714"/>
      <c r="AJ601" s="714"/>
      <c r="AK601" s="714"/>
      <c r="AL601" s="714"/>
      <c r="AM601" s="714"/>
      <c r="AN601" s="714"/>
      <c r="AO601" s="714"/>
      <c r="AP601" s="714"/>
      <c r="AQ601" s="716"/>
    </row>
    <row r="602" spans="1:43" s="708" customFormat="1" ht="12.75" customHeight="1" x14ac:dyDescent="0.25">
      <c r="A602" s="8"/>
      <c r="B602" s="8"/>
      <c r="C602" s="11"/>
      <c r="D602" s="1504"/>
      <c r="E602" s="1506" t="s">
        <v>689</v>
      </c>
      <c r="F602" s="1504"/>
      <c r="G602" s="1504"/>
      <c r="H602" s="1504"/>
      <c r="I602" s="1504"/>
      <c r="J602" s="1507" t="s">
        <v>438</v>
      </c>
      <c r="K602" s="1507"/>
      <c r="L602" s="1507"/>
      <c r="M602" s="1507"/>
      <c r="N602" s="1989">
        <v>42.948091853566503</v>
      </c>
      <c r="O602" s="1990"/>
      <c r="P602" s="1991">
        <v>18.595089125228405</v>
      </c>
      <c r="Q602" s="1992"/>
      <c r="R602" s="8"/>
      <c r="S602" s="8"/>
      <c r="T602" s="8"/>
      <c r="U602" s="8"/>
      <c r="V602" s="714"/>
      <c r="W602" s="714"/>
      <c r="X602" s="714"/>
      <c r="Y602" s="714"/>
      <c r="Z602" s="714"/>
      <c r="AA602" s="714"/>
      <c r="AB602" s="714"/>
      <c r="AC602" s="714"/>
      <c r="AD602" s="714"/>
      <c r="AE602" s="714"/>
      <c r="AF602" s="714"/>
      <c r="AG602" s="714"/>
      <c r="AH602" s="714"/>
      <c r="AI602" s="714"/>
      <c r="AJ602" s="714"/>
      <c r="AK602" s="714"/>
      <c r="AL602" s="714"/>
      <c r="AM602" s="714"/>
      <c r="AN602" s="714"/>
      <c r="AO602" s="714"/>
      <c r="AP602" s="714"/>
      <c r="AQ602" s="716"/>
    </row>
    <row r="603" spans="1:43" s="708" customFormat="1" ht="12.75" customHeight="1" x14ac:dyDescent="0.25">
      <c r="A603" s="8"/>
      <c r="B603" s="8"/>
      <c r="C603" s="11"/>
      <c r="D603" s="1504"/>
      <c r="E603" s="1506" t="s">
        <v>690</v>
      </c>
      <c r="F603" s="1504"/>
      <c r="G603" s="1504"/>
      <c r="H603" s="1504"/>
      <c r="I603" s="1504"/>
      <c r="J603" s="1507" t="s">
        <v>438</v>
      </c>
      <c r="K603" s="1507"/>
      <c r="L603" s="1507"/>
      <c r="M603" s="1507"/>
      <c r="N603" s="1989">
        <v>0</v>
      </c>
      <c r="O603" s="1990"/>
      <c r="P603" s="1991">
        <v>11.056267202051526</v>
      </c>
      <c r="Q603" s="1992"/>
      <c r="R603" s="8"/>
      <c r="S603" s="8"/>
      <c r="T603" s="8"/>
      <c r="U603" s="8"/>
      <c r="V603" s="714"/>
      <c r="W603" s="714"/>
      <c r="X603" s="714"/>
      <c r="Y603" s="714"/>
      <c r="Z603" s="714"/>
      <c r="AA603" s="714"/>
      <c r="AB603" s="714"/>
      <c r="AC603" s="714"/>
      <c r="AD603" s="714"/>
      <c r="AE603" s="714"/>
      <c r="AF603" s="714"/>
      <c r="AG603" s="714"/>
      <c r="AH603" s="714"/>
      <c r="AI603" s="714"/>
      <c r="AJ603" s="714"/>
      <c r="AK603" s="714"/>
      <c r="AL603" s="714"/>
      <c r="AM603" s="714"/>
      <c r="AN603" s="714"/>
      <c r="AO603" s="714"/>
      <c r="AP603" s="714"/>
      <c r="AQ603" s="716"/>
    </row>
    <row r="604" spans="1:43" s="708" customFormat="1" ht="12.75" customHeight="1" x14ac:dyDescent="0.25">
      <c r="A604" s="8"/>
      <c r="B604" s="8"/>
      <c r="C604" s="11"/>
      <c r="D604" s="1504"/>
      <c r="E604" s="1506" t="s">
        <v>691</v>
      </c>
      <c r="F604" s="1504"/>
      <c r="G604" s="1504"/>
      <c r="H604" s="1504"/>
      <c r="I604" s="1504"/>
      <c r="J604" s="1507" t="s">
        <v>438</v>
      </c>
      <c r="K604" s="1507"/>
      <c r="L604" s="1507"/>
      <c r="M604" s="1507"/>
      <c r="N604" s="1989">
        <v>6.1678464954664586E-2</v>
      </c>
      <c r="O604" s="1990"/>
      <c r="P604" s="1991">
        <v>0.34880252807924406</v>
      </c>
      <c r="Q604" s="1992"/>
      <c r="R604" s="8"/>
      <c r="S604" s="8"/>
      <c r="T604" s="8"/>
      <c r="U604" s="8"/>
      <c r="V604" s="714"/>
      <c r="W604" s="714"/>
      <c r="X604" s="714"/>
      <c r="Y604" s="714"/>
      <c r="Z604" s="714"/>
      <c r="AA604" s="714"/>
      <c r="AB604" s="714"/>
      <c r="AC604" s="714"/>
      <c r="AD604" s="714"/>
      <c r="AE604" s="714"/>
      <c r="AF604" s="714"/>
      <c r="AG604" s="714"/>
      <c r="AH604" s="714"/>
      <c r="AI604" s="714"/>
      <c r="AJ604" s="714"/>
      <c r="AK604" s="714"/>
      <c r="AL604" s="714"/>
      <c r="AM604" s="714"/>
      <c r="AN604" s="714"/>
      <c r="AO604" s="714"/>
      <c r="AP604" s="714"/>
      <c r="AQ604" s="716"/>
    </row>
    <row r="605" spans="1:43" s="708" customFormat="1" ht="12.75" customHeight="1" x14ac:dyDescent="0.25">
      <c r="A605" s="8"/>
      <c r="B605" s="8"/>
      <c r="C605" s="8"/>
      <c r="D605" s="1505" t="s">
        <v>692</v>
      </c>
      <c r="E605" s="1505"/>
      <c r="F605" s="1505"/>
      <c r="G605" s="1505"/>
      <c r="H605" s="1505"/>
      <c r="I605" s="1505"/>
      <c r="J605" s="1508" t="s">
        <v>438</v>
      </c>
      <c r="K605" s="1508"/>
      <c r="L605" s="1508"/>
      <c r="M605" s="1508"/>
      <c r="N605" s="2010">
        <v>43.00977031852117</v>
      </c>
      <c r="O605" s="2011"/>
      <c r="P605" s="2012">
        <v>30.000158855359174</v>
      </c>
      <c r="Q605" s="2013"/>
      <c r="R605" s="8"/>
      <c r="S605" s="8"/>
      <c r="T605" s="8"/>
      <c r="U605" s="8"/>
      <c r="V605" s="714"/>
      <c r="W605" s="714"/>
      <c r="X605" s="714"/>
      <c r="Y605" s="714"/>
      <c r="Z605" s="714"/>
      <c r="AA605" s="714"/>
      <c r="AB605" s="714"/>
      <c r="AC605" s="714"/>
      <c r="AD605" s="714"/>
      <c r="AE605" s="714"/>
      <c r="AF605" s="714"/>
      <c r="AG605" s="714"/>
      <c r="AH605" s="714"/>
      <c r="AI605" s="714"/>
      <c r="AJ605" s="714"/>
      <c r="AK605" s="714"/>
      <c r="AL605" s="714"/>
      <c r="AM605" s="714"/>
      <c r="AN605" s="714"/>
      <c r="AO605" s="714"/>
      <c r="AP605" s="714"/>
      <c r="AQ605" s="716"/>
    </row>
    <row r="606" spans="1:43" s="708" customFormat="1" ht="12.75" customHeight="1" x14ac:dyDescent="0.25">
      <c r="A606" s="8"/>
      <c r="B606" s="8"/>
      <c r="C606" s="8"/>
      <c r="D606" s="1504" t="s">
        <v>309</v>
      </c>
      <c r="E606" s="1504"/>
      <c r="F606" s="1504"/>
      <c r="G606" s="1504"/>
      <c r="H606" s="1504"/>
      <c r="I606" s="1504"/>
      <c r="J606" s="1507" t="s">
        <v>16</v>
      </c>
      <c r="K606" s="1507"/>
      <c r="L606" s="1507"/>
      <c r="M606" s="1507"/>
      <c r="N606" s="1510"/>
      <c r="O606" s="1511"/>
      <c r="P606" s="2002">
        <v>-0.30248037519883486</v>
      </c>
      <c r="Q606" s="2003"/>
      <c r="R606" s="8"/>
      <c r="S606" s="8"/>
      <c r="T606" s="8"/>
      <c r="U606" s="8"/>
      <c r="V606" s="714"/>
      <c r="W606" s="714"/>
      <c r="X606" s="714"/>
      <c r="Y606" s="714"/>
      <c r="Z606" s="714"/>
      <c r="AA606" s="714"/>
      <c r="AB606" s="714"/>
      <c r="AC606" s="714"/>
      <c r="AD606" s="714"/>
      <c r="AE606" s="714"/>
      <c r="AF606" s="714"/>
      <c r="AG606" s="714"/>
      <c r="AH606" s="714"/>
      <c r="AI606" s="714"/>
      <c r="AJ606" s="714"/>
      <c r="AK606" s="714"/>
      <c r="AL606" s="714"/>
      <c r="AM606" s="714"/>
      <c r="AN606" s="714"/>
      <c r="AO606" s="714"/>
      <c r="AP606" s="714"/>
      <c r="AQ606" s="716"/>
    </row>
    <row r="607" spans="1:43" s="708" customFormat="1" ht="12.75" customHeight="1" x14ac:dyDescent="0.25">
      <c r="A607" s="8"/>
      <c r="B607" s="8"/>
      <c r="C607" s="8"/>
      <c r="D607" s="1557" t="s">
        <v>566</v>
      </c>
      <c r="E607" s="1557"/>
      <c r="F607" s="1557"/>
      <c r="G607" s="1557"/>
      <c r="H607" s="1557"/>
      <c r="I607" s="1557"/>
      <c r="J607" s="1156" t="s">
        <v>368</v>
      </c>
      <c r="K607" s="1156"/>
      <c r="L607" s="1207"/>
      <c r="M607" s="1207"/>
      <c r="N607" s="1613">
        <v>12.58242048</v>
      </c>
      <c r="O607" s="1614"/>
      <c r="P607" s="1596">
        <v>12.58242048</v>
      </c>
      <c r="Q607" s="1597"/>
      <c r="R607" s="8"/>
      <c r="S607" s="8"/>
      <c r="T607" s="8"/>
      <c r="U607" s="8"/>
      <c r="V607" s="714"/>
      <c r="W607" s="714"/>
      <c r="X607" s="714"/>
      <c r="Y607" s="714"/>
      <c r="Z607" s="714"/>
      <c r="AA607" s="714"/>
      <c r="AB607" s="714"/>
      <c r="AC607" s="714"/>
      <c r="AD607" s="714"/>
      <c r="AE607" s="714"/>
      <c r="AF607" s="714"/>
      <c r="AG607" s="714"/>
      <c r="AH607" s="714"/>
      <c r="AI607" s="714"/>
      <c r="AJ607" s="714"/>
      <c r="AK607" s="714"/>
      <c r="AL607" s="714"/>
      <c r="AM607" s="714"/>
      <c r="AN607" s="714"/>
      <c r="AO607" s="714"/>
      <c r="AP607" s="714"/>
      <c r="AQ607" s="716"/>
    </row>
    <row r="608" spans="1:43" s="708" customFormat="1" ht="12.75" customHeight="1" x14ac:dyDescent="0.25">
      <c r="A608" s="8"/>
      <c r="B608" s="8"/>
      <c r="C608" s="8"/>
      <c r="D608" s="1158"/>
      <c r="E608" s="1158"/>
      <c r="F608" s="1158"/>
      <c r="G608" s="1158"/>
      <c r="H608" s="1158"/>
      <c r="I608" s="1158"/>
      <c r="J608" s="1156"/>
      <c r="K608" s="1156"/>
      <c r="L608" s="1156"/>
      <c r="M608" s="1156"/>
      <c r="N608" s="1191"/>
      <c r="O608" s="1191"/>
      <c r="P608" s="1192"/>
      <c r="Q608" s="1192"/>
      <c r="R608" s="8"/>
      <c r="S608" s="8"/>
      <c r="T608" s="8"/>
      <c r="U608" s="8"/>
      <c r="V608" s="714"/>
      <c r="W608" s="714"/>
      <c r="X608" s="714"/>
      <c r="Y608" s="714"/>
      <c r="Z608" s="714"/>
      <c r="AA608" s="714"/>
      <c r="AB608" s="714"/>
      <c r="AC608" s="714"/>
      <c r="AD608" s="714"/>
      <c r="AE608" s="714"/>
      <c r="AF608" s="714"/>
      <c r="AG608" s="714"/>
      <c r="AH608" s="714"/>
      <c r="AI608" s="714"/>
      <c r="AJ608" s="714"/>
      <c r="AK608" s="714"/>
      <c r="AL608" s="714"/>
      <c r="AM608" s="714"/>
      <c r="AN608" s="714"/>
      <c r="AO608" s="714"/>
      <c r="AP608" s="714"/>
      <c r="AQ608" s="716"/>
    </row>
    <row r="609" spans="1:45" s="708" customFormat="1" ht="12.75" customHeight="1" x14ac:dyDescent="0.25">
      <c r="A609" s="8"/>
      <c r="B609" s="8"/>
      <c r="C609" s="8"/>
      <c r="D609" s="1158"/>
      <c r="E609" s="1158"/>
      <c r="F609" s="1158"/>
      <c r="G609" s="1158"/>
      <c r="H609" s="1158"/>
      <c r="I609" s="1158"/>
      <c r="J609" s="1156"/>
      <c r="K609" s="1156"/>
      <c r="L609" s="1156"/>
      <c r="M609" s="1156"/>
      <c r="N609" s="1191"/>
      <c r="O609" s="1191"/>
      <c r="P609" s="1192"/>
      <c r="Q609" s="1192"/>
      <c r="R609" s="8"/>
      <c r="S609" s="8"/>
      <c r="T609" s="8"/>
      <c r="U609" s="8"/>
      <c r="V609" s="714"/>
      <c r="W609" s="714"/>
      <c r="X609" s="714"/>
      <c r="Y609" s="714"/>
      <c r="Z609" s="714"/>
      <c r="AA609" s="714"/>
      <c r="AB609" s="714"/>
      <c r="AC609" s="714"/>
      <c r="AD609" s="714"/>
      <c r="AE609" s="714"/>
      <c r="AF609" s="714"/>
      <c r="AG609" s="714"/>
      <c r="AH609" s="714"/>
      <c r="AI609" s="714"/>
      <c r="AJ609" s="714"/>
      <c r="AK609" s="714"/>
      <c r="AL609" s="714"/>
      <c r="AM609" s="714"/>
      <c r="AN609" s="714"/>
      <c r="AO609" s="714"/>
      <c r="AP609" s="714"/>
      <c r="AQ609" s="716"/>
    </row>
    <row r="610" spans="1:45" s="712" customFormat="1" ht="12.75" customHeight="1" x14ac:dyDescent="0.25">
      <c r="A610" s="711"/>
      <c r="B610" s="52" t="s">
        <v>616</v>
      </c>
      <c r="C610" s="21"/>
      <c r="D610" s="21"/>
      <c r="E610" s="21"/>
      <c r="F610" s="21"/>
      <c r="G610" s="21"/>
      <c r="H610" s="21"/>
      <c r="I610" s="21"/>
      <c r="J610" s="22"/>
      <c r="K610" s="22"/>
      <c r="L610" s="22"/>
      <c r="M610" s="22"/>
      <c r="N610" s="22"/>
      <c r="O610" s="21"/>
      <c r="P610" s="21"/>
      <c r="Q610" s="21"/>
      <c r="R610" s="21"/>
      <c r="S610" s="21"/>
      <c r="T610" s="21"/>
      <c r="U610" s="21"/>
      <c r="V610" s="21"/>
      <c r="W610" s="21"/>
      <c r="X610" s="21"/>
      <c r="Y610" s="21"/>
      <c r="Z610" s="21"/>
      <c r="AA610" s="21"/>
      <c r="AB610" s="21"/>
      <c r="AC610" s="21"/>
      <c r="AD610" s="21"/>
      <c r="AE610" s="21"/>
      <c r="AF610" s="21"/>
      <c r="AG610" s="21"/>
      <c r="AH610" s="21"/>
      <c r="AI610" s="21"/>
      <c r="AJ610" s="21"/>
      <c r="AK610" s="21"/>
      <c r="AL610" s="21"/>
      <c r="AM610" s="21"/>
      <c r="AN610" s="21"/>
      <c r="AO610" s="21"/>
      <c r="AP610" s="715"/>
      <c r="AQ610" s="716"/>
      <c r="AR610" s="708"/>
      <c r="AS610" s="708"/>
    </row>
    <row r="611" spans="1:45" s="712" customFormat="1" ht="12.75" customHeight="1" x14ac:dyDescent="0.25">
      <c r="A611" s="711"/>
      <c r="B611" s="708"/>
      <c r="C611" s="708"/>
      <c r="F611" s="713"/>
      <c r="G611" s="713"/>
      <c r="H611" s="713"/>
      <c r="I611" s="713"/>
      <c r="J611" s="714"/>
      <c r="K611" s="714"/>
      <c r="L611" s="714"/>
      <c r="M611" s="714"/>
      <c r="N611" s="714"/>
      <c r="O611" s="714"/>
      <c r="P611" s="714"/>
      <c r="Q611" s="714"/>
      <c r="R611" s="714"/>
      <c r="S611" s="714"/>
      <c r="T611" s="714"/>
      <c r="U611" s="714"/>
      <c r="V611" s="714"/>
      <c r="W611" s="714"/>
      <c r="X611" s="714"/>
      <c r="Y611" s="714"/>
      <c r="Z611" s="714"/>
      <c r="AA611" s="714"/>
      <c r="AB611" s="714"/>
      <c r="AC611" s="714"/>
      <c r="AD611" s="714"/>
      <c r="AE611" s="714"/>
      <c r="AF611" s="714"/>
      <c r="AG611" s="714"/>
      <c r="AH611" s="714"/>
      <c r="AI611" s="714"/>
      <c r="AJ611" s="714"/>
      <c r="AK611" s="714"/>
      <c r="AL611" s="714"/>
      <c r="AM611" s="714"/>
      <c r="AN611" s="714"/>
      <c r="AO611" s="714"/>
      <c r="AP611" s="715"/>
      <c r="AQ611" s="716"/>
      <c r="AR611" s="708"/>
      <c r="AS611" s="708"/>
    </row>
    <row r="612" spans="1:45" s="712" customFormat="1" ht="12.75" customHeight="1" x14ac:dyDescent="0.25">
      <c r="A612" s="711"/>
      <c r="B612" s="708"/>
      <c r="C612" s="1993" t="s">
        <v>619</v>
      </c>
      <c r="D612" s="1994"/>
      <c r="E612" s="1994"/>
      <c r="F612" s="1994"/>
      <c r="G612" s="1994"/>
      <c r="H612" s="1994"/>
      <c r="I612" s="1994"/>
      <c r="J612" s="1994"/>
      <c r="K612" s="1994"/>
      <c r="L612" s="1994"/>
      <c r="M612" s="1994"/>
      <c r="N612" s="1994"/>
      <c r="O612" s="1994"/>
      <c r="P612" s="1994"/>
      <c r="Q612" s="1995"/>
      <c r="R612" s="714"/>
      <c r="S612" s="714"/>
      <c r="T612" s="714"/>
      <c r="U612" s="714"/>
      <c r="V612" s="714"/>
      <c r="W612" s="714"/>
      <c r="X612" s="714"/>
      <c r="Y612" s="714"/>
      <c r="Z612" s="714"/>
      <c r="AA612" s="714"/>
      <c r="AB612" s="714"/>
      <c r="AC612" s="714"/>
      <c r="AD612" s="714"/>
      <c r="AE612" s="714"/>
      <c r="AF612" s="714"/>
      <c r="AG612" s="714"/>
      <c r="AH612" s="714"/>
      <c r="AI612" s="714"/>
      <c r="AJ612" s="714"/>
      <c r="AK612" s="714"/>
      <c r="AL612" s="714"/>
      <c r="AM612" s="714"/>
      <c r="AN612" s="714"/>
      <c r="AO612" s="714"/>
      <c r="AP612" s="715"/>
      <c r="AQ612" s="716"/>
      <c r="AR612" s="708"/>
      <c r="AS612" s="708"/>
    </row>
    <row r="613" spans="1:45" s="712" customFormat="1" ht="12.75" customHeight="1" x14ac:dyDescent="0.25">
      <c r="A613" s="711"/>
      <c r="B613" s="708"/>
      <c r="C613" s="1996"/>
      <c r="D613" s="1997"/>
      <c r="E613" s="1997"/>
      <c r="F613" s="1997"/>
      <c r="G613" s="1997"/>
      <c r="H613" s="1997"/>
      <c r="I613" s="1997"/>
      <c r="J613" s="1997"/>
      <c r="K613" s="1997"/>
      <c r="L613" s="1997"/>
      <c r="M613" s="1997"/>
      <c r="N613" s="1997"/>
      <c r="O613" s="1997"/>
      <c r="P613" s="1997"/>
      <c r="Q613" s="1998"/>
      <c r="R613" s="714"/>
      <c r="S613" s="714"/>
      <c r="T613" s="714"/>
      <c r="U613" s="714"/>
      <c r="V613" s="714"/>
      <c r="W613" s="714"/>
      <c r="X613" s="714"/>
      <c r="Y613" s="714"/>
      <c r="Z613" s="714"/>
      <c r="AA613" s="714"/>
      <c r="AB613" s="714"/>
      <c r="AC613" s="714"/>
      <c r="AD613" s="714"/>
      <c r="AE613" s="714"/>
      <c r="AF613" s="714"/>
      <c r="AG613" s="714"/>
      <c r="AH613" s="714"/>
      <c r="AI613" s="714"/>
      <c r="AJ613" s="714"/>
      <c r="AK613" s="714"/>
      <c r="AL613" s="714"/>
      <c r="AM613" s="714"/>
      <c r="AN613" s="714"/>
      <c r="AO613" s="714"/>
      <c r="AP613" s="715"/>
      <c r="AQ613" s="716"/>
      <c r="AR613" s="708"/>
      <c r="AS613" s="708"/>
    </row>
    <row r="614" spans="1:45" s="712" customFormat="1" ht="12.75" customHeight="1" x14ac:dyDescent="0.25">
      <c r="A614" s="711"/>
      <c r="B614" s="708"/>
      <c r="C614" s="1996"/>
      <c r="D614" s="1997"/>
      <c r="E614" s="1997"/>
      <c r="F614" s="1997"/>
      <c r="G614" s="1997"/>
      <c r="H614" s="1997"/>
      <c r="I614" s="1997"/>
      <c r="J614" s="1997"/>
      <c r="K614" s="1997"/>
      <c r="L614" s="1997"/>
      <c r="M614" s="1997"/>
      <c r="N614" s="1997"/>
      <c r="O614" s="1997"/>
      <c r="P614" s="1997"/>
      <c r="Q614" s="1998"/>
      <c r="R614" s="714"/>
      <c r="S614" s="714"/>
      <c r="T614" s="714"/>
      <c r="U614" s="714"/>
      <c r="V614" s="714"/>
      <c r="W614" s="714"/>
      <c r="X614" s="714"/>
      <c r="Y614" s="714"/>
      <c r="Z614" s="714"/>
      <c r="AA614" s="714"/>
      <c r="AB614" s="714"/>
      <c r="AC614" s="714"/>
      <c r="AD614" s="714"/>
      <c r="AE614" s="714"/>
      <c r="AF614" s="714"/>
      <c r="AG614" s="714"/>
      <c r="AH614" s="714"/>
      <c r="AI614" s="714"/>
      <c r="AJ614" s="714"/>
      <c r="AK614" s="714"/>
      <c r="AL614" s="714"/>
      <c r="AM614" s="714"/>
      <c r="AN614" s="714"/>
      <c r="AO614" s="714"/>
      <c r="AP614" s="715"/>
      <c r="AQ614" s="716"/>
      <c r="AR614" s="708"/>
      <c r="AS614" s="708"/>
    </row>
    <row r="615" spans="1:45" s="712" customFormat="1" ht="12.75" customHeight="1" x14ac:dyDescent="0.25">
      <c r="A615" s="711"/>
      <c r="B615" s="708"/>
      <c r="C615" s="1996"/>
      <c r="D615" s="1997"/>
      <c r="E615" s="1997"/>
      <c r="F615" s="1997"/>
      <c r="G615" s="1997"/>
      <c r="H615" s="1997"/>
      <c r="I615" s="1997"/>
      <c r="J615" s="1997"/>
      <c r="K615" s="1997"/>
      <c r="L615" s="1997"/>
      <c r="M615" s="1997"/>
      <c r="N615" s="1997"/>
      <c r="O615" s="1997"/>
      <c r="P615" s="1997"/>
      <c r="Q615" s="1998"/>
      <c r="R615" s="714"/>
      <c r="S615" s="714"/>
      <c r="T615" s="714"/>
      <c r="U615" s="714"/>
      <c r="V615" s="714"/>
      <c r="W615" s="714"/>
      <c r="X615" s="714"/>
      <c r="Y615" s="714"/>
      <c r="Z615" s="714"/>
      <c r="AA615" s="714"/>
      <c r="AB615" s="714"/>
      <c r="AC615" s="714"/>
      <c r="AD615" s="714"/>
      <c r="AE615" s="714"/>
      <c r="AF615" s="714"/>
      <c r="AG615" s="714"/>
      <c r="AH615" s="714"/>
      <c r="AI615" s="714"/>
      <c r="AJ615" s="714"/>
      <c r="AK615" s="714"/>
      <c r="AL615" s="714"/>
      <c r="AM615" s="714"/>
      <c r="AN615" s="714"/>
      <c r="AO615" s="714"/>
      <c r="AP615" s="715"/>
      <c r="AQ615" s="716"/>
      <c r="AR615" s="708"/>
      <c r="AS615" s="708"/>
    </row>
    <row r="616" spans="1:45" s="712" customFormat="1" ht="12.75" customHeight="1" x14ac:dyDescent="0.25">
      <c r="A616" s="711"/>
      <c r="B616" s="708"/>
      <c r="C616" s="1996"/>
      <c r="D616" s="1997"/>
      <c r="E616" s="1997"/>
      <c r="F616" s="1997"/>
      <c r="G616" s="1997"/>
      <c r="H616" s="1997"/>
      <c r="I616" s="1997"/>
      <c r="J616" s="1997"/>
      <c r="K616" s="1997"/>
      <c r="L616" s="1997"/>
      <c r="M616" s="1997"/>
      <c r="N616" s="1997"/>
      <c r="O616" s="1997"/>
      <c r="P616" s="1997"/>
      <c r="Q616" s="1998"/>
      <c r="R616" s="714"/>
      <c r="S616" s="714"/>
      <c r="T616" s="714"/>
      <c r="U616" s="714"/>
      <c r="V616" s="714"/>
      <c r="W616" s="714"/>
      <c r="X616" s="714"/>
      <c r="Y616" s="714"/>
      <c r="Z616" s="714"/>
      <c r="AA616" s="714"/>
      <c r="AB616" s="714"/>
      <c r="AC616" s="714"/>
      <c r="AD616" s="714"/>
      <c r="AE616" s="714"/>
      <c r="AF616" s="714"/>
      <c r="AG616" s="714"/>
      <c r="AH616" s="714"/>
      <c r="AI616" s="714"/>
      <c r="AJ616" s="714"/>
      <c r="AK616" s="714"/>
      <c r="AL616" s="714"/>
      <c r="AM616" s="714"/>
      <c r="AN616" s="714"/>
      <c r="AO616" s="714"/>
      <c r="AP616" s="715"/>
      <c r="AQ616" s="716"/>
      <c r="AR616" s="708"/>
      <c r="AS616" s="708"/>
    </row>
    <row r="617" spans="1:45" s="712" customFormat="1" ht="12.75" customHeight="1" x14ac:dyDescent="0.25">
      <c r="A617" s="711"/>
      <c r="B617" s="708"/>
      <c r="C617" s="1996"/>
      <c r="D617" s="1997"/>
      <c r="E617" s="1997"/>
      <c r="F617" s="1997"/>
      <c r="G617" s="1997"/>
      <c r="H617" s="1997"/>
      <c r="I617" s="1997"/>
      <c r="J617" s="1997"/>
      <c r="K617" s="1997"/>
      <c r="L617" s="1997"/>
      <c r="M617" s="1997"/>
      <c r="N617" s="1997"/>
      <c r="O617" s="1997"/>
      <c r="P617" s="1997"/>
      <c r="Q617" s="1998"/>
      <c r="R617" s="714"/>
      <c r="S617" s="714"/>
      <c r="T617" s="714"/>
      <c r="U617" s="714"/>
      <c r="V617" s="714"/>
      <c r="W617" s="714"/>
      <c r="X617" s="714"/>
      <c r="Y617" s="714"/>
      <c r="Z617" s="714"/>
      <c r="AA617" s="714"/>
      <c r="AB617" s="714"/>
      <c r="AC617" s="714"/>
      <c r="AD617" s="714"/>
      <c r="AE617" s="714"/>
      <c r="AF617" s="714"/>
      <c r="AG617" s="714"/>
      <c r="AH617" s="714"/>
      <c r="AI617" s="714"/>
      <c r="AJ617" s="714"/>
      <c r="AK617" s="714"/>
      <c r="AL617" s="714"/>
      <c r="AM617" s="714"/>
      <c r="AN617" s="714"/>
      <c r="AO617" s="714"/>
      <c r="AP617" s="715"/>
      <c r="AQ617" s="716"/>
      <c r="AR617" s="708"/>
      <c r="AS617" s="708"/>
    </row>
    <row r="618" spans="1:45" s="712" customFormat="1" ht="12.75" customHeight="1" x14ac:dyDescent="0.25">
      <c r="A618" s="711"/>
      <c r="B618" s="708"/>
      <c r="C618" s="1999"/>
      <c r="D618" s="2000"/>
      <c r="E618" s="2000"/>
      <c r="F618" s="2000"/>
      <c r="G618" s="2000"/>
      <c r="H618" s="2000"/>
      <c r="I618" s="2000"/>
      <c r="J618" s="2000"/>
      <c r="K618" s="2000"/>
      <c r="L618" s="2000"/>
      <c r="M618" s="2000"/>
      <c r="N618" s="2000"/>
      <c r="O618" s="2000"/>
      <c r="P618" s="2000"/>
      <c r="Q618" s="2001"/>
      <c r="R618" s="714"/>
      <c r="S618" s="714"/>
      <c r="T618" s="714"/>
      <c r="U618" s="714"/>
      <c r="V618" s="714"/>
      <c r="W618" s="714"/>
      <c r="X618" s="714"/>
      <c r="Y618" s="714"/>
      <c r="Z618" s="714"/>
      <c r="AA618" s="714"/>
      <c r="AB618" s="714"/>
      <c r="AC618" s="714"/>
      <c r="AD618" s="714"/>
      <c r="AE618" s="714"/>
      <c r="AF618" s="714"/>
      <c r="AG618" s="714"/>
      <c r="AH618" s="714"/>
      <c r="AI618" s="714"/>
      <c r="AJ618" s="714"/>
      <c r="AK618" s="714"/>
      <c r="AL618" s="714"/>
      <c r="AM618" s="714"/>
      <c r="AN618" s="714"/>
      <c r="AO618" s="714"/>
      <c r="AP618" s="715"/>
      <c r="AQ618" s="716"/>
      <c r="AR618" s="708"/>
      <c r="AS618" s="708"/>
    </row>
    <row r="619" spans="1:45" s="708" customFormat="1" ht="12.75" customHeight="1" x14ac:dyDescent="0.25">
      <c r="A619" s="8"/>
      <c r="B619" s="8"/>
      <c r="C619" s="8"/>
      <c r="D619" s="1158"/>
      <c r="E619" s="1158"/>
      <c r="F619" s="1158"/>
      <c r="G619" s="1158"/>
      <c r="H619" s="1158"/>
      <c r="I619" s="1158"/>
      <c r="J619" s="1156"/>
      <c r="K619" s="1156"/>
      <c r="L619" s="1156"/>
      <c r="M619" s="1156"/>
      <c r="N619" s="1191"/>
      <c r="O619" s="1191"/>
      <c r="P619" s="1192"/>
      <c r="Q619" s="1192"/>
      <c r="R619" s="8"/>
      <c r="S619" s="8"/>
      <c r="T619" s="8"/>
      <c r="U619" s="8"/>
      <c r="V619" s="714"/>
      <c r="W619" s="714"/>
      <c r="X619" s="714"/>
      <c r="Y619" s="714"/>
      <c r="Z619" s="714"/>
      <c r="AA619" s="714"/>
      <c r="AB619" s="714"/>
      <c r="AC619" s="714"/>
      <c r="AD619" s="714"/>
      <c r="AE619" s="714"/>
      <c r="AF619" s="714"/>
      <c r="AG619" s="714"/>
      <c r="AH619" s="714"/>
      <c r="AI619" s="714"/>
      <c r="AJ619" s="714"/>
      <c r="AK619" s="714"/>
      <c r="AL619" s="714"/>
      <c r="AM619" s="714"/>
      <c r="AN619" s="714"/>
      <c r="AO619" s="714"/>
      <c r="AP619" s="714"/>
      <c r="AQ619" s="716"/>
    </row>
    <row r="620" spans="1:45" s="708" customFormat="1" ht="12.75" customHeight="1" x14ac:dyDescent="0.25">
      <c r="A620" s="8"/>
      <c r="B620" s="8"/>
      <c r="C620" s="8"/>
      <c r="D620" s="1158"/>
      <c r="E620" s="1158"/>
      <c r="F620" s="1158"/>
      <c r="G620" s="1158"/>
      <c r="H620" s="1158"/>
      <c r="I620" s="1158"/>
      <c r="J620" s="1156"/>
      <c r="K620" s="1156"/>
      <c r="L620" s="1156"/>
      <c r="M620" s="1156"/>
      <c r="N620" s="1191"/>
      <c r="O620" s="1191"/>
      <c r="P620" s="1192"/>
      <c r="Q620" s="1192"/>
      <c r="R620" s="8"/>
      <c r="S620" s="8"/>
      <c r="T620" s="8"/>
      <c r="U620" s="8"/>
      <c r="V620" s="714"/>
      <c r="W620" s="714"/>
      <c r="X620" s="714"/>
      <c r="Y620" s="714"/>
      <c r="Z620" s="714"/>
      <c r="AA620" s="714"/>
      <c r="AB620" s="714"/>
      <c r="AC620" s="714"/>
      <c r="AD620" s="714"/>
      <c r="AE620" s="714"/>
      <c r="AF620" s="714"/>
      <c r="AG620" s="714"/>
      <c r="AH620" s="714"/>
      <c r="AI620" s="714"/>
      <c r="AJ620" s="714"/>
      <c r="AK620" s="714"/>
      <c r="AL620" s="714"/>
      <c r="AM620" s="714"/>
      <c r="AN620" s="714"/>
      <c r="AO620" s="714"/>
      <c r="AP620" s="714"/>
      <c r="AQ620" s="716"/>
    </row>
    <row r="621" spans="1:45" s="708" customFormat="1" ht="12.75" customHeight="1" x14ac:dyDescent="0.25">
      <c r="A621" s="8"/>
      <c r="B621" s="8"/>
      <c r="C621" s="8"/>
      <c r="D621" s="1158"/>
      <c r="E621" s="1158"/>
      <c r="F621" s="1158"/>
      <c r="G621" s="1158"/>
      <c r="H621" s="1158"/>
      <c r="I621" s="1158"/>
      <c r="J621" s="1156"/>
      <c r="K621" s="1156"/>
      <c r="L621" s="1156"/>
      <c r="M621" s="1156"/>
      <c r="N621" s="1191"/>
      <c r="O621" s="1191"/>
      <c r="P621" s="1192"/>
      <c r="Q621" s="1192"/>
      <c r="R621" s="8"/>
      <c r="S621" s="8"/>
      <c r="T621" s="8"/>
      <c r="U621" s="8"/>
      <c r="V621" s="714"/>
      <c r="W621" s="714"/>
      <c r="X621" s="714"/>
      <c r="Y621" s="714"/>
      <c r="Z621" s="714"/>
      <c r="AA621" s="714"/>
      <c r="AB621" s="714"/>
      <c r="AC621" s="714"/>
      <c r="AD621" s="714"/>
      <c r="AE621" s="714"/>
      <c r="AF621" s="714"/>
      <c r="AG621" s="714"/>
      <c r="AH621" s="714"/>
      <c r="AI621" s="714"/>
      <c r="AJ621" s="714"/>
      <c r="AK621" s="714"/>
      <c r="AL621" s="714"/>
      <c r="AM621" s="714"/>
      <c r="AN621" s="714"/>
      <c r="AO621" s="714"/>
      <c r="AP621" s="714"/>
      <c r="AQ621" s="716"/>
    </row>
    <row r="622" spans="1:45" s="708" customFormat="1" ht="12.75" customHeight="1" x14ac:dyDescent="0.25">
      <c r="A622" s="8"/>
      <c r="B622" s="8"/>
      <c r="C622" s="8"/>
      <c r="D622" s="1158"/>
      <c r="E622" s="1158"/>
      <c r="F622" s="1158"/>
      <c r="G622" s="1158"/>
      <c r="H622" s="1158"/>
      <c r="I622" s="1158"/>
      <c r="J622" s="1156"/>
      <c r="K622" s="1156"/>
      <c r="L622" s="1156"/>
      <c r="M622" s="1156"/>
      <c r="N622" s="1191"/>
      <c r="O622" s="1191"/>
      <c r="P622" s="1192"/>
      <c r="Q622" s="1192"/>
      <c r="R622" s="8"/>
      <c r="S622" s="8"/>
      <c r="T622" s="8"/>
      <c r="U622" s="8"/>
      <c r="V622" s="714"/>
      <c r="W622" s="714"/>
      <c r="X622" s="714"/>
      <c r="Y622" s="714"/>
      <c r="Z622" s="714"/>
      <c r="AA622" s="714"/>
      <c r="AB622" s="714"/>
      <c r="AC622" s="714"/>
      <c r="AD622" s="714"/>
      <c r="AE622" s="714"/>
      <c r="AF622" s="714"/>
      <c r="AG622" s="714"/>
      <c r="AH622" s="714"/>
      <c r="AI622" s="714"/>
      <c r="AJ622" s="714"/>
      <c r="AK622" s="714"/>
      <c r="AL622" s="714"/>
      <c r="AM622" s="714"/>
      <c r="AN622" s="714"/>
      <c r="AO622" s="714"/>
      <c r="AP622" s="714"/>
      <c r="AQ622" s="716"/>
    </row>
    <row r="623" spans="1:45" s="708" customFormat="1" ht="12.75" customHeight="1" x14ac:dyDescent="0.25">
      <c r="A623" s="8"/>
      <c r="B623" s="8"/>
      <c r="C623" s="8"/>
      <c r="D623" s="1158"/>
      <c r="E623" s="1158"/>
      <c r="F623" s="1158"/>
      <c r="G623" s="1158"/>
      <c r="H623" s="1158"/>
      <c r="I623" s="1158"/>
      <c r="J623" s="1156"/>
      <c r="K623" s="1156"/>
      <c r="L623" s="1156"/>
      <c r="M623" s="1156"/>
      <c r="N623" s="1191"/>
      <c r="O623" s="1191"/>
      <c r="P623" s="1192"/>
      <c r="Q623" s="1192"/>
      <c r="R623" s="8"/>
      <c r="S623" s="8"/>
      <c r="T623" s="8"/>
      <c r="U623" s="8"/>
      <c r="V623" s="714"/>
      <c r="W623" s="714"/>
      <c r="X623" s="714"/>
      <c r="Y623" s="714"/>
      <c r="Z623" s="714"/>
      <c r="AA623" s="714"/>
      <c r="AB623" s="714"/>
      <c r="AC623" s="714"/>
      <c r="AD623" s="714"/>
      <c r="AE623" s="714"/>
      <c r="AF623" s="714"/>
      <c r="AG623" s="714"/>
      <c r="AH623" s="714"/>
      <c r="AI623" s="714"/>
      <c r="AJ623" s="714"/>
      <c r="AK623" s="714"/>
      <c r="AL623" s="714"/>
      <c r="AM623" s="714"/>
      <c r="AN623" s="714"/>
      <c r="AO623" s="714"/>
      <c r="AP623" s="714"/>
      <c r="AQ623" s="716"/>
    </row>
    <row r="624" spans="1:45" s="708" customFormat="1" ht="12.75" customHeight="1" x14ac:dyDescent="0.25">
      <c r="A624" s="8"/>
      <c r="B624" s="8"/>
      <c r="C624" s="8"/>
      <c r="D624" s="1158"/>
      <c r="E624" s="1158"/>
      <c r="F624" s="1158"/>
      <c r="G624" s="1158"/>
      <c r="H624" s="1158"/>
      <c r="I624" s="1158"/>
      <c r="J624" s="1156"/>
      <c r="K624" s="1156"/>
      <c r="L624" s="1156"/>
      <c r="M624" s="1156"/>
      <c r="N624" s="1191"/>
      <c r="O624" s="1191"/>
      <c r="P624" s="1192"/>
      <c r="Q624" s="1192"/>
      <c r="R624" s="8"/>
      <c r="S624" s="8"/>
      <c r="T624" s="8"/>
      <c r="U624" s="8"/>
      <c r="V624" s="714"/>
      <c r="W624" s="714"/>
      <c r="X624" s="714"/>
      <c r="Y624" s="714"/>
      <c r="Z624" s="714"/>
      <c r="AA624" s="714"/>
      <c r="AB624" s="714"/>
      <c r="AC624" s="714"/>
      <c r="AD624" s="714"/>
      <c r="AE624" s="714"/>
      <c r="AF624" s="714"/>
      <c r="AG624" s="714"/>
      <c r="AH624" s="714"/>
      <c r="AI624" s="714"/>
      <c r="AJ624" s="714"/>
      <c r="AK624" s="714"/>
      <c r="AL624" s="714"/>
      <c r="AM624" s="714"/>
      <c r="AN624" s="714"/>
      <c r="AO624" s="714"/>
      <c r="AP624" s="714"/>
      <c r="AQ624" s="716"/>
    </row>
    <row r="625" spans="1:43" s="708" customFormat="1" ht="12.75" customHeight="1" x14ac:dyDescent="0.25">
      <c r="A625" s="8"/>
      <c r="B625" s="8"/>
      <c r="C625" s="8"/>
      <c r="D625" s="1158"/>
      <c r="E625" s="1158"/>
      <c r="F625" s="1158"/>
      <c r="G625" s="1158"/>
      <c r="H625" s="1158"/>
      <c r="I625" s="1158"/>
      <c r="J625" s="1156"/>
      <c r="K625" s="1156"/>
      <c r="L625" s="1156"/>
      <c r="M625" s="1156"/>
      <c r="N625" s="1191"/>
      <c r="O625" s="1191"/>
      <c r="P625" s="1192"/>
      <c r="Q625" s="1192"/>
      <c r="R625" s="8"/>
      <c r="S625" s="8"/>
      <c r="T625" s="8"/>
      <c r="U625" s="8"/>
      <c r="V625" s="714"/>
      <c r="W625" s="714"/>
      <c r="X625" s="714"/>
      <c r="Y625" s="714"/>
      <c r="Z625" s="714"/>
      <c r="AA625" s="714"/>
      <c r="AB625" s="714"/>
      <c r="AC625" s="714"/>
      <c r="AD625" s="714"/>
      <c r="AE625" s="714"/>
      <c r="AF625" s="714"/>
      <c r="AG625" s="714"/>
      <c r="AH625" s="714"/>
      <c r="AI625" s="714"/>
      <c r="AJ625" s="714"/>
      <c r="AK625" s="714"/>
      <c r="AL625" s="714"/>
      <c r="AM625" s="714"/>
      <c r="AN625" s="714"/>
      <c r="AO625" s="714"/>
      <c r="AP625" s="714"/>
      <c r="AQ625" s="716"/>
    </row>
    <row r="626" spans="1:43" s="708" customFormat="1" ht="12.75" customHeight="1" x14ac:dyDescent="0.25">
      <c r="A626" s="8"/>
      <c r="B626" s="8"/>
      <c r="C626" s="8"/>
      <c r="D626" s="1158"/>
      <c r="E626" s="1158"/>
      <c r="F626" s="1158"/>
      <c r="G626" s="1158"/>
      <c r="H626" s="1158"/>
      <c r="I626" s="1158"/>
      <c r="J626" s="1156"/>
      <c r="K626" s="1156"/>
      <c r="L626" s="1156"/>
      <c r="M626" s="1156"/>
      <c r="N626" s="1191"/>
      <c r="O626" s="1191"/>
      <c r="P626" s="1192"/>
      <c r="Q626" s="1192"/>
      <c r="R626" s="8"/>
      <c r="S626" s="8"/>
      <c r="T626" s="8"/>
      <c r="U626" s="8"/>
      <c r="V626" s="714"/>
      <c r="W626" s="714"/>
      <c r="X626" s="714"/>
      <c r="Y626" s="714"/>
      <c r="Z626" s="714"/>
      <c r="AA626" s="714"/>
      <c r="AB626" s="714"/>
      <c r="AC626" s="714"/>
      <c r="AD626" s="714"/>
      <c r="AE626" s="714"/>
      <c r="AF626" s="714"/>
      <c r="AG626" s="714"/>
      <c r="AH626" s="714"/>
      <c r="AI626" s="714"/>
      <c r="AJ626" s="714"/>
      <c r="AK626" s="714"/>
      <c r="AL626" s="714"/>
      <c r="AM626" s="714"/>
      <c r="AN626" s="714"/>
      <c r="AO626" s="714"/>
      <c r="AP626" s="714"/>
      <c r="AQ626" s="716"/>
    </row>
    <row r="627" spans="1:43" s="708" customFormat="1" ht="12.75" customHeight="1" x14ac:dyDescent="0.25">
      <c r="A627" s="8"/>
      <c r="B627" s="8"/>
      <c r="C627" s="8"/>
      <c r="D627" s="1158"/>
      <c r="E627" s="1158"/>
      <c r="F627" s="1158"/>
      <c r="G627" s="1158"/>
      <c r="H627" s="1158"/>
      <c r="I627" s="1158"/>
      <c r="J627" s="1156"/>
      <c r="K627" s="1156"/>
      <c r="L627" s="1156"/>
      <c r="M627" s="1156"/>
      <c r="N627" s="1191"/>
      <c r="O627" s="1191"/>
      <c r="P627" s="1192"/>
      <c r="Q627" s="1192"/>
      <c r="R627" s="8"/>
      <c r="S627" s="8"/>
      <c r="T627" s="8"/>
      <c r="U627" s="8"/>
      <c r="V627" s="714"/>
      <c r="W627" s="714"/>
      <c r="X627" s="714"/>
      <c r="Y627" s="714"/>
      <c r="Z627" s="714"/>
      <c r="AA627" s="714"/>
      <c r="AB627" s="714"/>
      <c r="AC627" s="714"/>
      <c r="AD627" s="714"/>
      <c r="AE627" s="714"/>
      <c r="AF627" s="714"/>
      <c r="AG627" s="714"/>
      <c r="AH627" s="714"/>
      <c r="AI627" s="714"/>
      <c r="AJ627" s="714"/>
      <c r="AK627" s="714"/>
      <c r="AL627" s="714"/>
      <c r="AM627" s="714"/>
      <c r="AN627" s="714"/>
      <c r="AO627" s="714"/>
      <c r="AP627" s="714"/>
      <c r="AQ627" s="716"/>
    </row>
    <row r="628" spans="1:43" s="708" customFormat="1" ht="12.75" customHeight="1" x14ac:dyDescent="0.25">
      <c r="A628" s="8"/>
      <c r="B628" s="8"/>
      <c r="C628" s="8"/>
      <c r="D628" s="1158"/>
      <c r="E628" s="1158"/>
      <c r="F628" s="1158"/>
      <c r="G628" s="1158"/>
      <c r="H628" s="1158"/>
      <c r="I628" s="1158"/>
      <c r="J628" s="1156"/>
      <c r="K628" s="1156"/>
      <c r="L628" s="1156"/>
      <c r="M628" s="1156"/>
      <c r="N628" s="1191"/>
      <c r="O628" s="1191"/>
      <c r="P628" s="1192"/>
      <c r="Q628" s="1192"/>
      <c r="R628" s="8"/>
      <c r="S628" s="8"/>
      <c r="T628" s="8"/>
      <c r="U628" s="8"/>
      <c r="V628" s="714"/>
      <c r="W628" s="714"/>
      <c r="X628" s="714"/>
      <c r="Y628" s="714"/>
      <c r="Z628" s="714"/>
      <c r="AA628" s="714"/>
      <c r="AB628" s="714"/>
      <c r="AC628" s="714"/>
      <c r="AD628" s="714"/>
      <c r="AE628" s="714"/>
      <c r="AF628" s="714"/>
      <c r="AG628" s="714"/>
      <c r="AH628" s="714"/>
      <c r="AI628" s="714"/>
      <c r="AJ628" s="714"/>
      <c r="AK628" s="714"/>
      <c r="AL628" s="714"/>
      <c r="AM628" s="714"/>
      <c r="AN628" s="714"/>
      <c r="AO628" s="714"/>
      <c r="AP628" s="714"/>
      <c r="AQ628" s="716"/>
    </row>
    <row r="629" spans="1:43" s="708" customFormat="1" ht="12.75" customHeight="1" x14ac:dyDescent="0.25">
      <c r="A629" s="8"/>
      <c r="B629" s="8"/>
      <c r="C629" s="8"/>
      <c r="D629" s="1158"/>
      <c r="E629" s="1158"/>
      <c r="F629" s="1158"/>
      <c r="G629" s="1158"/>
      <c r="H629" s="1158"/>
      <c r="I629" s="1158"/>
      <c r="J629" s="1156"/>
      <c r="K629" s="1156"/>
      <c r="L629" s="1156"/>
      <c r="M629" s="1156"/>
      <c r="N629" s="1191"/>
      <c r="O629" s="1191"/>
      <c r="P629" s="1192"/>
      <c r="Q629" s="1192"/>
      <c r="R629" s="8"/>
      <c r="S629" s="8"/>
      <c r="T629" s="8"/>
      <c r="U629" s="8"/>
      <c r="V629" s="714"/>
      <c r="W629" s="714"/>
      <c r="X629" s="714"/>
      <c r="Y629" s="714"/>
      <c r="Z629" s="714"/>
      <c r="AA629" s="714"/>
      <c r="AB629" s="714"/>
      <c r="AC629" s="714"/>
      <c r="AD629" s="714"/>
      <c r="AE629" s="714"/>
      <c r="AF629" s="714"/>
      <c r="AG629" s="714"/>
      <c r="AH629" s="714"/>
      <c r="AI629" s="714"/>
      <c r="AJ629" s="714"/>
      <c r="AK629" s="714"/>
      <c r="AL629" s="714"/>
      <c r="AM629" s="714"/>
      <c r="AN629" s="714"/>
      <c r="AO629" s="714"/>
      <c r="AP629" s="714"/>
      <c r="AQ629" s="716"/>
    </row>
    <row r="630" spans="1:43" s="708" customFormat="1" ht="12.75" customHeight="1" x14ac:dyDescent="0.25">
      <c r="A630" s="8"/>
      <c r="B630" s="8"/>
      <c r="C630" s="8"/>
      <c r="D630" s="1158"/>
      <c r="E630" s="1158"/>
      <c r="F630" s="1158"/>
      <c r="G630" s="1158"/>
      <c r="H630" s="1158"/>
      <c r="I630" s="1158"/>
      <c r="J630" s="1156"/>
      <c r="K630" s="1156"/>
      <c r="L630" s="1156"/>
      <c r="M630" s="1156"/>
      <c r="N630" s="1191"/>
      <c r="O630" s="1191"/>
      <c r="P630" s="1192"/>
      <c r="Q630" s="1192"/>
      <c r="R630" s="8"/>
      <c r="S630" s="8"/>
      <c r="T630" s="8"/>
      <c r="U630" s="8"/>
      <c r="V630" s="714"/>
      <c r="W630" s="714"/>
      <c r="X630" s="714"/>
      <c r="Y630" s="714"/>
      <c r="Z630" s="714"/>
      <c r="AA630" s="714"/>
      <c r="AB630" s="714"/>
      <c r="AC630" s="714"/>
      <c r="AD630" s="714"/>
      <c r="AE630" s="714"/>
      <c r="AF630" s="714"/>
      <c r="AG630" s="714"/>
      <c r="AH630" s="714"/>
      <c r="AI630" s="714"/>
      <c r="AJ630" s="714"/>
      <c r="AK630" s="714"/>
      <c r="AL630" s="714"/>
      <c r="AM630" s="714"/>
      <c r="AN630" s="714"/>
      <c r="AO630" s="714"/>
      <c r="AP630" s="714"/>
      <c r="AQ630" s="716"/>
    </row>
    <row r="631" spans="1:43" ht="12.75" customHeight="1" x14ac:dyDescent="0.25"/>
    <row r="632" spans="1:43" ht="12.75" customHeight="1" x14ac:dyDescent="0.25"/>
    <row r="633" spans="1:43" ht="12.75" customHeight="1" x14ac:dyDescent="0.25"/>
    <row r="634" spans="1:43" ht="12.75" hidden="1" customHeight="1" x14ac:dyDescent="0.25"/>
    <row r="635" spans="1:43" ht="12.75" hidden="1" customHeight="1" x14ac:dyDescent="0.25"/>
    <row r="636" spans="1:43" ht="12.75" hidden="1" customHeight="1" x14ac:dyDescent="0.25"/>
    <row r="637" spans="1:43" ht="12.75" hidden="1" customHeight="1" x14ac:dyDescent="0.25"/>
    <row r="638" spans="1:43" ht="12.75" hidden="1" customHeight="1" x14ac:dyDescent="0.25"/>
    <row r="639" spans="1:43" ht="12.75" hidden="1" customHeight="1" x14ac:dyDescent="0.25"/>
    <row r="640" spans="1:43" ht="12.75" hidden="1" customHeight="1" x14ac:dyDescent="0.25"/>
    <row r="641" ht="12.75" hidden="1" customHeight="1" x14ac:dyDescent="0.25"/>
    <row r="642" ht="12.75" hidden="1" customHeight="1" x14ac:dyDescent="0.25"/>
    <row r="643" ht="12.75" hidden="1" customHeight="1" x14ac:dyDescent="0.25"/>
    <row r="644" ht="12.75" hidden="1" customHeight="1" x14ac:dyDescent="0.25"/>
    <row r="645" ht="12.75" hidden="1" customHeight="1" x14ac:dyDescent="0.25"/>
    <row r="646" ht="12.75" hidden="1" customHeight="1" x14ac:dyDescent="0.25"/>
    <row r="647" ht="12.75" hidden="1" customHeight="1" x14ac:dyDescent="0.25"/>
    <row r="648" ht="12.75" hidden="1" customHeight="1" x14ac:dyDescent="0.25"/>
    <row r="649" ht="12.75" hidden="1" customHeight="1" x14ac:dyDescent="0.25"/>
    <row r="650" ht="12.75" hidden="1" customHeight="1" x14ac:dyDescent="0.25"/>
    <row r="651" ht="12.75" hidden="1" customHeight="1" x14ac:dyDescent="0.25"/>
    <row r="652" ht="12.75" hidden="1" customHeight="1" x14ac:dyDescent="0.25"/>
    <row r="653" ht="12.75" hidden="1" customHeight="1" x14ac:dyDescent="0.25"/>
    <row r="654" ht="12.75" hidden="1" customHeight="1" x14ac:dyDescent="0.25"/>
    <row r="655" ht="12.75" hidden="1" customHeight="1" x14ac:dyDescent="0.25"/>
    <row r="656" ht="12.75" hidden="1" customHeight="1" x14ac:dyDescent="0.25"/>
    <row r="657" ht="12.75" hidden="1" customHeight="1" x14ac:dyDescent="0.25"/>
    <row r="658" ht="12.75" hidden="1" customHeight="1" x14ac:dyDescent="0.25"/>
    <row r="659" ht="12.75" hidden="1" customHeight="1" x14ac:dyDescent="0.25"/>
    <row r="660" ht="12.75" hidden="1" customHeight="1" x14ac:dyDescent="0.25"/>
    <row r="661" ht="12.75" hidden="1" customHeight="1" x14ac:dyDescent="0.25"/>
    <row r="662" ht="12.75" hidden="1" customHeight="1" x14ac:dyDescent="0.25"/>
    <row r="663" ht="12.75" hidden="1" customHeight="1" x14ac:dyDescent="0.25"/>
    <row r="664" ht="12.75" hidden="1" customHeight="1" x14ac:dyDescent="0.25"/>
    <row r="665" ht="12.75" hidden="1" customHeight="1" x14ac:dyDescent="0.25"/>
    <row r="666" ht="12.75" hidden="1" customHeight="1" x14ac:dyDescent="0.25"/>
    <row r="667" ht="12.75" hidden="1" customHeight="1" x14ac:dyDescent="0.25"/>
    <row r="668" ht="12.75" hidden="1" customHeight="1" x14ac:dyDescent="0.25"/>
    <row r="669" ht="12.75" hidden="1" customHeight="1" x14ac:dyDescent="0.25"/>
    <row r="670" ht="12.75" hidden="1" customHeight="1" x14ac:dyDescent="0.25"/>
    <row r="671" ht="12.75" hidden="1" customHeight="1" x14ac:dyDescent="0.25"/>
    <row r="672" ht="12.75" hidden="1" customHeight="1" x14ac:dyDescent="0.25"/>
    <row r="673" ht="12.75" hidden="1" customHeight="1" x14ac:dyDescent="0.25"/>
    <row r="674" ht="12.75" hidden="1" customHeight="1" x14ac:dyDescent="0.25"/>
    <row r="675" ht="12.75" hidden="1" customHeight="1" x14ac:dyDescent="0.25"/>
    <row r="676" ht="12.75" hidden="1" customHeight="1" x14ac:dyDescent="0.25"/>
    <row r="677" ht="12.75" hidden="1" customHeight="1" x14ac:dyDescent="0.25"/>
    <row r="678" ht="12.75" hidden="1" customHeight="1" x14ac:dyDescent="0.25"/>
    <row r="679" ht="12.75" hidden="1" customHeight="1" x14ac:dyDescent="0.25"/>
    <row r="680" ht="12.75" hidden="1" customHeight="1" x14ac:dyDescent="0.25"/>
    <row r="681" ht="12.75" hidden="1" customHeight="1" x14ac:dyDescent="0.25"/>
    <row r="682" ht="12.75" hidden="1" customHeight="1" x14ac:dyDescent="0.25"/>
    <row r="683" ht="12.75" hidden="1" customHeight="1" x14ac:dyDescent="0.25"/>
    <row r="684" ht="12.75" hidden="1" customHeight="1" x14ac:dyDescent="0.25"/>
    <row r="685" ht="12.75" hidden="1" customHeight="1" x14ac:dyDescent="0.25"/>
    <row r="686" ht="12.75" hidden="1" customHeight="1" x14ac:dyDescent="0.25"/>
    <row r="687" ht="12.75" hidden="1" customHeight="1" x14ac:dyDescent="0.25"/>
    <row r="688" ht="12.75" hidden="1" customHeight="1" x14ac:dyDescent="0.25"/>
    <row r="689" ht="12.75" hidden="1" customHeight="1" x14ac:dyDescent="0.25"/>
    <row r="690" ht="12.75" hidden="1" customHeight="1" x14ac:dyDescent="0.25"/>
    <row r="691" ht="12.75" hidden="1" customHeight="1" x14ac:dyDescent="0.25"/>
    <row r="692" ht="12.75" hidden="1" customHeight="1" x14ac:dyDescent="0.25"/>
    <row r="693" ht="12.75" hidden="1" customHeight="1" x14ac:dyDescent="0.25"/>
    <row r="694" ht="12.75" hidden="1" customHeight="1" x14ac:dyDescent="0.25"/>
    <row r="695" ht="12.75" hidden="1" customHeight="1" x14ac:dyDescent="0.25"/>
    <row r="696" ht="12.75" hidden="1" customHeight="1" x14ac:dyDescent="0.25"/>
    <row r="697" ht="12.75" hidden="1" customHeight="1" x14ac:dyDescent="0.25"/>
    <row r="698" ht="12.75" hidden="1" customHeight="1" x14ac:dyDescent="0.25"/>
    <row r="699" ht="12.75" hidden="1" customHeight="1" x14ac:dyDescent="0.25"/>
    <row r="700" ht="12.75" hidden="1" customHeight="1" x14ac:dyDescent="0.25"/>
    <row r="701" ht="12.75" hidden="1" customHeight="1" x14ac:dyDescent="0.25"/>
    <row r="702" ht="12.75" hidden="1" customHeight="1" x14ac:dyDescent="0.25"/>
    <row r="703" ht="12.75" hidden="1" customHeight="1" x14ac:dyDescent="0.25"/>
    <row r="704" ht="12.75" hidden="1" customHeight="1" x14ac:dyDescent="0.25"/>
    <row r="705" ht="12.75" hidden="1" customHeight="1" x14ac:dyDescent="0.25"/>
    <row r="706" ht="12.75" hidden="1" customHeight="1" x14ac:dyDescent="0.25"/>
    <row r="707" ht="12.75" hidden="1" customHeight="1" x14ac:dyDescent="0.25"/>
    <row r="708" ht="12.75" hidden="1" customHeight="1" x14ac:dyDescent="0.25"/>
    <row r="709" ht="12.75" hidden="1" customHeight="1" x14ac:dyDescent="0.25"/>
    <row r="710" ht="12.75" hidden="1" customHeight="1" x14ac:dyDescent="0.25"/>
    <row r="711" ht="12.75" hidden="1" customHeight="1" x14ac:dyDescent="0.25"/>
    <row r="712" ht="12.75" hidden="1" customHeight="1" x14ac:dyDescent="0.25"/>
    <row r="713" ht="12.75" hidden="1" customHeight="1" x14ac:dyDescent="0.25"/>
    <row r="714" ht="12.75" hidden="1" customHeight="1" x14ac:dyDescent="0.25"/>
    <row r="715" ht="12.75" hidden="1" customHeight="1" x14ac:dyDescent="0.25"/>
    <row r="716" ht="12.75" hidden="1" customHeight="1" x14ac:dyDescent="0.25"/>
    <row r="717" ht="12.75" hidden="1" customHeight="1" x14ac:dyDescent="0.25"/>
    <row r="718" ht="12.75" hidden="1" customHeight="1" x14ac:dyDescent="0.25"/>
    <row r="719" ht="12.75" hidden="1" customHeight="1" x14ac:dyDescent="0.25"/>
    <row r="720" ht="12.75" hidden="1" customHeight="1" x14ac:dyDescent="0.25"/>
    <row r="721" ht="12.75" hidden="1" customHeight="1" x14ac:dyDescent="0.25"/>
    <row r="722" ht="12.75" hidden="1" customHeight="1" x14ac:dyDescent="0.25"/>
    <row r="723" ht="12.75" hidden="1" customHeight="1" x14ac:dyDescent="0.25"/>
    <row r="724" ht="12.75" hidden="1" customHeight="1" x14ac:dyDescent="0.25"/>
    <row r="725" ht="12.75" hidden="1" customHeight="1" x14ac:dyDescent="0.25"/>
    <row r="726" ht="12.75" hidden="1" customHeight="1" x14ac:dyDescent="0.25"/>
    <row r="727" ht="12.75" hidden="1" customHeight="1" x14ac:dyDescent="0.25"/>
    <row r="728" ht="12.75" hidden="1" customHeight="1" x14ac:dyDescent="0.25"/>
    <row r="729" ht="12.75" hidden="1" customHeight="1" x14ac:dyDescent="0.25"/>
    <row r="730" ht="12.75" hidden="1" customHeight="1" x14ac:dyDescent="0.25"/>
    <row r="731" ht="12.75" hidden="1" customHeight="1" x14ac:dyDescent="0.25"/>
    <row r="732" ht="12.75" hidden="1" customHeight="1" x14ac:dyDescent="0.25"/>
    <row r="733" ht="12.75" hidden="1" customHeight="1" x14ac:dyDescent="0.25"/>
    <row r="734" ht="12.75" hidden="1" customHeight="1" x14ac:dyDescent="0.25"/>
    <row r="735" ht="12.75" hidden="1" customHeight="1" x14ac:dyDescent="0.25"/>
    <row r="736" ht="12.75" hidden="1" customHeight="1" x14ac:dyDescent="0.25"/>
    <row r="737" ht="12.75" hidden="1" customHeight="1" x14ac:dyDescent="0.25"/>
    <row r="738" ht="12.75" hidden="1" customHeight="1" x14ac:dyDescent="0.25"/>
    <row r="739" ht="12.75" hidden="1" customHeight="1" x14ac:dyDescent="0.25"/>
    <row r="740" ht="12.75" hidden="1" customHeight="1" x14ac:dyDescent="0.25"/>
    <row r="741" ht="12.75" hidden="1" customHeight="1" x14ac:dyDescent="0.25"/>
    <row r="742" ht="12.75" hidden="1" customHeight="1" x14ac:dyDescent="0.25"/>
    <row r="743" ht="12.75" hidden="1" customHeight="1" x14ac:dyDescent="0.25"/>
    <row r="744" ht="12.75" hidden="1" customHeight="1" x14ac:dyDescent="0.25"/>
    <row r="745" ht="12.75" hidden="1" customHeight="1" x14ac:dyDescent="0.25"/>
    <row r="746" ht="12.75" hidden="1" customHeight="1" x14ac:dyDescent="0.25"/>
    <row r="747" ht="12.75" hidden="1" customHeight="1" x14ac:dyDescent="0.25"/>
    <row r="748" ht="12.75" hidden="1" customHeight="1" x14ac:dyDescent="0.25"/>
    <row r="749" ht="12.75" hidden="1" customHeight="1" x14ac:dyDescent="0.25"/>
    <row r="750" ht="12.75" hidden="1" customHeight="1" x14ac:dyDescent="0.25"/>
    <row r="751" ht="12.75" hidden="1" customHeight="1" x14ac:dyDescent="0.25"/>
    <row r="752" ht="12.75" hidden="1" customHeight="1" x14ac:dyDescent="0.25"/>
    <row r="753" ht="12.75" hidden="1" customHeight="1" x14ac:dyDescent="0.25"/>
    <row r="754" ht="12.75" hidden="1" customHeight="1" x14ac:dyDescent="0.25"/>
    <row r="755" ht="12.75" hidden="1" customHeight="1" x14ac:dyDescent="0.25"/>
    <row r="756" ht="12.75" hidden="1" customHeight="1" x14ac:dyDescent="0.25"/>
    <row r="757" ht="12.75" hidden="1" customHeight="1" x14ac:dyDescent="0.25"/>
    <row r="758" ht="12.75" hidden="1" customHeight="1" x14ac:dyDescent="0.25"/>
    <row r="759" ht="12.75" hidden="1" customHeight="1" x14ac:dyDescent="0.25"/>
    <row r="760" ht="12.75" hidden="1" customHeight="1" x14ac:dyDescent="0.25"/>
    <row r="761" ht="12.75" hidden="1" customHeight="1" x14ac:dyDescent="0.25"/>
    <row r="762" ht="12.75" hidden="1" customHeight="1" x14ac:dyDescent="0.25"/>
    <row r="763" ht="12.75" hidden="1" customHeight="1" x14ac:dyDescent="0.25"/>
    <row r="764" ht="12.75" hidden="1" customHeight="1" x14ac:dyDescent="0.25"/>
    <row r="765" ht="12.75" hidden="1" customHeight="1" x14ac:dyDescent="0.25"/>
    <row r="766" ht="12.75" hidden="1" customHeight="1" x14ac:dyDescent="0.25"/>
    <row r="767" ht="12.75" hidden="1" customHeight="1" x14ac:dyDescent="0.25"/>
    <row r="768" ht="12.75" hidden="1" customHeight="1" x14ac:dyDescent="0.25"/>
    <row r="769" ht="12.75" hidden="1" customHeight="1" x14ac:dyDescent="0.25"/>
    <row r="770" ht="12.75" hidden="1" customHeight="1" x14ac:dyDescent="0.25"/>
    <row r="771" ht="12.75" hidden="1" customHeight="1" x14ac:dyDescent="0.25"/>
    <row r="772" ht="12.75" hidden="1" customHeight="1" x14ac:dyDescent="0.25"/>
    <row r="773" ht="12.75" hidden="1" customHeight="1" x14ac:dyDescent="0.25"/>
    <row r="774" ht="12.75" hidden="1" customHeight="1" x14ac:dyDescent="0.25"/>
    <row r="775" ht="12.75" hidden="1" customHeight="1" x14ac:dyDescent="0.25"/>
    <row r="776" ht="12.75" hidden="1" customHeight="1" x14ac:dyDescent="0.25"/>
    <row r="777" ht="12.75" hidden="1" customHeight="1" x14ac:dyDescent="0.25"/>
    <row r="778" ht="12.75" hidden="1" customHeight="1" x14ac:dyDescent="0.25"/>
    <row r="779" ht="12.75" hidden="1" customHeight="1" x14ac:dyDescent="0.25"/>
    <row r="780" ht="12.75" hidden="1" customHeight="1" x14ac:dyDescent="0.25"/>
    <row r="781" ht="12.75" hidden="1" customHeight="1" x14ac:dyDescent="0.25"/>
    <row r="782" ht="12.75" hidden="1" customHeight="1" x14ac:dyDescent="0.25"/>
    <row r="783" ht="12.75" hidden="1" customHeight="1" x14ac:dyDescent="0.25"/>
    <row r="784" ht="12.75" hidden="1" customHeight="1" x14ac:dyDescent="0.25"/>
    <row r="785" ht="12.75" hidden="1" customHeight="1" x14ac:dyDescent="0.25"/>
    <row r="786" ht="12.75" hidden="1" customHeight="1" x14ac:dyDescent="0.25"/>
    <row r="787" ht="12.75" hidden="1" customHeight="1" x14ac:dyDescent="0.25"/>
    <row r="788" ht="12.75" hidden="1" customHeight="1" x14ac:dyDescent="0.25"/>
    <row r="789" ht="12.75" hidden="1" customHeight="1" x14ac:dyDescent="0.25"/>
    <row r="790" ht="12.75" hidden="1" customHeight="1" x14ac:dyDescent="0.25"/>
    <row r="791" ht="12.75" hidden="1" customHeight="1" x14ac:dyDescent="0.25"/>
    <row r="792" ht="12.75" hidden="1" customHeight="1" x14ac:dyDescent="0.25"/>
    <row r="793" ht="12.75" hidden="1" customHeight="1" x14ac:dyDescent="0.25"/>
    <row r="794" ht="12.75" hidden="1" customHeight="1" x14ac:dyDescent="0.25"/>
    <row r="795" ht="12.75" hidden="1" customHeight="1" x14ac:dyDescent="0.25"/>
    <row r="796" ht="12.75" hidden="1" customHeight="1" x14ac:dyDescent="0.25"/>
    <row r="797" ht="12.75" hidden="1" customHeight="1" x14ac:dyDescent="0.25"/>
    <row r="798" ht="12.75" hidden="1" customHeight="1" x14ac:dyDescent="0.25"/>
    <row r="799" ht="12.75" hidden="1" customHeight="1" x14ac:dyDescent="0.25"/>
    <row r="800" ht="12.75" hidden="1" customHeight="1" x14ac:dyDescent="0.25"/>
    <row r="801" ht="12.75" hidden="1" customHeight="1" x14ac:dyDescent="0.25"/>
    <row r="802" ht="12.75" hidden="1" customHeight="1" x14ac:dyDescent="0.25"/>
    <row r="803" ht="12.75" hidden="1" customHeight="1" x14ac:dyDescent="0.25"/>
    <row r="804" ht="12.75" hidden="1" customHeight="1" x14ac:dyDescent="0.25"/>
    <row r="805" ht="12.75" hidden="1" customHeight="1" x14ac:dyDescent="0.25"/>
    <row r="806" ht="12.75" hidden="1" customHeight="1" x14ac:dyDescent="0.25"/>
    <row r="807" ht="12.75" hidden="1" customHeight="1" x14ac:dyDescent="0.25"/>
    <row r="808" ht="12.75" hidden="1" customHeight="1" x14ac:dyDescent="0.25"/>
    <row r="809" ht="12.75" hidden="1" customHeight="1" x14ac:dyDescent="0.25"/>
    <row r="810" ht="12.75" hidden="1" customHeight="1" x14ac:dyDescent="0.25"/>
    <row r="811" ht="12.75" hidden="1" customHeight="1" x14ac:dyDescent="0.25"/>
    <row r="812" ht="12.75" hidden="1" customHeight="1" x14ac:dyDescent="0.25"/>
    <row r="813" ht="12.75" hidden="1" customHeight="1" x14ac:dyDescent="0.25"/>
    <row r="814" ht="12.75" hidden="1" customHeight="1" x14ac:dyDescent="0.25"/>
    <row r="815" ht="12.75" hidden="1" customHeight="1" x14ac:dyDescent="0.25"/>
    <row r="816" ht="12.75" hidden="1" customHeight="1" x14ac:dyDescent="0.25"/>
    <row r="817" ht="12.75" hidden="1" customHeight="1" x14ac:dyDescent="0.25"/>
    <row r="818" ht="12.75" hidden="1" customHeight="1" x14ac:dyDescent="0.25"/>
    <row r="819" ht="12.75" hidden="1" customHeight="1" x14ac:dyDescent="0.25"/>
    <row r="820" ht="12.75" hidden="1" customHeight="1" x14ac:dyDescent="0.25"/>
    <row r="821" ht="12.75" hidden="1" customHeight="1" x14ac:dyDescent="0.25"/>
    <row r="822" ht="12.75" hidden="1" customHeight="1" x14ac:dyDescent="0.25"/>
    <row r="823" ht="12.75" hidden="1" customHeight="1" x14ac:dyDescent="0.25"/>
    <row r="824" ht="12.75" hidden="1" customHeight="1" x14ac:dyDescent="0.25"/>
    <row r="825" ht="12.75" hidden="1" customHeight="1" x14ac:dyDescent="0.25"/>
    <row r="826" ht="12.75" hidden="1" customHeight="1" x14ac:dyDescent="0.25"/>
    <row r="827" ht="12.75" hidden="1" customHeight="1" x14ac:dyDescent="0.25"/>
    <row r="828" ht="12.75" hidden="1" customHeight="1" x14ac:dyDescent="0.25"/>
    <row r="829" ht="12.75" hidden="1" customHeight="1" x14ac:dyDescent="0.25"/>
    <row r="830" ht="12.75" hidden="1" customHeight="1" x14ac:dyDescent="0.25"/>
    <row r="831" ht="12.75" hidden="1" customHeight="1" x14ac:dyDescent="0.25"/>
    <row r="832" ht="12.75" hidden="1" customHeight="1" x14ac:dyDescent="0.25"/>
    <row r="833" ht="12.75" hidden="1" customHeight="1" x14ac:dyDescent="0.25"/>
    <row r="834" ht="12.75" hidden="1" customHeight="1" x14ac:dyDescent="0.25"/>
    <row r="835" ht="12.75" hidden="1" customHeight="1" x14ac:dyDescent="0.25"/>
    <row r="836" ht="12.75" hidden="1" customHeight="1" x14ac:dyDescent="0.25"/>
    <row r="837" ht="12.75" hidden="1" customHeight="1" x14ac:dyDescent="0.25"/>
    <row r="838" ht="12.75" hidden="1" customHeight="1" x14ac:dyDescent="0.25"/>
    <row r="839" ht="12.75" hidden="1" customHeight="1" x14ac:dyDescent="0.25"/>
    <row r="840" ht="12.75" hidden="1" customHeight="1" x14ac:dyDescent="0.25"/>
    <row r="841" ht="12.75" hidden="1" customHeight="1" x14ac:dyDescent="0.25"/>
    <row r="842" ht="12.75" hidden="1" customHeight="1" x14ac:dyDescent="0.25"/>
    <row r="843" ht="12.75" hidden="1" customHeight="1" x14ac:dyDescent="0.25"/>
    <row r="844" ht="12.75" hidden="1" customHeight="1" x14ac:dyDescent="0.25"/>
    <row r="845" ht="12.75" hidden="1" customHeight="1" x14ac:dyDescent="0.25"/>
    <row r="846" ht="12.75" hidden="1" customHeight="1" x14ac:dyDescent="0.25"/>
    <row r="847" ht="12.75" hidden="1" customHeight="1" x14ac:dyDescent="0.25"/>
    <row r="848" ht="12.75" hidden="1" customHeight="1" x14ac:dyDescent="0.25"/>
    <row r="849" ht="12.75" hidden="1" customHeight="1" x14ac:dyDescent="0.25"/>
    <row r="850" ht="12.75" hidden="1" customHeight="1" x14ac:dyDescent="0.25"/>
    <row r="851" ht="12.75" hidden="1" customHeight="1" x14ac:dyDescent="0.25"/>
    <row r="852" ht="12.75" hidden="1" customHeight="1" x14ac:dyDescent="0.25"/>
    <row r="853" ht="12.75" hidden="1" customHeight="1" x14ac:dyDescent="0.25"/>
    <row r="854" ht="12.75" hidden="1" customHeight="1" x14ac:dyDescent="0.25"/>
    <row r="855" ht="12.75" hidden="1" customHeight="1" x14ac:dyDescent="0.25"/>
    <row r="856" ht="12.75" hidden="1" customHeight="1" x14ac:dyDescent="0.25"/>
    <row r="857" ht="12.75" hidden="1" customHeight="1" x14ac:dyDescent="0.25"/>
    <row r="858" ht="12.75" hidden="1" customHeight="1" x14ac:dyDescent="0.25"/>
    <row r="859" ht="12.75" hidden="1" customHeight="1" x14ac:dyDescent="0.25"/>
    <row r="860" ht="12.75" hidden="1" customHeight="1" x14ac:dyDescent="0.25"/>
    <row r="861" ht="12.75" hidden="1" customHeight="1" x14ac:dyDescent="0.25"/>
    <row r="862" ht="12.75" hidden="1" customHeight="1" x14ac:dyDescent="0.25"/>
    <row r="863" ht="12.75" hidden="1" customHeight="1" x14ac:dyDescent="0.25"/>
    <row r="864" ht="12.75" hidden="1" customHeight="1" x14ac:dyDescent="0.25"/>
    <row r="865" ht="12.75" hidden="1" customHeight="1" x14ac:dyDescent="0.25"/>
    <row r="866" ht="12.75" hidden="1" customHeight="1" x14ac:dyDescent="0.25"/>
    <row r="867" ht="12.75" hidden="1" customHeight="1" x14ac:dyDescent="0.25"/>
    <row r="868" ht="12.75" hidden="1" customHeight="1" x14ac:dyDescent="0.25"/>
    <row r="869" ht="12.75" hidden="1" customHeight="1" x14ac:dyDescent="0.25"/>
    <row r="870" ht="12.75" hidden="1" customHeight="1" x14ac:dyDescent="0.25"/>
    <row r="871" ht="12.75" hidden="1" customHeight="1" x14ac:dyDescent="0.25"/>
    <row r="872" ht="12.75" hidden="1" customHeight="1" x14ac:dyDescent="0.25"/>
    <row r="873" ht="12.75" hidden="1" customHeight="1" x14ac:dyDescent="0.25"/>
    <row r="874" ht="12.75" hidden="1" customHeight="1" x14ac:dyDescent="0.25"/>
    <row r="875" ht="12.75" hidden="1" customHeight="1" x14ac:dyDescent="0.25"/>
    <row r="876" ht="12.75" hidden="1" customHeight="1" x14ac:dyDescent="0.25"/>
    <row r="877" ht="12.75" hidden="1" customHeight="1" x14ac:dyDescent="0.25"/>
    <row r="878" ht="12.75" hidden="1" customHeight="1" x14ac:dyDescent="0.25"/>
    <row r="879" ht="12.75" hidden="1" customHeight="1" x14ac:dyDescent="0.25"/>
    <row r="880" ht="12.75" hidden="1" customHeight="1" x14ac:dyDescent="0.25"/>
    <row r="881" ht="12.75" hidden="1" customHeight="1" x14ac:dyDescent="0.25"/>
    <row r="882" ht="12.75" hidden="1" customHeight="1" x14ac:dyDescent="0.25"/>
    <row r="883" ht="12.75" hidden="1" customHeight="1" x14ac:dyDescent="0.25"/>
    <row r="884" ht="12.75" hidden="1" customHeight="1" x14ac:dyDescent="0.25"/>
    <row r="885" ht="12.75" hidden="1" customHeight="1" x14ac:dyDescent="0.25"/>
    <row r="886" ht="12.75" hidden="1" customHeight="1" x14ac:dyDescent="0.25"/>
    <row r="887" ht="12.75" hidden="1" customHeight="1" x14ac:dyDescent="0.25"/>
    <row r="888" ht="12.75" hidden="1" customHeight="1" x14ac:dyDescent="0.25"/>
    <row r="889" ht="12.75" hidden="1" customHeight="1" x14ac:dyDescent="0.25"/>
    <row r="890" ht="12.75" hidden="1" customHeight="1" x14ac:dyDescent="0.25"/>
    <row r="891" ht="12.75" hidden="1" customHeight="1" x14ac:dyDescent="0.25"/>
    <row r="892" ht="12.75" hidden="1" customHeight="1" x14ac:dyDescent="0.25"/>
    <row r="893" ht="12.75" hidden="1" customHeight="1" x14ac:dyDescent="0.25"/>
    <row r="894" ht="12.75" hidden="1" customHeight="1" x14ac:dyDescent="0.25"/>
    <row r="895" ht="12.75" hidden="1" customHeight="1" x14ac:dyDescent="0.25"/>
    <row r="896" ht="12.75" hidden="1" customHeight="1" x14ac:dyDescent="0.25"/>
    <row r="897" ht="12.75" hidden="1" customHeight="1" x14ac:dyDescent="0.25"/>
    <row r="898" ht="12.75" hidden="1" customHeight="1" x14ac:dyDescent="0.25"/>
    <row r="899" ht="12.75" hidden="1" customHeight="1" x14ac:dyDescent="0.25"/>
    <row r="900" ht="12.75" hidden="1" customHeight="1" x14ac:dyDescent="0.25"/>
    <row r="901" ht="12.75" hidden="1" customHeight="1" x14ac:dyDescent="0.25"/>
    <row r="902" ht="12.75" hidden="1" customHeight="1" x14ac:dyDescent="0.25"/>
    <row r="903" ht="12.75" hidden="1" customHeight="1" x14ac:dyDescent="0.25"/>
    <row r="904" ht="12.75" hidden="1" customHeight="1" x14ac:dyDescent="0.25"/>
    <row r="905" ht="12.75" hidden="1" customHeight="1" x14ac:dyDescent="0.25"/>
    <row r="906" ht="12.75" hidden="1" customHeight="1" x14ac:dyDescent="0.25"/>
    <row r="907" ht="12.75" hidden="1" customHeight="1" x14ac:dyDescent="0.25"/>
    <row r="908" ht="12.75" hidden="1" customHeight="1" x14ac:dyDescent="0.25"/>
    <row r="909" ht="12.75" hidden="1" customHeight="1" x14ac:dyDescent="0.25"/>
    <row r="910" ht="12.75" hidden="1" customHeight="1" x14ac:dyDescent="0.25"/>
    <row r="911" ht="12.75" hidden="1" customHeight="1" x14ac:dyDescent="0.25"/>
    <row r="912" ht="12.75" hidden="1" customHeight="1" x14ac:dyDescent="0.25"/>
    <row r="913" ht="12.75" hidden="1" customHeight="1" x14ac:dyDescent="0.25"/>
    <row r="914" ht="12.75" hidden="1" customHeight="1" x14ac:dyDescent="0.25"/>
    <row r="915" ht="12.75" hidden="1" customHeight="1" x14ac:dyDescent="0.25"/>
    <row r="916" ht="12.75" hidden="1" customHeight="1" x14ac:dyDescent="0.25"/>
    <row r="917" ht="12.75" hidden="1" customHeight="1" x14ac:dyDescent="0.25"/>
    <row r="918" ht="12.75" hidden="1" customHeight="1" x14ac:dyDescent="0.25"/>
    <row r="919" ht="12.75" hidden="1" customHeight="1" x14ac:dyDescent="0.25"/>
    <row r="920" ht="12.75" hidden="1" customHeight="1" x14ac:dyDescent="0.25"/>
    <row r="921" ht="12.75" hidden="1" customHeight="1" x14ac:dyDescent="0.25"/>
    <row r="922" ht="12.75" hidden="1" customHeight="1" x14ac:dyDescent="0.25"/>
    <row r="923" ht="12.75" hidden="1" customHeight="1" x14ac:dyDescent="0.25"/>
    <row r="924" ht="12.75" hidden="1" customHeight="1" x14ac:dyDescent="0.25"/>
    <row r="925" ht="12.75" hidden="1" customHeight="1" x14ac:dyDescent="0.25"/>
    <row r="926" ht="12.75" hidden="1" customHeight="1" x14ac:dyDescent="0.25"/>
    <row r="927" ht="12.75" hidden="1" customHeight="1" x14ac:dyDescent="0.25"/>
    <row r="928" ht="12.75" hidden="1" customHeight="1" x14ac:dyDescent="0.25"/>
    <row r="929" ht="12.75" hidden="1" customHeight="1" x14ac:dyDescent="0.25"/>
    <row r="930" ht="12.75" hidden="1" customHeight="1" x14ac:dyDescent="0.25"/>
    <row r="931" ht="12.75" hidden="1" customHeight="1" x14ac:dyDescent="0.25"/>
    <row r="932" ht="12.75" hidden="1" customHeight="1" x14ac:dyDescent="0.25"/>
    <row r="933" ht="12.75" hidden="1" customHeight="1" x14ac:dyDescent="0.25"/>
    <row r="934" ht="12.75" hidden="1" customHeight="1" x14ac:dyDescent="0.25"/>
    <row r="935" ht="12.75" hidden="1" customHeight="1" x14ac:dyDescent="0.25"/>
    <row r="936" ht="12.75" hidden="1" customHeight="1" x14ac:dyDescent="0.25"/>
    <row r="937" ht="12.75" hidden="1" customHeight="1" x14ac:dyDescent="0.25"/>
    <row r="938" ht="12.75" hidden="1" customHeight="1" x14ac:dyDescent="0.25"/>
    <row r="939" ht="12.75" hidden="1" customHeight="1" x14ac:dyDescent="0.25"/>
    <row r="940" ht="12.75" hidden="1" customHeight="1" x14ac:dyDescent="0.25"/>
    <row r="941" ht="12.75" hidden="1" customHeight="1" x14ac:dyDescent="0.25"/>
    <row r="942" ht="12.75" hidden="1" customHeight="1" x14ac:dyDescent="0.25"/>
    <row r="943" ht="12.75" hidden="1" customHeight="1" x14ac:dyDescent="0.25"/>
    <row r="944" ht="12.75" hidden="1" customHeight="1" x14ac:dyDescent="0.25"/>
    <row r="945" ht="12.75" hidden="1" customHeight="1" x14ac:dyDescent="0.25"/>
    <row r="946" ht="12.75" hidden="1" customHeight="1" x14ac:dyDescent="0.25"/>
    <row r="947" ht="12.75" hidden="1" customHeight="1" x14ac:dyDescent="0.25"/>
    <row r="948" ht="12.75" hidden="1" customHeight="1" x14ac:dyDescent="0.25"/>
    <row r="949" ht="12.75" hidden="1" customHeight="1" x14ac:dyDescent="0.25"/>
    <row r="950" ht="12.75" hidden="1" customHeight="1" x14ac:dyDescent="0.25"/>
    <row r="951" ht="12.75" hidden="1" customHeight="1" x14ac:dyDescent="0.25"/>
    <row r="952" ht="12.75" hidden="1" customHeight="1" x14ac:dyDescent="0.25"/>
    <row r="953" ht="12.75" hidden="1" customHeight="1" x14ac:dyDescent="0.25"/>
    <row r="954" ht="12.75" hidden="1" customHeight="1" x14ac:dyDescent="0.25"/>
    <row r="955" ht="12.75" hidden="1" customHeight="1" x14ac:dyDescent="0.25"/>
    <row r="956" ht="12.75" hidden="1" customHeight="1" x14ac:dyDescent="0.25"/>
    <row r="957" ht="12.75" hidden="1" customHeight="1" x14ac:dyDescent="0.25"/>
    <row r="958" ht="12.75" hidden="1" customHeight="1" x14ac:dyDescent="0.25"/>
    <row r="959" ht="12.75" hidden="1" customHeight="1" x14ac:dyDescent="0.25"/>
    <row r="960" ht="12.75" hidden="1" customHeight="1" x14ac:dyDescent="0.25"/>
    <row r="961" ht="12.75" hidden="1" customHeight="1" x14ac:dyDescent="0.25"/>
    <row r="962" ht="12.75" hidden="1" customHeight="1" x14ac:dyDescent="0.25"/>
    <row r="963" ht="12.75" hidden="1" customHeight="1" x14ac:dyDescent="0.25"/>
    <row r="964" ht="12.75" hidden="1" customHeight="1" x14ac:dyDescent="0.25"/>
    <row r="965" ht="12.75" hidden="1" customHeight="1" x14ac:dyDescent="0.25"/>
    <row r="966" ht="12.75" hidden="1" customHeight="1" x14ac:dyDescent="0.25"/>
    <row r="967" ht="12.75" hidden="1" customHeight="1" x14ac:dyDescent="0.25"/>
    <row r="968" ht="12.75" hidden="1" customHeight="1" x14ac:dyDescent="0.25"/>
    <row r="969" ht="12.75" hidden="1" customHeight="1" x14ac:dyDescent="0.25"/>
    <row r="970" ht="12.75" hidden="1" customHeight="1" x14ac:dyDescent="0.25"/>
    <row r="971" ht="12.75" hidden="1" customHeight="1" x14ac:dyDescent="0.25"/>
    <row r="972" ht="12.75" hidden="1" customHeight="1" x14ac:dyDescent="0.25"/>
    <row r="973" ht="12.75" hidden="1" customHeight="1" x14ac:dyDescent="0.25"/>
    <row r="974" ht="12.75" hidden="1" customHeight="1" x14ac:dyDescent="0.25"/>
    <row r="975" ht="12.75" hidden="1" customHeight="1" x14ac:dyDescent="0.25"/>
    <row r="976" ht="12.75" hidden="1" customHeight="1" x14ac:dyDescent="0.25"/>
    <row r="977" ht="12.75" hidden="1" customHeight="1" x14ac:dyDescent="0.25"/>
    <row r="978" ht="12.75" hidden="1" customHeight="1" x14ac:dyDescent="0.25"/>
    <row r="979" ht="12.75" hidden="1" customHeight="1" x14ac:dyDescent="0.25"/>
    <row r="980" ht="12.75" hidden="1" customHeight="1" x14ac:dyDescent="0.25"/>
    <row r="981" ht="12.75" hidden="1" customHeight="1" x14ac:dyDescent="0.25"/>
    <row r="982" ht="12.75" hidden="1" customHeight="1" x14ac:dyDescent="0.25"/>
    <row r="983" ht="12.75" hidden="1" customHeight="1" x14ac:dyDescent="0.25"/>
    <row r="984" ht="12.75" hidden="1" customHeight="1" x14ac:dyDescent="0.25"/>
    <row r="985" ht="12.75" hidden="1" customHeight="1" x14ac:dyDescent="0.25"/>
    <row r="986" ht="12.75" hidden="1" customHeight="1" x14ac:dyDescent="0.25"/>
    <row r="987" ht="12.75" hidden="1" customHeight="1" x14ac:dyDescent="0.25"/>
    <row r="988" ht="12.75" hidden="1" customHeight="1" x14ac:dyDescent="0.25"/>
    <row r="989" ht="12.75" hidden="1"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row r="1001" ht="12.75" customHeight="1" x14ac:dyDescent="0.25"/>
    <row r="1002" ht="12.75" customHeight="1" x14ac:dyDescent="0.25"/>
    <row r="1003" ht="12.75" customHeight="1" x14ac:dyDescent="0.25"/>
    <row r="1004" ht="12.75" customHeight="1" x14ac:dyDescent="0.25"/>
    <row r="1005" ht="12.75" customHeight="1" x14ac:dyDescent="0.25"/>
    <row r="1006" ht="12.75" customHeight="1" x14ac:dyDescent="0.25"/>
    <row r="1007" ht="12.75" customHeight="1" x14ac:dyDescent="0.25"/>
    <row r="1008" ht="12.75" customHeight="1" x14ac:dyDescent="0.25"/>
    <row r="1009" ht="12.75" customHeight="1" x14ac:dyDescent="0.25"/>
    <row r="1010" ht="12.75" customHeight="1" x14ac:dyDescent="0.25"/>
    <row r="1011" ht="12.75" customHeight="1" x14ac:dyDescent="0.25"/>
    <row r="1012" ht="12.75" customHeight="1" x14ac:dyDescent="0.25"/>
    <row r="1013" ht="12.75" customHeight="1" x14ac:dyDescent="0.25"/>
    <row r="1014" ht="12.75" customHeight="1" x14ac:dyDescent="0.25"/>
  </sheetData>
  <mergeCells count="596">
    <mergeCell ref="N50:Q50"/>
    <mergeCell ref="N51:O51"/>
    <mergeCell ref="P51:Q51"/>
    <mergeCell ref="N52:O52"/>
    <mergeCell ref="P52:Q52"/>
    <mergeCell ref="L485:O485"/>
    <mergeCell ref="P485:S485"/>
    <mergeCell ref="D361:I361"/>
    <mergeCell ref="D362:I362"/>
    <mergeCell ref="N365:O365"/>
    <mergeCell ref="P365:Q365"/>
    <mergeCell ref="N360:O360"/>
    <mergeCell ref="P360:Q360"/>
    <mergeCell ref="N349:O349"/>
    <mergeCell ref="P349:Q349"/>
    <mergeCell ref="N350:O350"/>
    <mergeCell ref="P350:Q350"/>
    <mergeCell ref="N351:O351"/>
    <mergeCell ref="P351:Q351"/>
    <mergeCell ref="N352:O352"/>
    <mergeCell ref="P352:Q352"/>
    <mergeCell ref="N353:O353"/>
    <mergeCell ref="O311:P311"/>
    <mergeCell ref="O312:P312"/>
    <mergeCell ref="L486:O486"/>
    <mergeCell ref="P486:S486"/>
    <mergeCell ref="N262:O262"/>
    <mergeCell ref="P262:Q262"/>
    <mergeCell ref="N264:O264"/>
    <mergeCell ref="P264:Q264"/>
    <mergeCell ref="P366:Q366"/>
    <mergeCell ref="N367:O367"/>
    <mergeCell ref="P367:Q367"/>
    <mergeCell ref="N368:O368"/>
    <mergeCell ref="P368:Q368"/>
    <mergeCell ref="N370:O370"/>
    <mergeCell ref="P370:Q370"/>
    <mergeCell ref="N374:O374"/>
    <mergeCell ref="P374:Q374"/>
    <mergeCell ref="N354:O354"/>
    <mergeCell ref="P354:Q354"/>
    <mergeCell ref="O480:P480"/>
    <mergeCell ref="N361:O361"/>
    <mergeCell ref="P361:Q361"/>
    <mergeCell ref="N362:O362"/>
    <mergeCell ref="P362:Q362"/>
    <mergeCell ref="N364:O364"/>
    <mergeCell ref="P364:Q364"/>
    <mergeCell ref="L493:O493"/>
    <mergeCell ref="P493:S493"/>
    <mergeCell ref="L494:O494"/>
    <mergeCell ref="P494:S494"/>
    <mergeCell ref="N509:Q509"/>
    <mergeCell ref="N511:O511"/>
    <mergeCell ref="P511:Q511"/>
    <mergeCell ref="N515:Q515"/>
    <mergeCell ref="N516:O516"/>
    <mergeCell ref="P516:Q516"/>
    <mergeCell ref="N513:O513"/>
    <mergeCell ref="P513:Q513"/>
    <mergeCell ref="N510:O510"/>
    <mergeCell ref="P510:Q510"/>
    <mergeCell ref="N512:O512"/>
    <mergeCell ref="P512:Q512"/>
    <mergeCell ref="N517:O517"/>
    <mergeCell ref="P517:Q517"/>
    <mergeCell ref="N518:O518"/>
    <mergeCell ref="P518:Q518"/>
    <mergeCell ref="L549:O549"/>
    <mergeCell ref="P549:S549"/>
    <mergeCell ref="L550:O550"/>
    <mergeCell ref="P550:S550"/>
    <mergeCell ref="L557:O557"/>
    <mergeCell ref="P557:S557"/>
    <mergeCell ref="N529:O529"/>
    <mergeCell ref="P529:Q529"/>
    <mergeCell ref="N531:O531"/>
    <mergeCell ref="P531:Q531"/>
    <mergeCell ref="N532:O532"/>
    <mergeCell ref="P532:Q532"/>
    <mergeCell ref="N528:O528"/>
    <mergeCell ref="P528:Q528"/>
    <mergeCell ref="N521:O521"/>
    <mergeCell ref="P521:Q521"/>
    <mergeCell ref="N519:O519"/>
    <mergeCell ref="P519:Q519"/>
    <mergeCell ref="N520:O520"/>
    <mergeCell ref="P520:Q520"/>
    <mergeCell ref="N522:O522"/>
    <mergeCell ref="P522:Q522"/>
    <mergeCell ref="N525:O525"/>
    <mergeCell ref="P525:Q525"/>
    <mergeCell ref="N582:O582"/>
    <mergeCell ref="P582:Q582"/>
    <mergeCell ref="N576:O576"/>
    <mergeCell ref="P576:Q576"/>
    <mergeCell ref="N579:Q579"/>
    <mergeCell ref="N580:O580"/>
    <mergeCell ref="P580:Q580"/>
    <mergeCell ref="P533:Q533"/>
    <mergeCell ref="N534:O534"/>
    <mergeCell ref="P534:Q534"/>
    <mergeCell ref="N526:O526"/>
    <mergeCell ref="P526:Q526"/>
    <mergeCell ref="N527:O527"/>
    <mergeCell ref="P527:Q527"/>
    <mergeCell ref="N543:O543"/>
    <mergeCell ref="P543:Q543"/>
    <mergeCell ref="N535:O535"/>
    <mergeCell ref="P535:Q535"/>
    <mergeCell ref="L558:O558"/>
    <mergeCell ref="P558:S558"/>
    <mergeCell ref="D528:I528"/>
    <mergeCell ref="D593:I593"/>
    <mergeCell ref="N593:O593"/>
    <mergeCell ref="P593:Q593"/>
    <mergeCell ref="N541:O541"/>
    <mergeCell ref="P541:Q541"/>
    <mergeCell ref="P542:Q542"/>
    <mergeCell ref="N537:O537"/>
    <mergeCell ref="P537:Q537"/>
    <mergeCell ref="D592:I592"/>
    <mergeCell ref="N592:O592"/>
    <mergeCell ref="P592:Q592"/>
    <mergeCell ref="N590:O590"/>
    <mergeCell ref="P590:Q590"/>
    <mergeCell ref="N591:O591"/>
    <mergeCell ref="P591:Q591"/>
    <mergeCell ref="N586:O586"/>
    <mergeCell ref="P586:Q586"/>
    <mergeCell ref="N538:O538"/>
    <mergeCell ref="P538:Q538"/>
    <mergeCell ref="N539:O539"/>
    <mergeCell ref="P539:Q539"/>
    <mergeCell ref="N540:O540"/>
    <mergeCell ref="P540:Q540"/>
    <mergeCell ref="N595:O595"/>
    <mergeCell ref="P595:Q595"/>
    <mergeCell ref="N589:O589"/>
    <mergeCell ref="P589:Q589"/>
    <mergeCell ref="D543:I543"/>
    <mergeCell ref="N573:Q573"/>
    <mergeCell ref="N574:O574"/>
    <mergeCell ref="N584:O584"/>
    <mergeCell ref="P584:Q584"/>
    <mergeCell ref="N585:O585"/>
    <mergeCell ref="P585:Q585"/>
    <mergeCell ref="N581:O581"/>
    <mergeCell ref="P581:Q581"/>
    <mergeCell ref="N583:O583"/>
    <mergeCell ref="P583:Q583"/>
    <mergeCell ref="P574:Q574"/>
    <mergeCell ref="N575:O575"/>
    <mergeCell ref="P575:Q575"/>
    <mergeCell ref="N577:O577"/>
    <mergeCell ref="P577:Q577"/>
    <mergeCell ref="N596:O596"/>
    <mergeCell ref="P596:Q596"/>
    <mergeCell ref="P597:Q597"/>
    <mergeCell ref="N598:O598"/>
    <mergeCell ref="P598:Q598"/>
    <mergeCell ref="N599:O599"/>
    <mergeCell ref="P599:Q599"/>
    <mergeCell ref="N601:O601"/>
    <mergeCell ref="P601:Q601"/>
    <mergeCell ref="N605:O605"/>
    <mergeCell ref="P605:Q605"/>
    <mergeCell ref="P606:Q606"/>
    <mergeCell ref="D529:I529"/>
    <mergeCell ref="D607:I607"/>
    <mergeCell ref="N607:O607"/>
    <mergeCell ref="P607:Q607"/>
    <mergeCell ref="P375:Q375"/>
    <mergeCell ref="D376:I376"/>
    <mergeCell ref="N376:O376"/>
    <mergeCell ref="P376:Q376"/>
    <mergeCell ref="O394:P394"/>
    <mergeCell ref="O395:P395"/>
    <mergeCell ref="O396:P396"/>
    <mergeCell ref="L401:O401"/>
    <mergeCell ref="P401:S401"/>
    <mergeCell ref="L402:O402"/>
    <mergeCell ref="P402:S402"/>
    <mergeCell ref="L409:O409"/>
    <mergeCell ref="P409:S409"/>
    <mergeCell ref="L410:O410"/>
    <mergeCell ref="P410:S410"/>
    <mergeCell ref="N425:Q425"/>
    <mergeCell ref="N426:O426"/>
    <mergeCell ref="O313:P313"/>
    <mergeCell ref="L318:O318"/>
    <mergeCell ref="P318:S318"/>
    <mergeCell ref="L319:O319"/>
    <mergeCell ref="P319:S319"/>
    <mergeCell ref="N433:O433"/>
    <mergeCell ref="P433:Q433"/>
    <mergeCell ref="P426:Q426"/>
    <mergeCell ref="N427:O427"/>
    <mergeCell ref="P427:Q427"/>
    <mergeCell ref="N428:O428"/>
    <mergeCell ref="P428:Q428"/>
    <mergeCell ref="N429:O429"/>
    <mergeCell ref="P429:Q429"/>
    <mergeCell ref="N431:Q431"/>
    <mergeCell ref="N432:O432"/>
    <mergeCell ref="P432:Q432"/>
    <mergeCell ref="N355:O355"/>
    <mergeCell ref="P355:Q355"/>
    <mergeCell ref="N358:O358"/>
    <mergeCell ref="P358:Q358"/>
    <mergeCell ref="L326:O326"/>
    <mergeCell ref="P326:S326"/>
    <mergeCell ref="L327:O327"/>
    <mergeCell ref="P327:S327"/>
    <mergeCell ref="D444:I444"/>
    <mergeCell ref="N444:O444"/>
    <mergeCell ref="P444:Q444"/>
    <mergeCell ref="N438:O438"/>
    <mergeCell ref="P438:Q438"/>
    <mergeCell ref="N441:O441"/>
    <mergeCell ref="P441:Q441"/>
    <mergeCell ref="N442:O442"/>
    <mergeCell ref="P442:Q442"/>
    <mergeCell ref="N434:O434"/>
    <mergeCell ref="P434:Q434"/>
    <mergeCell ref="N435:O435"/>
    <mergeCell ref="P435:Q435"/>
    <mergeCell ref="N436:O436"/>
    <mergeCell ref="P436:Q436"/>
    <mergeCell ref="N437:O437"/>
    <mergeCell ref="P437:Q437"/>
    <mergeCell ref="P353:Q353"/>
    <mergeCell ref="N342:Q342"/>
    <mergeCell ref="N344:O344"/>
    <mergeCell ref="P344:Q344"/>
    <mergeCell ref="P359:Q359"/>
    <mergeCell ref="N359:O359"/>
    <mergeCell ref="D459:I459"/>
    <mergeCell ref="N459:O459"/>
    <mergeCell ref="P459:Q459"/>
    <mergeCell ref="D445:I445"/>
    <mergeCell ref="N445:O445"/>
    <mergeCell ref="P445:Q445"/>
    <mergeCell ref="N447:O447"/>
    <mergeCell ref="P447:Q447"/>
    <mergeCell ref="N448:O448"/>
    <mergeCell ref="P448:Q448"/>
    <mergeCell ref="P449:Q449"/>
    <mergeCell ref="N450:O450"/>
    <mergeCell ref="P450:Q450"/>
    <mergeCell ref="N451:O451"/>
    <mergeCell ref="P451:Q451"/>
    <mergeCell ref="N453:O453"/>
    <mergeCell ref="P453:Q453"/>
    <mergeCell ref="N457:O457"/>
    <mergeCell ref="P457:Q457"/>
    <mergeCell ref="P456:Q456"/>
    <mergeCell ref="N443:O443"/>
    <mergeCell ref="P443:Q443"/>
    <mergeCell ref="N348:Q348"/>
    <mergeCell ref="O478:P478"/>
    <mergeCell ref="O479:P479"/>
    <mergeCell ref="O477:P477"/>
    <mergeCell ref="N343:O343"/>
    <mergeCell ref="P343:Q343"/>
    <mergeCell ref="N345:O345"/>
    <mergeCell ref="P345:Q345"/>
    <mergeCell ref="N346:O346"/>
    <mergeCell ref="P346:Q346"/>
    <mergeCell ref="P458:Q458"/>
    <mergeCell ref="N371:O371"/>
    <mergeCell ref="P371:Q371"/>
    <mergeCell ref="N372:O372"/>
    <mergeCell ref="P372:Q372"/>
    <mergeCell ref="N373:O373"/>
    <mergeCell ref="P373:Q373"/>
    <mergeCell ref="N454:O454"/>
    <mergeCell ref="P454:Q454"/>
    <mergeCell ref="N455:O455"/>
    <mergeCell ref="P455:Q455"/>
    <mergeCell ref="N456:O456"/>
    <mergeCell ref="N287:O287"/>
    <mergeCell ref="P287:Q287"/>
    <mergeCell ref="N289:O289"/>
    <mergeCell ref="P289:Q289"/>
    <mergeCell ref="N293:O293"/>
    <mergeCell ref="P293:Q293"/>
    <mergeCell ref="P294:Q294"/>
    <mergeCell ref="D295:I295"/>
    <mergeCell ref="N295:O295"/>
    <mergeCell ref="P295:Q295"/>
    <mergeCell ref="N292:O292"/>
    <mergeCell ref="P292:Q292"/>
    <mergeCell ref="D281:I281"/>
    <mergeCell ref="N281:O281"/>
    <mergeCell ref="P281:Q281"/>
    <mergeCell ref="N283:O283"/>
    <mergeCell ref="P283:Q283"/>
    <mergeCell ref="N284:O284"/>
    <mergeCell ref="P284:Q284"/>
    <mergeCell ref="P285:Q285"/>
    <mergeCell ref="N286:O286"/>
    <mergeCell ref="P286:Q286"/>
    <mergeCell ref="P274:Q274"/>
    <mergeCell ref="N277:O277"/>
    <mergeCell ref="P277:Q277"/>
    <mergeCell ref="N278:O278"/>
    <mergeCell ref="P278:Q278"/>
    <mergeCell ref="N279:O279"/>
    <mergeCell ref="P279:Q279"/>
    <mergeCell ref="D280:I280"/>
    <mergeCell ref="N280:O280"/>
    <mergeCell ref="P280:Q280"/>
    <mergeCell ref="N55:Q55"/>
    <mergeCell ref="N56:O56"/>
    <mergeCell ref="P56:Q56"/>
    <mergeCell ref="N57:O57"/>
    <mergeCell ref="P57:Q57"/>
    <mergeCell ref="N58:O58"/>
    <mergeCell ref="P58:Q58"/>
    <mergeCell ref="N59:O59"/>
    <mergeCell ref="O252:P252"/>
    <mergeCell ref="N65:O65"/>
    <mergeCell ref="C139:Q145"/>
    <mergeCell ref="P65:Q65"/>
    <mergeCell ref="N66:O66"/>
    <mergeCell ref="P66:Q66"/>
    <mergeCell ref="N67:O67"/>
    <mergeCell ref="P67:Q67"/>
    <mergeCell ref="P59:Q59"/>
    <mergeCell ref="N60:O60"/>
    <mergeCell ref="P60:Q60"/>
    <mergeCell ref="N61:O61"/>
    <mergeCell ref="P61:Q61"/>
    <mergeCell ref="N62:O62"/>
    <mergeCell ref="P62:Q62"/>
    <mergeCell ref="N71:O71"/>
    <mergeCell ref="P71:Q71"/>
    <mergeCell ref="N72:O72"/>
    <mergeCell ref="P72:Q72"/>
    <mergeCell ref="P73:Q73"/>
    <mergeCell ref="N74:O74"/>
    <mergeCell ref="P74:Q74"/>
    <mergeCell ref="D68:I68"/>
    <mergeCell ref="N68:O68"/>
    <mergeCell ref="P68:Q68"/>
    <mergeCell ref="D69:I69"/>
    <mergeCell ref="N69:O69"/>
    <mergeCell ref="P69:Q69"/>
    <mergeCell ref="P82:Q82"/>
    <mergeCell ref="D83:I83"/>
    <mergeCell ref="N83:O83"/>
    <mergeCell ref="P83:Q83"/>
    <mergeCell ref="N75:O75"/>
    <mergeCell ref="P75:Q75"/>
    <mergeCell ref="N77:O77"/>
    <mergeCell ref="P77:Q77"/>
    <mergeCell ref="N81:O81"/>
    <mergeCell ref="P81:Q81"/>
    <mergeCell ref="N78:O78"/>
    <mergeCell ref="N79:O79"/>
    <mergeCell ref="N80:O80"/>
    <mergeCell ref="P78:Q78"/>
    <mergeCell ref="P79:Q79"/>
    <mergeCell ref="P80:Q80"/>
    <mergeCell ref="N108:O108"/>
    <mergeCell ref="P108:Q108"/>
    <mergeCell ref="N109:O109"/>
    <mergeCell ref="P109:Q109"/>
    <mergeCell ref="D118:I118"/>
    <mergeCell ref="N118:O118"/>
    <mergeCell ref="P118:Q118"/>
    <mergeCell ref="D119:I119"/>
    <mergeCell ref="N117:O117"/>
    <mergeCell ref="P117:Q117"/>
    <mergeCell ref="N110:O110"/>
    <mergeCell ref="P110:Q110"/>
    <mergeCell ref="N111:O111"/>
    <mergeCell ref="P111:Q111"/>
    <mergeCell ref="N112:O112"/>
    <mergeCell ref="P112:Q112"/>
    <mergeCell ref="N115:O115"/>
    <mergeCell ref="P115:Q115"/>
    <mergeCell ref="N116:O116"/>
    <mergeCell ref="P116:Q116"/>
    <mergeCell ref="D133:I133"/>
    <mergeCell ref="N133:O133"/>
    <mergeCell ref="P133:Q133"/>
    <mergeCell ref="N119:O119"/>
    <mergeCell ref="P119:Q119"/>
    <mergeCell ref="N121:O121"/>
    <mergeCell ref="P121:Q121"/>
    <mergeCell ref="N122:O122"/>
    <mergeCell ref="P122:Q122"/>
    <mergeCell ref="N125:O125"/>
    <mergeCell ref="P125:Q125"/>
    <mergeCell ref="N127:O127"/>
    <mergeCell ref="P127:Q127"/>
    <mergeCell ref="P123:Q123"/>
    <mergeCell ref="N124:O124"/>
    <mergeCell ref="P124:Q124"/>
    <mergeCell ref="N128:O128"/>
    <mergeCell ref="P128:Q128"/>
    <mergeCell ref="N129:O129"/>
    <mergeCell ref="P129:Q129"/>
    <mergeCell ref="N130:O130"/>
    <mergeCell ref="P130:Q130"/>
    <mergeCell ref="L20:O20"/>
    <mergeCell ref="P20:S20"/>
    <mergeCell ref="L21:O21"/>
    <mergeCell ref="P21:S21"/>
    <mergeCell ref="L28:O28"/>
    <mergeCell ref="P28:S28"/>
    <mergeCell ref="N48:O48"/>
    <mergeCell ref="P48:Q48"/>
    <mergeCell ref="P102:Q102"/>
    <mergeCell ref="N44:Q44"/>
    <mergeCell ref="N45:O45"/>
    <mergeCell ref="P45:Q45"/>
    <mergeCell ref="N46:O46"/>
    <mergeCell ref="P46:Q46"/>
    <mergeCell ref="N47:O47"/>
    <mergeCell ref="P47:Q47"/>
    <mergeCell ref="N98:Q98"/>
    <mergeCell ref="N99:O99"/>
    <mergeCell ref="P99:Q99"/>
    <mergeCell ref="N100:O100"/>
    <mergeCell ref="P100:Q100"/>
    <mergeCell ref="N101:O101"/>
    <mergeCell ref="P101:Q101"/>
    <mergeCell ref="N102:O102"/>
    <mergeCell ref="N167:O167"/>
    <mergeCell ref="P167:Q167"/>
    <mergeCell ref="N166:Q166"/>
    <mergeCell ref="N162:O162"/>
    <mergeCell ref="P162:Q162"/>
    <mergeCell ref="N163:O163"/>
    <mergeCell ref="P163:Q163"/>
    <mergeCell ref="N161:Q161"/>
    <mergeCell ref="L29:O29"/>
    <mergeCell ref="P29:S29"/>
    <mergeCell ref="O153:P153"/>
    <mergeCell ref="O154:P154"/>
    <mergeCell ref="O155:P155"/>
    <mergeCell ref="O90:P90"/>
    <mergeCell ref="O91:P91"/>
    <mergeCell ref="O92:P92"/>
    <mergeCell ref="N131:O131"/>
    <mergeCell ref="P131:Q131"/>
    <mergeCell ref="P132:Q132"/>
    <mergeCell ref="N105:Q105"/>
    <mergeCell ref="N106:O106"/>
    <mergeCell ref="P106:Q106"/>
    <mergeCell ref="N107:O107"/>
    <mergeCell ref="P107:Q107"/>
    <mergeCell ref="N171:O171"/>
    <mergeCell ref="P171:Q171"/>
    <mergeCell ref="N172:O172"/>
    <mergeCell ref="P172:Q172"/>
    <mergeCell ref="N173:O173"/>
    <mergeCell ref="P173:Q173"/>
    <mergeCell ref="N168:O168"/>
    <mergeCell ref="P168:Q168"/>
    <mergeCell ref="N169:O169"/>
    <mergeCell ref="P169:Q169"/>
    <mergeCell ref="N170:O170"/>
    <mergeCell ref="P170:Q170"/>
    <mergeCell ref="D179:I179"/>
    <mergeCell ref="N179:O179"/>
    <mergeCell ref="P179:Q179"/>
    <mergeCell ref="N182:O182"/>
    <mergeCell ref="P182:Q182"/>
    <mergeCell ref="D180:I180"/>
    <mergeCell ref="N180:O180"/>
    <mergeCell ref="P180:Q180"/>
    <mergeCell ref="N176:O176"/>
    <mergeCell ref="P176:Q176"/>
    <mergeCell ref="N177:O177"/>
    <mergeCell ref="P177:Q177"/>
    <mergeCell ref="N178:O178"/>
    <mergeCell ref="P178:Q178"/>
    <mergeCell ref="N188:O188"/>
    <mergeCell ref="P188:Q188"/>
    <mergeCell ref="P192:Q192"/>
    <mergeCell ref="P193:Q193"/>
    <mergeCell ref="N192:O192"/>
    <mergeCell ref="P183:Q183"/>
    <mergeCell ref="P184:Q184"/>
    <mergeCell ref="N185:O185"/>
    <mergeCell ref="P185:Q185"/>
    <mergeCell ref="N183:O183"/>
    <mergeCell ref="N186:O186"/>
    <mergeCell ref="P186:Q186"/>
    <mergeCell ref="N189:O189"/>
    <mergeCell ref="P189:Q189"/>
    <mergeCell ref="N190:O190"/>
    <mergeCell ref="P190:Q190"/>
    <mergeCell ref="N191:O191"/>
    <mergeCell ref="P191:Q191"/>
    <mergeCell ref="P206:Q206"/>
    <mergeCell ref="N207:O207"/>
    <mergeCell ref="P207:Q207"/>
    <mergeCell ref="N208:O208"/>
    <mergeCell ref="P208:Q208"/>
    <mergeCell ref="N202:O202"/>
    <mergeCell ref="P202:Q202"/>
    <mergeCell ref="D194:I194"/>
    <mergeCell ref="N194:O194"/>
    <mergeCell ref="P194:Q194"/>
    <mergeCell ref="N200:Q200"/>
    <mergeCell ref="N201:O201"/>
    <mergeCell ref="P201:Q201"/>
    <mergeCell ref="D218:I218"/>
    <mergeCell ref="N218:O218"/>
    <mergeCell ref="P218:Q218"/>
    <mergeCell ref="D219:I219"/>
    <mergeCell ref="N219:O219"/>
    <mergeCell ref="P219:Q219"/>
    <mergeCell ref="N212:O212"/>
    <mergeCell ref="P212:Q212"/>
    <mergeCell ref="N215:O215"/>
    <mergeCell ref="P215:Q215"/>
    <mergeCell ref="N216:O216"/>
    <mergeCell ref="P216:Q216"/>
    <mergeCell ref="O156:P156"/>
    <mergeCell ref="N225:O225"/>
    <mergeCell ref="P225:Q225"/>
    <mergeCell ref="N227:O227"/>
    <mergeCell ref="P227:Q227"/>
    <mergeCell ref="N231:O231"/>
    <mergeCell ref="P231:Q231"/>
    <mergeCell ref="N221:O221"/>
    <mergeCell ref="P221:Q221"/>
    <mergeCell ref="N222:O222"/>
    <mergeCell ref="P222:Q222"/>
    <mergeCell ref="P223:Q223"/>
    <mergeCell ref="N224:O224"/>
    <mergeCell ref="P224:Q224"/>
    <mergeCell ref="N217:O217"/>
    <mergeCell ref="P217:Q217"/>
    <mergeCell ref="N209:O209"/>
    <mergeCell ref="P209:Q209"/>
    <mergeCell ref="N210:O210"/>
    <mergeCell ref="P210:Q210"/>
    <mergeCell ref="N211:O211"/>
    <mergeCell ref="P211:Q211"/>
    <mergeCell ref="N205:Q205"/>
    <mergeCell ref="N206:O206"/>
    <mergeCell ref="C612:Q618"/>
    <mergeCell ref="P232:Q232"/>
    <mergeCell ref="D233:I233"/>
    <mergeCell ref="N233:O233"/>
    <mergeCell ref="P233:Q233"/>
    <mergeCell ref="O253:P253"/>
    <mergeCell ref="O254:P254"/>
    <mergeCell ref="N259:Q259"/>
    <mergeCell ref="N260:O260"/>
    <mergeCell ref="P260:Q260"/>
    <mergeCell ref="N261:O261"/>
    <mergeCell ref="P261:Q261"/>
    <mergeCell ref="N267:Q267"/>
    <mergeCell ref="N268:O268"/>
    <mergeCell ref="P268:Q268"/>
    <mergeCell ref="N269:O269"/>
    <mergeCell ref="P269:Q269"/>
    <mergeCell ref="N270:O270"/>
    <mergeCell ref="P270:Q270"/>
    <mergeCell ref="N271:O271"/>
    <mergeCell ref="P271:Q271"/>
    <mergeCell ref="N263:O263"/>
    <mergeCell ref="P263:Q263"/>
    <mergeCell ref="N272:O272"/>
    <mergeCell ref="N602:O602"/>
    <mergeCell ref="P602:Q602"/>
    <mergeCell ref="N603:O603"/>
    <mergeCell ref="P603:Q603"/>
    <mergeCell ref="N604:O604"/>
    <mergeCell ref="P604:Q604"/>
    <mergeCell ref="N228:O228"/>
    <mergeCell ref="P228:Q228"/>
    <mergeCell ref="N229:O229"/>
    <mergeCell ref="P229:Q229"/>
    <mergeCell ref="N230:O230"/>
    <mergeCell ref="P230:Q230"/>
    <mergeCell ref="N290:O290"/>
    <mergeCell ref="P290:Q290"/>
    <mergeCell ref="N291:O291"/>
    <mergeCell ref="P291:Q291"/>
    <mergeCell ref="C238:Q244"/>
    <mergeCell ref="C299:Q305"/>
    <mergeCell ref="C381:Q387"/>
    <mergeCell ref="C463:Q469"/>
    <mergeCell ref="P272:Q272"/>
    <mergeCell ref="N273:O273"/>
    <mergeCell ref="P273:Q273"/>
    <mergeCell ref="N274:O274"/>
  </mergeCells>
  <pageMargins left="0.42" right="0.5" top="0.75" bottom="0.75" header="0.5" footer="0.5"/>
  <pageSetup scale="42" orientation="landscape" r:id="rId1"/>
  <headerFooter alignWithMargins="0"/>
  <rowBreaks count="7" manualBreakCount="7">
    <brk id="85" max="19" man="1"/>
    <brk id="148" max="19" man="1"/>
    <brk id="247" max="19" man="1"/>
    <brk id="306" max="19" man="1"/>
    <brk id="389" max="19" man="1"/>
    <brk id="472" max="19" man="1"/>
    <brk id="545" max="19" man="1"/>
  </rowBreaks>
  <ignoredErrors>
    <ignoredError sqref="L24:O24 L31:L38 L39:O39 M31:M38 N31:N36 N37:N38 O31:O38" unlockedFormula="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V546"/>
  <sheetViews>
    <sheetView showGridLines="0" topLeftCell="A31" zoomScale="85" zoomScaleNormal="85" zoomScalePageLayoutView="85" workbookViewId="0">
      <selection activeCell="L58" sqref="L58"/>
    </sheetView>
  </sheetViews>
  <sheetFormatPr defaultColWidth="0" defaultRowHeight="12.75" customHeight="1" zeroHeight="1" outlineLevelRow="1" x14ac:dyDescent="0.25"/>
  <cols>
    <col min="1" max="5" width="2.6640625" style="735" customWidth="1"/>
    <col min="6" max="7" width="12.6640625" style="735" customWidth="1"/>
    <col min="8" max="8" width="17.109375" style="735" customWidth="1"/>
    <col min="9" max="12" width="12.6640625" style="735" customWidth="1"/>
    <col min="13" max="13" width="2.33203125" style="735" customWidth="1"/>
    <col min="14" max="38" width="12.6640625" style="735" customWidth="1"/>
    <col min="39" max="39" width="2.44140625" style="735" customWidth="1"/>
    <col min="40" max="280" width="0" style="735" hidden="1"/>
    <col min="281" max="281" width="3.33203125" style="735" hidden="1" customWidth="1"/>
    <col min="282" max="284" width="2.6640625" style="735" hidden="1" customWidth="1"/>
    <col min="285" max="294" width="12.6640625" style="735" hidden="1" customWidth="1"/>
    <col min="295" max="295" width="2.6640625" style="735" hidden="1" customWidth="1"/>
    <col min="296" max="536" width="0" style="735" hidden="1"/>
    <col min="537" max="537" width="3.33203125" style="735" hidden="1" customWidth="1"/>
    <col min="538" max="540" width="2.6640625" style="735" hidden="1" customWidth="1"/>
    <col min="541" max="550" width="12.6640625" style="735" hidden="1" customWidth="1"/>
    <col min="551" max="551" width="2.6640625" style="735" hidden="1" customWidth="1"/>
    <col min="552" max="792" width="0" style="735" hidden="1"/>
    <col min="793" max="793" width="3.33203125" style="735" hidden="1" customWidth="1"/>
    <col min="794" max="796" width="2.6640625" style="735" hidden="1" customWidth="1"/>
    <col min="797" max="806" width="12.6640625" style="735" hidden="1" customWidth="1"/>
    <col min="807" max="807" width="2.6640625" style="735" hidden="1" customWidth="1"/>
    <col min="808" max="1048" width="0" style="735" hidden="1"/>
    <col min="1049" max="1049" width="3.33203125" style="735" hidden="1" customWidth="1"/>
    <col min="1050" max="1052" width="2.6640625" style="735" hidden="1" customWidth="1"/>
    <col min="1053" max="1062" width="12.6640625" style="735" hidden="1" customWidth="1"/>
    <col min="1063" max="1063" width="2.6640625" style="735" hidden="1" customWidth="1"/>
    <col min="1064" max="1304" width="0" style="735" hidden="1"/>
    <col min="1305" max="1305" width="3.33203125" style="735" hidden="1" customWidth="1"/>
    <col min="1306" max="1308" width="2.6640625" style="735" hidden="1" customWidth="1"/>
    <col min="1309" max="1318" width="12.6640625" style="735" hidden="1" customWidth="1"/>
    <col min="1319" max="1319" width="2.6640625" style="735" hidden="1" customWidth="1"/>
    <col min="1320" max="1560" width="0" style="735" hidden="1"/>
    <col min="1561" max="1561" width="3.33203125" style="735" hidden="1" customWidth="1"/>
    <col min="1562" max="1564" width="2.6640625" style="735" hidden="1" customWidth="1"/>
    <col min="1565" max="1574" width="12.6640625" style="735" hidden="1" customWidth="1"/>
    <col min="1575" max="1575" width="2.6640625" style="735" hidden="1" customWidth="1"/>
    <col min="1576" max="1816" width="0" style="735" hidden="1"/>
    <col min="1817" max="1817" width="3.33203125" style="735" hidden="1" customWidth="1"/>
    <col min="1818" max="1820" width="2.6640625" style="735" hidden="1" customWidth="1"/>
    <col min="1821" max="1830" width="12.6640625" style="735" hidden="1" customWidth="1"/>
    <col min="1831" max="1831" width="2.6640625" style="735" hidden="1" customWidth="1"/>
    <col min="1832" max="2072" width="0" style="735" hidden="1"/>
    <col min="2073" max="2073" width="3.33203125" style="735" hidden="1" customWidth="1"/>
    <col min="2074" max="2076" width="2.6640625" style="735" hidden="1" customWidth="1"/>
    <col min="2077" max="2086" width="12.6640625" style="735" hidden="1" customWidth="1"/>
    <col min="2087" max="2087" width="2.6640625" style="735" hidden="1" customWidth="1"/>
    <col min="2088" max="2328" width="0" style="735" hidden="1"/>
    <col min="2329" max="2329" width="3.33203125" style="735" hidden="1" customWidth="1"/>
    <col min="2330" max="2332" width="2.6640625" style="735" hidden="1" customWidth="1"/>
    <col min="2333" max="2342" width="12.6640625" style="735" hidden="1" customWidth="1"/>
    <col min="2343" max="2343" width="2.6640625" style="735" hidden="1" customWidth="1"/>
    <col min="2344" max="2584" width="0" style="735" hidden="1"/>
    <col min="2585" max="2585" width="3.33203125" style="735" hidden="1" customWidth="1"/>
    <col min="2586" max="2588" width="2.6640625" style="735" hidden="1" customWidth="1"/>
    <col min="2589" max="2598" width="12.6640625" style="735" hidden="1" customWidth="1"/>
    <col min="2599" max="2599" width="2.6640625" style="735" hidden="1" customWidth="1"/>
    <col min="2600" max="2840" width="0" style="735" hidden="1"/>
    <col min="2841" max="2841" width="3.33203125" style="735" hidden="1" customWidth="1"/>
    <col min="2842" max="2844" width="2.6640625" style="735" hidden="1" customWidth="1"/>
    <col min="2845" max="2854" width="12.6640625" style="735" hidden="1" customWidth="1"/>
    <col min="2855" max="2855" width="2.6640625" style="735" hidden="1" customWidth="1"/>
    <col min="2856" max="3096" width="0" style="735" hidden="1"/>
    <col min="3097" max="3097" width="3.33203125" style="735" hidden="1" customWidth="1"/>
    <col min="3098" max="3100" width="2.6640625" style="735" hidden="1" customWidth="1"/>
    <col min="3101" max="3110" width="12.6640625" style="735" hidden="1" customWidth="1"/>
    <col min="3111" max="3111" width="2.6640625" style="735" hidden="1" customWidth="1"/>
    <col min="3112" max="3352" width="0" style="735" hidden="1"/>
    <col min="3353" max="3353" width="3.33203125" style="735" hidden="1" customWidth="1"/>
    <col min="3354" max="3356" width="2.6640625" style="735" hidden="1" customWidth="1"/>
    <col min="3357" max="3366" width="12.6640625" style="735" hidden="1" customWidth="1"/>
    <col min="3367" max="3367" width="2.6640625" style="735" hidden="1" customWidth="1"/>
    <col min="3368" max="3608" width="0" style="735" hidden="1"/>
    <col min="3609" max="3609" width="3.33203125" style="735" hidden="1" customWidth="1"/>
    <col min="3610" max="3612" width="2.6640625" style="735" hidden="1" customWidth="1"/>
    <col min="3613" max="3622" width="12.6640625" style="735" hidden="1" customWidth="1"/>
    <col min="3623" max="3623" width="2.6640625" style="735" hidden="1" customWidth="1"/>
    <col min="3624" max="3864" width="0" style="735" hidden="1"/>
    <col min="3865" max="3865" width="3.33203125" style="735" hidden="1" customWidth="1"/>
    <col min="3866" max="3868" width="2.6640625" style="735" hidden="1" customWidth="1"/>
    <col min="3869" max="3878" width="12.6640625" style="735" hidden="1" customWidth="1"/>
    <col min="3879" max="3879" width="2.6640625" style="735" hidden="1" customWidth="1"/>
    <col min="3880" max="4120" width="0" style="735" hidden="1"/>
    <col min="4121" max="4121" width="3.33203125" style="735" hidden="1" customWidth="1"/>
    <col min="4122" max="4124" width="2.6640625" style="735" hidden="1" customWidth="1"/>
    <col min="4125" max="4134" width="12.6640625" style="735" hidden="1" customWidth="1"/>
    <col min="4135" max="4135" width="2.6640625" style="735" hidden="1" customWidth="1"/>
    <col min="4136" max="4376" width="0" style="735" hidden="1"/>
    <col min="4377" max="4377" width="3.33203125" style="735" hidden="1" customWidth="1"/>
    <col min="4378" max="4380" width="2.6640625" style="735" hidden="1" customWidth="1"/>
    <col min="4381" max="4390" width="12.6640625" style="735" hidden="1" customWidth="1"/>
    <col min="4391" max="4391" width="2.6640625" style="735" hidden="1" customWidth="1"/>
    <col min="4392" max="4632" width="0" style="735" hidden="1"/>
    <col min="4633" max="4633" width="3.33203125" style="735" hidden="1" customWidth="1"/>
    <col min="4634" max="4636" width="2.6640625" style="735" hidden="1" customWidth="1"/>
    <col min="4637" max="4646" width="12.6640625" style="735" hidden="1" customWidth="1"/>
    <col min="4647" max="4647" width="2.6640625" style="735" hidden="1" customWidth="1"/>
    <col min="4648" max="4888" width="0" style="735" hidden="1"/>
    <col min="4889" max="4889" width="3.33203125" style="735" hidden="1" customWidth="1"/>
    <col min="4890" max="4892" width="2.6640625" style="735" hidden="1" customWidth="1"/>
    <col min="4893" max="4902" width="12.6640625" style="735" hidden="1" customWidth="1"/>
    <col min="4903" max="4903" width="2.6640625" style="735" hidden="1" customWidth="1"/>
    <col min="4904" max="5144" width="0" style="735" hidden="1"/>
    <col min="5145" max="5145" width="3.33203125" style="735" hidden="1" customWidth="1"/>
    <col min="5146" max="5148" width="2.6640625" style="735" hidden="1" customWidth="1"/>
    <col min="5149" max="5158" width="12.6640625" style="735" hidden="1" customWidth="1"/>
    <col min="5159" max="5159" width="2.6640625" style="735" hidden="1" customWidth="1"/>
    <col min="5160" max="5400" width="0" style="735" hidden="1"/>
    <col min="5401" max="5401" width="3.33203125" style="735" hidden="1" customWidth="1"/>
    <col min="5402" max="5404" width="2.6640625" style="735" hidden="1" customWidth="1"/>
    <col min="5405" max="5414" width="12.6640625" style="735" hidden="1" customWidth="1"/>
    <col min="5415" max="5415" width="2.6640625" style="735" hidden="1" customWidth="1"/>
    <col min="5416" max="5656" width="0" style="735" hidden="1"/>
    <col min="5657" max="5657" width="3.33203125" style="735" hidden="1" customWidth="1"/>
    <col min="5658" max="5660" width="2.6640625" style="735" hidden="1" customWidth="1"/>
    <col min="5661" max="5670" width="12.6640625" style="735" hidden="1" customWidth="1"/>
    <col min="5671" max="5671" width="2.6640625" style="735" hidden="1" customWidth="1"/>
    <col min="5672" max="5912" width="0" style="735" hidden="1"/>
    <col min="5913" max="5913" width="3.33203125" style="735" hidden="1" customWidth="1"/>
    <col min="5914" max="5916" width="2.6640625" style="735" hidden="1" customWidth="1"/>
    <col min="5917" max="5926" width="12.6640625" style="735" hidden="1" customWidth="1"/>
    <col min="5927" max="5927" width="2.6640625" style="735" hidden="1" customWidth="1"/>
    <col min="5928" max="6168" width="0" style="735" hidden="1"/>
    <col min="6169" max="6169" width="3.33203125" style="735" hidden="1" customWidth="1"/>
    <col min="6170" max="6172" width="2.6640625" style="735" hidden="1" customWidth="1"/>
    <col min="6173" max="6182" width="12.6640625" style="735" hidden="1" customWidth="1"/>
    <col min="6183" max="6183" width="2.6640625" style="735" hidden="1" customWidth="1"/>
    <col min="6184" max="6424" width="0" style="735" hidden="1"/>
    <col min="6425" max="6425" width="3.33203125" style="735" hidden="1" customWidth="1"/>
    <col min="6426" max="6428" width="2.6640625" style="735" hidden="1" customWidth="1"/>
    <col min="6429" max="6438" width="12.6640625" style="735" hidden="1" customWidth="1"/>
    <col min="6439" max="6439" width="2.6640625" style="735" hidden="1" customWidth="1"/>
    <col min="6440" max="6680" width="0" style="735" hidden="1"/>
    <col min="6681" max="6681" width="3.33203125" style="735" hidden="1" customWidth="1"/>
    <col min="6682" max="6684" width="2.6640625" style="735" hidden="1" customWidth="1"/>
    <col min="6685" max="6694" width="12.6640625" style="735" hidden="1" customWidth="1"/>
    <col min="6695" max="6695" width="2.6640625" style="735" hidden="1" customWidth="1"/>
    <col min="6696" max="6936" width="0" style="735" hidden="1"/>
    <col min="6937" max="6937" width="3.33203125" style="735" hidden="1" customWidth="1"/>
    <col min="6938" max="6940" width="2.6640625" style="735" hidden="1" customWidth="1"/>
    <col min="6941" max="6950" width="12.6640625" style="735" hidden="1" customWidth="1"/>
    <col min="6951" max="6951" width="2.6640625" style="735" hidden="1" customWidth="1"/>
    <col min="6952" max="7192" width="0" style="735" hidden="1"/>
    <col min="7193" max="7193" width="3.33203125" style="735" hidden="1" customWidth="1"/>
    <col min="7194" max="7196" width="2.6640625" style="735" hidden="1" customWidth="1"/>
    <col min="7197" max="7206" width="12.6640625" style="735" hidden="1" customWidth="1"/>
    <col min="7207" max="7207" width="2.6640625" style="735" hidden="1" customWidth="1"/>
    <col min="7208" max="7448" width="0" style="735" hidden="1"/>
    <col min="7449" max="7449" width="3.33203125" style="735" hidden="1" customWidth="1"/>
    <col min="7450" max="7452" width="2.6640625" style="735" hidden="1" customWidth="1"/>
    <col min="7453" max="7462" width="12.6640625" style="735" hidden="1" customWidth="1"/>
    <col min="7463" max="7463" width="2.6640625" style="735" hidden="1" customWidth="1"/>
    <col min="7464" max="7704" width="0" style="735" hidden="1"/>
    <col min="7705" max="7705" width="3.33203125" style="735" hidden="1" customWidth="1"/>
    <col min="7706" max="7708" width="2.6640625" style="735" hidden="1" customWidth="1"/>
    <col min="7709" max="7718" width="12.6640625" style="735" hidden="1" customWidth="1"/>
    <col min="7719" max="7719" width="2.6640625" style="735" hidden="1" customWidth="1"/>
    <col min="7720" max="7960" width="0" style="735" hidden="1"/>
    <col min="7961" max="7961" width="3.33203125" style="735" hidden="1" customWidth="1"/>
    <col min="7962" max="7964" width="2.6640625" style="735" hidden="1" customWidth="1"/>
    <col min="7965" max="7974" width="12.6640625" style="735" hidden="1" customWidth="1"/>
    <col min="7975" max="7975" width="2.6640625" style="735" hidden="1" customWidth="1"/>
    <col min="7976" max="8216" width="0" style="735" hidden="1"/>
    <col min="8217" max="8217" width="3.33203125" style="735" hidden="1" customWidth="1"/>
    <col min="8218" max="8220" width="2.6640625" style="735" hidden="1" customWidth="1"/>
    <col min="8221" max="8230" width="12.6640625" style="735" hidden="1" customWidth="1"/>
    <col min="8231" max="8231" width="2.6640625" style="735" hidden="1" customWidth="1"/>
    <col min="8232" max="8472" width="0" style="735" hidden="1"/>
    <col min="8473" max="8473" width="3.33203125" style="735" hidden="1" customWidth="1"/>
    <col min="8474" max="8476" width="2.6640625" style="735" hidden="1" customWidth="1"/>
    <col min="8477" max="8486" width="12.6640625" style="735" hidden="1" customWidth="1"/>
    <col min="8487" max="8487" width="2.6640625" style="735" hidden="1" customWidth="1"/>
    <col min="8488" max="8728" width="0" style="735" hidden="1"/>
    <col min="8729" max="8729" width="3.33203125" style="735" hidden="1" customWidth="1"/>
    <col min="8730" max="8732" width="2.6640625" style="735" hidden="1" customWidth="1"/>
    <col min="8733" max="8742" width="12.6640625" style="735" hidden="1" customWidth="1"/>
    <col min="8743" max="8743" width="2.6640625" style="735" hidden="1" customWidth="1"/>
    <col min="8744" max="8984" width="0" style="735" hidden="1"/>
    <col min="8985" max="8985" width="3.33203125" style="735" hidden="1" customWidth="1"/>
    <col min="8986" max="8988" width="2.6640625" style="735" hidden="1" customWidth="1"/>
    <col min="8989" max="8998" width="12.6640625" style="735" hidden="1" customWidth="1"/>
    <col min="8999" max="8999" width="2.6640625" style="735" hidden="1" customWidth="1"/>
    <col min="9000" max="9240" width="0" style="735" hidden="1"/>
    <col min="9241" max="9241" width="3.33203125" style="735" hidden="1" customWidth="1"/>
    <col min="9242" max="9244" width="2.6640625" style="735" hidden="1" customWidth="1"/>
    <col min="9245" max="9254" width="12.6640625" style="735" hidden="1" customWidth="1"/>
    <col min="9255" max="9255" width="2.6640625" style="735" hidden="1" customWidth="1"/>
    <col min="9256" max="9496" width="0" style="735" hidden="1"/>
    <col min="9497" max="9497" width="3.33203125" style="735" hidden="1" customWidth="1"/>
    <col min="9498" max="9500" width="2.6640625" style="735" hidden="1" customWidth="1"/>
    <col min="9501" max="9510" width="12.6640625" style="735" hidden="1" customWidth="1"/>
    <col min="9511" max="9511" width="2.6640625" style="735" hidden="1" customWidth="1"/>
    <col min="9512" max="9752" width="0" style="735" hidden="1"/>
    <col min="9753" max="9753" width="3.33203125" style="735" hidden="1" customWidth="1"/>
    <col min="9754" max="9756" width="2.6640625" style="735" hidden="1" customWidth="1"/>
    <col min="9757" max="9766" width="12.6640625" style="735" hidden="1" customWidth="1"/>
    <col min="9767" max="9767" width="2.6640625" style="735" hidden="1" customWidth="1"/>
    <col min="9768" max="10008" width="0" style="735" hidden="1"/>
    <col min="10009" max="10009" width="3.33203125" style="735" hidden="1" customWidth="1"/>
    <col min="10010" max="10012" width="2.6640625" style="735" hidden="1" customWidth="1"/>
    <col min="10013" max="10022" width="12.6640625" style="735" hidden="1" customWidth="1"/>
    <col min="10023" max="10023" width="2.6640625" style="735" hidden="1" customWidth="1"/>
    <col min="10024" max="10264" width="0" style="735" hidden="1"/>
    <col min="10265" max="10265" width="3.33203125" style="735" hidden="1" customWidth="1"/>
    <col min="10266" max="10268" width="2.6640625" style="735" hidden="1" customWidth="1"/>
    <col min="10269" max="10278" width="12.6640625" style="735" hidden="1" customWidth="1"/>
    <col min="10279" max="10279" width="2.6640625" style="735" hidden="1" customWidth="1"/>
    <col min="10280" max="10520" width="0" style="735" hidden="1"/>
    <col min="10521" max="10521" width="3.33203125" style="735" hidden="1" customWidth="1"/>
    <col min="10522" max="10524" width="2.6640625" style="735" hidden="1" customWidth="1"/>
    <col min="10525" max="10534" width="12.6640625" style="735" hidden="1" customWidth="1"/>
    <col min="10535" max="10535" width="2.6640625" style="735" hidden="1" customWidth="1"/>
    <col min="10536" max="10776" width="0" style="735" hidden="1"/>
    <col min="10777" max="10777" width="3.33203125" style="735" hidden="1" customWidth="1"/>
    <col min="10778" max="10780" width="2.6640625" style="735" hidden="1" customWidth="1"/>
    <col min="10781" max="10790" width="12.6640625" style="735" hidden="1" customWidth="1"/>
    <col min="10791" max="10791" width="2.6640625" style="735" hidden="1" customWidth="1"/>
    <col min="10792" max="11032" width="0" style="735" hidden="1"/>
    <col min="11033" max="11033" width="3.33203125" style="735" hidden="1" customWidth="1"/>
    <col min="11034" max="11036" width="2.6640625" style="735" hidden="1" customWidth="1"/>
    <col min="11037" max="11046" width="12.6640625" style="735" hidden="1" customWidth="1"/>
    <col min="11047" max="11047" width="2.6640625" style="735" hidden="1" customWidth="1"/>
    <col min="11048" max="11288" width="0" style="735" hidden="1"/>
    <col min="11289" max="11289" width="3.33203125" style="735" hidden="1" customWidth="1"/>
    <col min="11290" max="11292" width="2.6640625" style="735" hidden="1" customWidth="1"/>
    <col min="11293" max="11302" width="12.6640625" style="735" hidden="1" customWidth="1"/>
    <col min="11303" max="11303" width="2.6640625" style="735" hidden="1" customWidth="1"/>
    <col min="11304" max="11544" width="0" style="735" hidden="1"/>
    <col min="11545" max="11545" width="3.33203125" style="735" hidden="1" customWidth="1"/>
    <col min="11546" max="11548" width="2.6640625" style="735" hidden="1" customWidth="1"/>
    <col min="11549" max="11558" width="12.6640625" style="735" hidden="1" customWidth="1"/>
    <col min="11559" max="11559" width="2.6640625" style="735" hidden="1" customWidth="1"/>
    <col min="11560" max="11800" width="0" style="735" hidden="1"/>
    <col min="11801" max="11801" width="3.33203125" style="735" hidden="1" customWidth="1"/>
    <col min="11802" max="11804" width="2.6640625" style="735" hidden="1" customWidth="1"/>
    <col min="11805" max="11814" width="12.6640625" style="735" hidden="1" customWidth="1"/>
    <col min="11815" max="11815" width="2.6640625" style="735" hidden="1" customWidth="1"/>
    <col min="11816" max="12056" width="0" style="735" hidden="1"/>
    <col min="12057" max="12057" width="3.33203125" style="735" hidden="1" customWidth="1"/>
    <col min="12058" max="12060" width="2.6640625" style="735" hidden="1" customWidth="1"/>
    <col min="12061" max="12070" width="12.6640625" style="735" hidden="1" customWidth="1"/>
    <col min="12071" max="12071" width="2.6640625" style="735" hidden="1" customWidth="1"/>
    <col min="12072" max="12312" width="0" style="735" hidden="1"/>
    <col min="12313" max="12313" width="3.33203125" style="735" hidden="1" customWidth="1"/>
    <col min="12314" max="12316" width="2.6640625" style="735" hidden="1" customWidth="1"/>
    <col min="12317" max="12326" width="12.6640625" style="735" hidden="1" customWidth="1"/>
    <col min="12327" max="12327" width="2.6640625" style="735" hidden="1" customWidth="1"/>
    <col min="12328" max="12568" width="0" style="735" hidden="1"/>
    <col min="12569" max="12569" width="3.33203125" style="735" hidden="1" customWidth="1"/>
    <col min="12570" max="12572" width="2.6640625" style="735" hidden="1" customWidth="1"/>
    <col min="12573" max="12582" width="12.6640625" style="735" hidden="1" customWidth="1"/>
    <col min="12583" max="12583" width="2.6640625" style="735" hidden="1" customWidth="1"/>
    <col min="12584" max="12824" width="0" style="735" hidden="1"/>
    <col min="12825" max="12825" width="3.33203125" style="735" hidden="1" customWidth="1"/>
    <col min="12826" max="12828" width="2.6640625" style="735" hidden="1" customWidth="1"/>
    <col min="12829" max="12838" width="12.6640625" style="735" hidden="1" customWidth="1"/>
    <col min="12839" max="12839" width="2.6640625" style="735" hidden="1" customWidth="1"/>
    <col min="12840" max="13080" width="0" style="735" hidden="1"/>
    <col min="13081" max="13081" width="3.33203125" style="735" hidden="1" customWidth="1"/>
    <col min="13082" max="13084" width="2.6640625" style="735" hidden="1" customWidth="1"/>
    <col min="13085" max="13094" width="12.6640625" style="735" hidden="1" customWidth="1"/>
    <col min="13095" max="13095" width="2.6640625" style="735" hidden="1" customWidth="1"/>
    <col min="13096" max="13336" width="0" style="735" hidden="1"/>
    <col min="13337" max="13337" width="3.33203125" style="735" hidden="1" customWidth="1"/>
    <col min="13338" max="13340" width="2.6640625" style="735" hidden="1" customWidth="1"/>
    <col min="13341" max="13350" width="12.6640625" style="735" hidden="1" customWidth="1"/>
    <col min="13351" max="13351" width="2.6640625" style="735" hidden="1" customWidth="1"/>
    <col min="13352" max="13592" width="0" style="735" hidden="1"/>
    <col min="13593" max="13593" width="3.33203125" style="735" hidden="1" customWidth="1"/>
    <col min="13594" max="13596" width="2.6640625" style="735" hidden="1" customWidth="1"/>
    <col min="13597" max="13606" width="12.6640625" style="735" hidden="1" customWidth="1"/>
    <col min="13607" max="13607" width="2.6640625" style="735" hidden="1" customWidth="1"/>
    <col min="13608" max="13848" width="0" style="735" hidden="1"/>
    <col min="13849" max="13849" width="3.33203125" style="735" hidden="1" customWidth="1"/>
    <col min="13850" max="13852" width="2.6640625" style="735" hidden="1" customWidth="1"/>
    <col min="13853" max="13862" width="12.6640625" style="735" hidden="1" customWidth="1"/>
    <col min="13863" max="13863" width="2.6640625" style="735" hidden="1" customWidth="1"/>
    <col min="13864" max="14104" width="0" style="735" hidden="1"/>
    <col min="14105" max="14105" width="3.33203125" style="735" hidden="1" customWidth="1"/>
    <col min="14106" max="14108" width="2.6640625" style="735" hidden="1" customWidth="1"/>
    <col min="14109" max="14118" width="12.6640625" style="735" hidden="1" customWidth="1"/>
    <col min="14119" max="14119" width="2.6640625" style="735" hidden="1" customWidth="1"/>
    <col min="14120" max="14360" width="0" style="735" hidden="1"/>
    <col min="14361" max="14361" width="3.33203125" style="735" hidden="1" customWidth="1"/>
    <col min="14362" max="14364" width="2.6640625" style="735" hidden="1" customWidth="1"/>
    <col min="14365" max="14374" width="12.6640625" style="735" hidden="1" customWidth="1"/>
    <col min="14375" max="14375" width="2.6640625" style="735" hidden="1" customWidth="1"/>
    <col min="14376" max="14616" width="0" style="735" hidden="1"/>
    <col min="14617" max="14617" width="3.33203125" style="735" hidden="1" customWidth="1"/>
    <col min="14618" max="14620" width="2.6640625" style="735" hidden="1" customWidth="1"/>
    <col min="14621" max="14630" width="12.6640625" style="735" hidden="1" customWidth="1"/>
    <col min="14631" max="14631" width="2.6640625" style="735" hidden="1" customWidth="1"/>
    <col min="14632" max="14872" width="0" style="735" hidden="1"/>
    <col min="14873" max="14873" width="3.33203125" style="735" hidden="1" customWidth="1"/>
    <col min="14874" max="14876" width="2.6640625" style="735" hidden="1" customWidth="1"/>
    <col min="14877" max="14886" width="12.6640625" style="735" hidden="1" customWidth="1"/>
    <col min="14887" max="14887" width="2.6640625" style="735" hidden="1" customWidth="1"/>
    <col min="14888" max="15128" width="0" style="735" hidden="1"/>
    <col min="15129" max="15129" width="3.33203125" style="735" hidden="1" customWidth="1"/>
    <col min="15130" max="15132" width="2.6640625" style="735" hidden="1" customWidth="1"/>
    <col min="15133" max="15142" width="12.6640625" style="735" hidden="1" customWidth="1"/>
    <col min="15143" max="15143" width="2.6640625" style="735" hidden="1" customWidth="1"/>
    <col min="15144" max="15384" width="0" style="735" hidden="1"/>
    <col min="15385" max="15385" width="3.33203125" style="735" hidden="1" customWidth="1"/>
    <col min="15386" max="15388" width="2.6640625" style="735" hidden="1" customWidth="1"/>
    <col min="15389" max="15398" width="12.6640625" style="735" hidden="1" customWidth="1"/>
    <col min="15399" max="15399" width="2.6640625" style="735" hidden="1" customWidth="1"/>
    <col min="15400" max="15640" width="0" style="735" hidden="1"/>
    <col min="15641" max="15641" width="3.33203125" style="735" hidden="1" customWidth="1"/>
    <col min="15642" max="15644" width="2.6640625" style="735" hidden="1" customWidth="1"/>
    <col min="15645" max="15654" width="12.6640625" style="735" hidden="1" customWidth="1"/>
    <col min="15655" max="15655" width="2.6640625" style="735" hidden="1" customWidth="1"/>
    <col min="15656" max="15896" width="0" style="735" hidden="1"/>
    <col min="15897" max="15897" width="3.33203125" style="735" hidden="1" customWidth="1"/>
    <col min="15898" max="15900" width="2.6640625" style="735" hidden="1" customWidth="1"/>
    <col min="15901" max="15910" width="12.6640625" style="735" hidden="1" customWidth="1"/>
    <col min="15911" max="15911" width="2.6640625" style="735" hidden="1" customWidth="1"/>
    <col min="15912" max="16152" width="0" style="735" hidden="1"/>
    <col min="16153" max="16153" width="3.33203125" style="735" hidden="1" customWidth="1"/>
    <col min="16154" max="16156" width="2.6640625" style="735" hidden="1" customWidth="1"/>
    <col min="16157" max="16166" width="12.6640625" style="735" hidden="1" customWidth="1"/>
    <col min="16167" max="16167" width="2.6640625" style="735" hidden="1" customWidth="1"/>
    <col min="16168" max="16168" width="2.6640625" style="735" hidden="1"/>
    <col min="16169" max="16384" width="0" style="735" hidden="1"/>
  </cols>
  <sheetData>
    <row r="1" spans="1:42" s="708" customFormat="1" ht="13.2" x14ac:dyDescent="0.25">
      <c r="A1" s="707" t="s">
        <v>630</v>
      </c>
    </row>
    <row r="2" spans="1:42" s="708" customFormat="1" ht="13.2" x14ac:dyDescent="0.25">
      <c r="A2" s="709"/>
    </row>
    <row r="3" spans="1:42" s="712" customFormat="1" ht="12.75" customHeight="1" x14ac:dyDescent="0.25">
      <c r="A3" s="717" t="s">
        <v>581</v>
      </c>
      <c r="B3" s="718"/>
      <c r="C3" s="718"/>
      <c r="D3" s="719"/>
      <c r="E3" s="719"/>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c r="AL3" s="720"/>
      <c r="AM3" s="715"/>
      <c r="AN3" s="716"/>
      <c r="AO3" s="708"/>
      <c r="AP3" s="708"/>
    </row>
    <row r="4" spans="1:42" s="712" customFormat="1" ht="12.75" customHeight="1" x14ac:dyDescent="0.25">
      <c r="A4" s="711"/>
      <c r="B4" s="708"/>
      <c r="F4" s="713"/>
      <c r="G4" s="713"/>
      <c r="H4" s="713"/>
      <c r="I4" s="714"/>
      <c r="J4" s="714"/>
      <c r="K4" s="714"/>
      <c r="L4" s="714"/>
      <c r="M4" s="714"/>
      <c r="N4" s="714"/>
      <c r="O4" s="714"/>
      <c r="P4" s="714"/>
      <c r="Q4" s="714"/>
      <c r="R4" s="714"/>
      <c r="S4" s="714"/>
      <c r="T4" s="714"/>
      <c r="U4" s="714"/>
      <c r="V4" s="714"/>
      <c r="W4" s="714"/>
      <c r="X4" s="714"/>
      <c r="Y4" s="714"/>
      <c r="Z4" s="714"/>
      <c r="AA4" s="714"/>
      <c r="AB4" s="714"/>
      <c r="AC4" s="714"/>
      <c r="AD4" s="714"/>
      <c r="AE4" s="714"/>
      <c r="AF4" s="714"/>
      <c r="AG4" s="714"/>
      <c r="AH4" s="714"/>
      <c r="AI4" s="714"/>
      <c r="AJ4" s="714"/>
      <c r="AK4" s="714"/>
      <c r="AL4" s="714"/>
      <c r="AM4" s="715"/>
      <c r="AN4" s="716"/>
      <c r="AO4" s="708"/>
      <c r="AP4" s="708"/>
    </row>
    <row r="5" spans="1:42" ht="12.75" customHeight="1" x14ac:dyDescent="0.25"/>
    <row r="6" spans="1:42" ht="12.75" customHeight="1" x14ac:dyDescent="0.25"/>
    <row r="7" spans="1:42" ht="12.75" customHeight="1" x14ac:dyDescent="0.25">
      <c r="B7" s="1380"/>
      <c r="C7" s="1381"/>
      <c r="D7" s="1381"/>
      <c r="E7" s="1381"/>
      <c r="F7" s="1381"/>
      <c r="G7" s="1381"/>
      <c r="H7" s="1381"/>
      <c r="I7" s="1381"/>
      <c r="J7" s="1382"/>
      <c r="K7" s="1382"/>
      <c r="L7" s="1382"/>
      <c r="M7" s="1383"/>
    </row>
    <row r="8" spans="1:42" ht="12.75" customHeight="1" x14ac:dyDescent="0.25">
      <c r="B8" s="1384"/>
      <c r="C8" s="1379" t="s">
        <v>675</v>
      </c>
      <c r="D8" s="1379"/>
      <c r="E8" s="1379"/>
      <c r="F8" s="1379"/>
      <c r="G8" s="1379"/>
      <c r="H8" s="1379"/>
      <c r="I8" s="1379"/>
      <c r="J8" s="1379"/>
      <c r="K8" s="1379"/>
      <c r="L8" s="1379"/>
      <c r="M8" s="1385"/>
    </row>
    <row r="9" spans="1:42" ht="12.75" customHeight="1" x14ac:dyDescent="0.25">
      <c r="B9" s="1384"/>
      <c r="C9" s="1379"/>
      <c r="D9" s="1379" t="s">
        <v>676</v>
      </c>
      <c r="E9" s="1379"/>
      <c r="F9" s="1379"/>
      <c r="G9" s="1379"/>
      <c r="H9" s="1379"/>
      <c r="I9" s="1379"/>
      <c r="J9" s="2071">
        <f>'I. Summary Outputs'!L25</f>
        <v>736</v>
      </c>
      <c r="K9" s="2071"/>
      <c r="L9" s="2068"/>
      <c r="M9" s="1385"/>
    </row>
    <row r="10" spans="1:42" ht="12.75" customHeight="1" x14ac:dyDescent="0.25">
      <c r="B10" s="1384"/>
      <c r="C10" s="1379"/>
      <c r="D10" s="1379" t="s">
        <v>677</v>
      </c>
      <c r="E10" s="1379"/>
      <c r="F10" s="1379"/>
      <c r="G10" s="1379"/>
      <c r="H10" s="1379"/>
      <c r="I10" s="1379"/>
      <c r="J10" s="2072">
        <f>'I. Summary Outputs'!L27</f>
        <v>0.21780821917808219</v>
      </c>
      <c r="K10" s="2072"/>
      <c r="L10" s="2072"/>
      <c r="M10" s="1385"/>
    </row>
    <row r="11" spans="1:42" ht="12.75" customHeight="1" x14ac:dyDescent="0.25">
      <c r="B11" s="1384"/>
      <c r="C11" s="1379"/>
      <c r="D11" s="1379" t="s">
        <v>585</v>
      </c>
      <c r="E11" s="1379"/>
      <c r="F11" s="1379"/>
      <c r="G11" s="1379"/>
      <c r="H11" s="1379"/>
      <c r="I11" s="1379"/>
      <c r="J11" s="2071">
        <f>'I. Summary Outputs'!L28</f>
        <v>1404288</v>
      </c>
      <c r="K11" s="2071"/>
      <c r="L11" s="2068"/>
      <c r="M11" s="1385"/>
    </row>
    <row r="12" spans="1:42" ht="12.75" customHeight="1" x14ac:dyDescent="0.25">
      <c r="B12" s="1384"/>
      <c r="C12" s="1379"/>
      <c r="D12" s="1379"/>
      <c r="E12" s="1379"/>
      <c r="F12" s="1379"/>
      <c r="G12" s="1379"/>
      <c r="H12" s="1379"/>
      <c r="I12" s="1379"/>
      <c r="J12" s="1379"/>
      <c r="K12" s="1379"/>
      <c r="L12" s="1379"/>
      <c r="M12" s="1385"/>
    </row>
    <row r="13" spans="1:42" ht="12.75" customHeight="1" x14ac:dyDescent="0.25">
      <c r="B13" s="1384"/>
      <c r="C13" s="1379" t="s">
        <v>586</v>
      </c>
      <c r="D13" s="1379"/>
      <c r="E13" s="1379"/>
      <c r="F13" s="1379"/>
      <c r="G13" s="1379"/>
      <c r="H13" s="1379"/>
      <c r="I13" s="1379"/>
      <c r="J13" s="1379"/>
      <c r="K13" s="1379"/>
      <c r="L13" s="1379"/>
      <c r="M13" s="1385"/>
    </row>
    <row r="14" spans="1:42" ht="12.75" customHeight="1" x14ac:dyDescent="0.25">
      <c r="B14" s="1384"/>
      <c r="C14" s="1379"/>
      <c r="D14" s="1379" t="s">
        <v>587</v>
      </c>
      <c r="E14" s="1379"/>
      <c r="F14" s="1379"/>
      <c r="G14" s="1379"/>
      <c r="H14" s="1379"/>
      <c r="I14" s="1379"/>
      <c r="J14" s="1379"/>
      <c r="K14" s="1379"/>
      <c r="L14" s="1379"/>
      <c r="M14" s="1385"/>
    </row>
    <row r="15" spans="1:42" ht="12.75" customHeight="1" x14ac:dyDescent="0.25">
      <c r="B15" s="1384"/>
      <c r="C15" s="1379"/>
      <c r="D15" s="1379"/>
      <c r="E15" s="1379" t="s">
        <v>620</v>
      </c>
      <c r="F15" s="1379"/>
      <c r="G15" s="1379"/>
      <c r="H15" s="1379"/>
      <c r="I15" s="1379"/>
      <c r="J15" s="2069">
        <f>'I. Summary Outputs'!L15</f>
        <v>1</v>
      </c>
      <c r="K15" s="2069"/>
      <c r="L15" s="2070"/>
      <c r="M15" s="1385"/>
    </row>
    <row r="16" spans="1:42" ht="12.75" customHeight="1" x14ac:dyDescent="0.25">
      <c r="B16" s="1384"/>
      <c r="C16" s="1379"/>
      <c r="D16" s="1379" t="s">
        <v>588</v>
      </c>
      <c r="E16" s="1379"/>
      <c r="F16" s="1379"/>
      <c r="G16" s="1379"/>
      <c r="H16" s="1379"/>
      <c r="I16" s="1379"/>
      <c r="J16" s="2073">
        <f>'II. Inputs, Baseline Energy Mix'!T20</f>
        <v>0.44800000000000001</v>
      </c>
      <c r="K16" s="2073"/>
      <c r="L16" s="2073"/>
      <c r="M16" s="1385"/>
    </row>
    <row r="17" spans="2:13" ht="12.75" customHeight="1" x14ac:dyDescent="0.25">
      <c r="B17" s="1384"/>
      <c r="C17" s="1379"/>
      <c r="D17" s="1379"/>
      <c r="E17" s="1379"/>
      <c r="F17" s="1379"/>
      <c r="G17" s="1379"/>
      <c r="H17" s="1379"/>
      <c r="I17" s="1379"/>
      <c r="J17" s="1379"/>
      <c r="K17" s="1379"/>
      <c r="L17" s="1379"/>
      <c r="M17" s="1385"/>
    </row>
    <row r="18" spans="2:13" ht="12.75" customHeight="1" x14ac:dyDescent="0.25">
      <c r="B18" s="1384"/>
      <c r="C18" s="1379" t="s">
        <v>589</v>
      </c>
      <c r="D18" s="1379"/>
      <c r="E18" s="1379"/>
      <c r="F18" s="1379"/>
      <c r="G18" s="1379"/>
      <c r="H18" s="1379"/>
      <c r="I18" s="1379"/>
      <c r="J18" s="1379"/>
      <c r="K18" s="1379"/>
      <c r="L18" s="1379"/>
      <c r="M18" s="1385"/>
    </row>
    <row r="19" spans="2:13" ht="12.75" customHeight="1" x14ac:dyDescent="0.25">
      <c r="B19" s="1384"/>
      <c r="C19" s="1379"/>
      <c r="D19" s="1379" t="s">
        <v>590</v>
      </c>
      <c r="E19" s="1379"/>
      <c r="F19" s="1379"/>
      <c r="G19" s="1379"/>
      <c r="H19" s="1379"/>
      <c r="I19" s="1379"/>
      <c r="J19" s="2067">
        <f>'I. Summary Outputs'!L33</f>
        <v>0.3</v>
      </c>
      <c r="K19" s="2067"/>
      <c r="L19" s="2068"/>
      <c r="M19" s="1385"/>
    </row>
    <row r="20" spans="2:13" ht="12.75" customHeight="1" x14ac:dyDescent="0.25">
      <c r="B20" s="1384"/>
      <c r="C20" s="1379"/>
      <c r="D20" s="1379" t="s">
        <v>591</v>
      </c>
      <c r="E20" s="1379"/>
      <c r="F20" s="1379"/>
      <c r="G20" s="1379"/>
      <c r="H20" s="1379"/>
      <c r="I20" s="1379"/>
      <c r="J20" s="2069">
        <f>'I. Summary Outputs'!L34</f>
        <v>0.06</v>
      </c>
      <c r="K20" s="2069"/>
      <c r="L20" s="2070"/>
      <c r="M20" s="1385"/>
    </row>
    <row r="21" spans="2:13" ht="12.75" customHeight="1" x14ac:dyDescent="0.25">
      <c r="B21" s="1386"/>
      <c r="C21" s="1387"/>
      <c r="D21" s="1387"/>
      <c r="E21" s="1387"/>
      <c r="F21" s="1387"/>
      <c r="G21" s="1387"/>
      <c r="H21" s="1387"/>
      <c r="I21" s="1387"/>
      <c r="J21" s="1387"/>
      <c r="K21" s="1387"/>
      <c r="L21" s="1387"/>
      <c r="M21" s="1388"/>
    </row>
    <row r="22" spans="2:13" ht="12.75" customHeight="1" x14ac:dyDescent="0.25">
      <c r="B22" s="1389"/>
      <c r="C22" s="1389"/>
      <c r="D22" s="1389"/>
      <c r="E22" s="1389"/>
      <c r="F22" s="1389"/>
      <c r="G22" s="1389"/>
      <c r="H22" s="1389"/>
      <c r="I22" s="1389"/>
      <c r="J22" s="1389"/>
      <c r="K22" s="1389"/>
      <c r="L22" s="1389"/>
      <c r="M22" s="1389"/>
    </row>
    <row r="23" spans="2:13" ht="12.75" customHeight="1" x14ac:dyDescent="0.25">
      <c r="B23" s="1380"/>
      <c r="C23" s="1381"/>
      <c r="D23" s="1381"/>
      <c r="E23" s="1381"/>
      <c r="F23" s="1381"/>
      <c r="G23" s="1381"/>
      <c r="H23" s="1381"/>
      <c r="I23" s="1381"/>
      <c r="J23" s="1381"/>
      <c r="K23" s="1381"/>
      <c r="L23" s="1381"/>
      <c r="M23" s="1383"/>
    </row>
    <row r="24" spans="2:13" ht="12.75" customHeight="1" x14ac:dyDescent="0.25">
      <c r="B24" s="1384"/>
      <c r="C24" s="1379"/>
      <c r="D24" s="1379"/>
      <c r="E24" s="1379"/>
      <c r="F24" s="1379"/>
      <c r="G24" s="1379"/>
      <c r="H24" s="1379"/>
      <c r="I24" s="1379"/>
      <c r="J24" s="1390" t="s">
        <v>592</v>
      </c>
      <c r="K24" s="1391"/>
      <c r="L24" s="1390" t="s">
        <v>593</v>
      </c>
      <c r="M24" s="1385"/>
    </row>
    <row r="25" spans="2:13" ht="12.75" customHeight="1" x14ac:dyDescent="0.25">
      <c r="B25" s="1384"/>
      <c r="C25" s="1379"/>
      <c r="D25" s="1379"/>
      <c r="E25" s="1379"/>
      <c r="F25" s="1379"/>
      <c r="G25" s="1379"/>
      <c r="H25" s="1379"/>
      <c r="I25" s="1379"/>
      <c r="J25" s="1392" t="s">
        <v>594</v>
      </c>
      <c r="K25" s="1391"/>
      <c r="L25" s="1392" t="s">
        <v>594</v>
      </c>
      <c r="M25" s="1385"/>
    </row>
    <row r="26" spans="2:13" ht="12.75" customHeight="1" x14ac:dyDescent="0.25">
      <c r="B26" s="1384"/>
      <c r="C26" s="1379" t="s">
        <v>595</v>
      </c>
      <c r="D26" s="1379"/>
      <c r="E26" s="1379"/>
      <c r="F26" s="1379"/>
      <c r="G26" s="1379"/>
      <c r="H26" s="1379"/>
      <c r="I26" s="1379"/>
      <c r="J26" s="1393"/>
      <c r="K26" s="1379"/>
      <c r="L26" s="1393"/>
      <c r="M26" s="1385"/>
    </row>
    <row r="27" spans="2:13" ht="12.75" customHeight="1" x14ac:dyDescent="0.25">
      <c r="B27" s="1384"/>
      <c r="C27" s="1379"/>
      <c r="D27" s="1379" t="s">
        <v>26</v>
      </c>
      <c r="E27" s="1379"/>
      <c r="F27" s="1379"/>
      <c r="G27" s="1379"/>
      <c r="H27" s="1379"/>
      <c r="I27" s="1379"/>
      <c r="J27" s="1393"/>
      <c r="K27" s="1379"/>
      <c r="L27" s="1393"/>
      <c r="M27" s="1385"/>
    </row>
    <row r="28" spans="2:13" ht="12.75" customHeight="1" x14ac:dyDescent="0.25">
      <c r="B28" s="1384"/>
      <c r="C28" s="1379"/>
      <c r="D28" s="1379"/>
      <c r="E28" s="1379" t="s">
        <v>596</v>
      </c>
      <c r="F28" s="1379"/>
      <c r="G28" s="1379"/>
      <c r="H28" s="1379"/>
      <c r="I28" s="1379"/>
      <c r="J28" s="1394" t="str">
        <f>'I. Summary Outputs'!L42</f>
        <v>70%/30%</v>
      </c>
      <c r="K28" s="1395"/>
      <c r="L28" s="1394" t="str">
        <f>'I. Summary Outputs'!N42</f>
        <v>72.5%/27.5%</v>
      </c>
      <c r="M28" s="1385"/>
    </row>
    <row r="29" spans="2:13" ht="12.75" customHeight="1" x14ac:dyDescent="0.25">
      <c r="B29" s="1384"/>
      <c r="C29" s="1379"/>
      <c r="D29" s="1379"/>
      <c r="E29" s="1379"/>
      <c r="F29" s="1379"/>
      <c r="G29" s="1379"/>
      <c r="H29" s="1379"/>
      <c r="I29" s="1379"/>
      <c r="J29" s="1393"/>
      <c r="K29" s="1379"/>
      <c r="L29" s="1393"/>
      <c r="M29" s="1385"/>
    </row>
    <row r="30" spans="2:13" ht="12.75" customHeight="1" x14ac:dyDescent="0.25">
      <c r="B30" s="1384"/>
      <c r="C30" s="1379"/>
      <c r="D30" s="1379" t="s">
        <v>54</v>
      </c>
      <c r="E30" s="1379"/>
      <c r="F30" s="1379"/>
      <c r="G30" s="1379"/>
      <c r="H30" s="1379"/>
      <c r="I30" s="1379"/>
      <c r="J30" s="1393"/>
      <c r="K30" s="1379"/>
      <c r="L30" s="1393"/>
      <c r="M30" s="1385"/>
    </row>
    <row r="31" spans="2:13" ht="12.75" customHeight="1" x14ac:dyDescent="0.25">
      <c r="B31" s="1384"/>
      <c r="C31" s="1379"/>
      <c r="D31" s="1379"/>
      <c r="E31" s="1379" t="s">
        <v>678</v>
      </c>
      <c r="F31" s="1379"/>
      <c r="G31" s="1379"/>
      <c r="H31" s="1379"/>
      <c r="I31" s="1379"/>
      <c r="J31" s="1396" t="str">
        <f>'I. Summary Outputs'!L47</f>
        <v>NA</v>
      </c>
      <c r="K31" s="1397"/>
      <c r="L31" s="1396">
        <f>'I. Summary Outputs'!N47</f>
        <v>0.04</v>
      </c>
      <c r="M31" s="1385"/>
    </row>
    <row r="32" spans="2:13" ht="12.75" customHeight="1" x14ac:dyDescent="0.2">
      <c r="B32" s="1384"/>
      <c r="C32" s="1379"/>
      <c r="D32" s="1379"/>
      <c r="E32" s="1379" t="s">
        <v>180</v>
      </c>
      <c r="F32" s="1379"/>
      <c r="G32" s="1379"/>
      <c r="H32" s="1379"/>
      <c r="I32" s="1379"/>
      <c r="J32" s="1396" t="str">
        <f>'I. Summary Outputs'!L48</f>
        <v>NA</v>
      </c>
      <c r="K32" s="1397"/>
      <c r="L32" s="1396" t="str">
        <f>'I. Summary Outputs'!N48</f>
        <v>NA</v>
      </c>
      <c r="M32" s="1385"/>
    </row>
    <row r="33" spans="2:13" ht="12.75" customHeight="1" x14ac:dyDescent="0.2">
      <c r="B33" s="1384"/>
      <c r="C33" s="1379"/>
      <c r="D33" s="1379"/>
      <c r="E33" s="1379" t="s">
        <v>181</v>
      </c>
      <c r="F33" s="1379"/>
      <c r="G33" s="1379"/>
      <c r="H33" s="1379"/>
      <c r="I33" s="1379"/>
      <c r="J33" s="1396">
        <f>'I. Summary Outputs'!L49</f>
        <v>6.5000000000000002E-2</v>
      </c>
      <c r="K33" s="1397"/>
      <c r="L33" s="1396">
        <f>'I. Summary Outputs'!N49</f>
        <v>5.6242205302102208E-2</v>
      </c>
      <c r="M33" s="1385"/>
    </row>
    <row r="34" spans="2:13" ht="12.75" customHeight="1" x14ac:dyDescent="0.2">
      <c r="B34" s="1384"/>
      <c r="C34" s="1379"/>
      <c r="D34" s="1379"/>
      <c r="E34" s="1379"/>
      <c r="F34" s="1379"/>
      <c r="G34" s="1379"/>
      <c r="H34" s="1379"/>
      <c r="I34" s="1379"/>
      <c r="J34" s="1393"/>
      <c r="K34" s="1379"/>
      <c r="L34" s="1393"/>
      <c r="M34" s="1385"/>
    </row>
    <row r="35" spans="2:13" ht="12.75" customHeight="1" x14ac:dyDescent="0.2">
      <c r="B35" s="1384"/>
      <c r="C35" s="1379"/>
      <c r="D35" s="1379" t="s">
        <v>141</v>
      </c>
      <c r="E35" s="1379"/>
      <c r="F35" s="1379"/>
      <c r="G35" s="1379"/>
      <c r="H35" s="1379"/>
      <c r="I35" s="1379"/>
      <c r="J35" s="1393"/>
      <c r="K35" s="1379"/>
      <c r="L35" s="1393"/>
      <c r="M35" s="1385"/>
    </row>
    <row r="36" spans="2:13" ht="12.75" customHeight="1" x14ac:dyDescent="0.2">
      <c r="B36" s="1384"/>
      <c r="C36" s="1379"/>
      <c r="D36" s="1379"/>
      <c r="E36" s="1379" t="s">
        <v>678</v>
      </c>
      <c r="F36" s="1379"/>
      <c r="G36" s="1379"/>
      <c r="H36" s="1379"/>
      <c r="I36" s="1379"/>
      <c r="J36" s="1398" t="str">
        <f>'I. Summary Outputs'!L54</f>
        <v>NA</v>
      </c>
      <c r="K36" s="1399"/>
      <c r="L36" s="1398" t="str">
        <f>'I. Summary Outputs'!N54&amp;" years"</f>
        <v>20 years</v>
      </c>
      <c r="M36" s="1385"/>
    </row>
    <row r="37" spans="2:13" ht="12.75" customHeight="1" x14ac:dyDescent="0.2">
      <c r="B37" s="1384"/>
      <c r="C37" s="1379"/>
      <c r="D37" s="1379"/>
      <c r="E37" s="1379" t="s">
        <v>180</v>
      </c>
      <c r="F37" s="1379"/>
      <c r="G37" s="1379"/>
      <c r="H37" s="1379"/>
      <c r="I37" s="1379"/>
      <c r="J37" s="1392" t="str">
        <f>'I. Summary Outputs'!L55</f>
        <v>NA</v>
      </c>
      <c r="K37" s="1391"/>
      <c r="L37" s="1398" t="str">
        <f>'I. Summary Outputs'!N55</f>
        <v>NA</v>
      </c>
      <c r="M37" s="1385"/>
    </row>
    <row r="38" spans="2:13" ht="12.75" customHeight="1" x14ac:dyDescent="0.2">
      <c r="B38" s="1384"/>
      <c r="C38" s="1379"/>
      <c r="D38" s="1379"/>
      <c r="E38" s="1379" t="s">
        <v>181</v>
      </c>
      <c r="F38" s="1379"/>
      <c r="G38" s="1379"/>
      <c r="H38" s="1379"/>
      <c r="I38" s="1379"/>
      <c r="J38" s="1398" t="str">
        <f>'I. Summary Outputs'!L56&amp;" years"</f>
        <v>10 years</v>
      </c>
      <c r="K38" s="1391"/>
      <c r="L38" s="1398" t="str">
        <f>'I. Summary Outputs'!N56&amp;" years"</f>
        <v>11 years</v>
      </c>
      <c r="M38" s="1385"/>
    </row>
    <row r="39" spans="2:13" ht="12.75" customHeight="1" x14ac:dyDescent="0.2">
      <c r="B39" s="1384"/>
      <c r="C39" s="1379"/>
      <c r="D39" s="1379"/>
      <c r="E39" s="1379"/>
      <c r="F39" s="1379"/>
      <c r="G39" s="1379"/>
      <c r="H39" s="1379"/>
      <c r="I39" s="1379"/>
      <c r="J39" s="1393"/>
      <c r="K39" s="1379"/>
      <c r="L39" s="1393"/>
      <c r="M39" s="1385"/>
    </row>
    <row r="40" spans="2:13" ht="12.75" customHeight="1" x14ac:dyDescent="0.2">
      <c r="B40" s="1384"/>
      <c r="C40" s="1379"/>
      <c r="D40" s="1379" t="s">
        <v>79</v>
      </c>
      <c r="E40" s="1379"/>
      <c r="F40" s="1379"/>
      <c r="G40" s="1379"/>
      <c r="H40" s="1379"/>
      <c r="I40" s="1379"/>
      <c r="J40" s="1396">
        <f>'I. Summary Outputs'!L44</f>
        <v>0.15</v>
      </c>
      <c r="K40" s="1397"/>
      <c r="L40" s="1396">
        <f>'I. Summary Outputs'!N44</f>
        <v>0.12748463872437021</v>
      </c>
      <c r="M40" s="1385"/>
    </row>
    <row r="41" spans="2:13" ht="12.75" customHeight="1" x14ac:dyDescent="0.2">
      <c r="B41" s="1384"/>
      <c r="C41" s="1379"/>
      <c r="D41" s="1379"/>
      <c r="E41" s="1379"/>
      <c r="F41" s="1379"/>
      <c r="G41" s="1379"/>
      <c r="H41" s="1379"/>
      <c r="I41" s="1379"/>
      <c r="J41" s="1396"/>
      <c r="K41" s="1397"/>
      <c r="L41" s="1396"/>
      <c r="M41" s="1385"/>
    </row>
    <row r="42" spans="2:13" ht="12.75" customHeight="1" x14ac:dyDescent="0.25">
      <c r="B42" s="1384"/>
      <c r="C42" s="1379"/>
      <c r="D42" s="1379" t="s">
        <v>597</v>
      </c>
      <c r="E42" s="1379"/>
      <c r="F42" s="1379"/>
      <c r="G42" s="1379"/>
      <c r="H42" s="1379"/>
      <c r="I42" s="1379"/>
      <c r="J42" s="1396">
        <f>'I. Summary Outputs'!L51</f>
        <v>7.6850000000000002E-2</v>
      </c>
      <c r="K42" s="1397"/>
      <c r="L42" s="1396">
        <f>'I. Summary Outputs'!N51</f>
        <v>5.9479735244610241E-2</v>
      </c>
      <c r="M42" s="1385"/>
    </row>
    <row r="43" spans="2:13" ht="12.75" customHeight="1" x14ac:dyDescent="0.25">
      <c r="B43" s="1384"/>
      <c r="C43" s="1379"/>
      <c r="D43" s="1379"/>
      <c r="E43" s="1379"/>
      <c r="F43" s="1379"/>
      <c r="G43" s="1379"/>
      <c r="H43" s="1379"/>
      <c r="I43" s="1379"/>
      <c r="J43" s="1393"/>
      <c r="K43" s="1379"/>
      <c r="L43" s="1393"/>
      <c r="M43" s="1385"/>
    </row>
    <row r="44" spans="2:13" ht="12.75" customHeight="1" x14ac:dyDescent="0.25">
      <c r="B44" s="1384"/>
      <c r="C44" s="1379" t="s">
        <v>598</v>
      </c>
      <c r="D44" s="1379"/>
      <c r="E44" s="1379"/>
      <c r="F44" s="1379"/>
      <c r="G44" s="1379"/>
      <c r="H44" s="1379"/>
      <c r="I44" s="1379"/>
      <c r="J44" s="1393"/>
      <c r="K44" s="1379"/>
      <c r="L44" s="1393"/>
      <c r="M44" s="1385"/>
    </row>
    <row r="45" spans="2:13" ht="12.75" customHeight="1" x14ac:dyDescent="0.25">
      <c r="B45" s="1384"/>
      <c r="C45" s="1379"/>
      <c r="D45" s="1379" t="s">
        <v>622</v>
      </c>
      <c r="E45" s="1379"/>
      <c r="F45" s="1379"/>
      <c r="G45" s="1379"/>
      <c r="H45" s="1379"/>
      <c r="I45" s="1379"/>
      <c r="J45" s="1400">
        <f>'I. Summary Outputs'!L83/1000000</f>
        <v>934.55883211678815</v>
      </c>
      <c r="K45" s="1401"/>
      <c r="L45" s="1400">
        <f>'I. Summary Outputs'!N83/1000000</f>
        <v>934.55883211678815</v>
      </c>
      <c r="M45" s="1385"/>
    </row>
    <row r="46" spans="2:13" ht="12.75" customHeight="1" x14ac:dyDescent="0.25">
      <c r="B46" s="1384"/>
      <c r="C46" s="1379"/>
      <c r="D46" s="1379"/>
      <c r="E46" s="1379"/>
      <c r="F46" s="1379"/>
      <c r="G46" s="1379"/>
      <c r="H46" s="1379"/>
      <c r="I46" s="1379"/>
      <c r="J46" s="1402"/>
      <c r="K46" s="1403"/>
      <c r="L46" s="1402"/>
      <c r="M46" s="1385"/>
    </row>
    <row r="47" spans="2:13" ht="12.75" customHeight="1" x14ac:dyDescent="0.25">
      <c r="B47" s="1384"/>
      <c r="C47" s="1379"/>
      <c r="D47" s="1379" t="s">
        <v>623</v>
      </c>
      <c r="E47" s="1379"/>
      <c r="F47" s="1379"/>
      <c r="G47" s="1379"/>
      <c r="H47" s="1379"/>
      <c r="I47" s="1379"/>
      <c r="J47" s="1402"/>
      <c r="K47" s="1403"/>
      <c r="L47" s="1402"/>
      <c r="M47" s="1385"/>
    </row>
    <row r="48" spans="2:13" ht="12.75" customHeight="1" x14ac:dyDescent="0.25">
      <c r="B48" s="1384"/>
      <c r="C48" s="1379"/>
      <c r="D48" s="1379"/>
      <c r="E48" s="1379" t="s">
        <v>678</v>
      </c>
      <c r="F48" s="1379"/>
      <c r="G48" s="1379"/>
      <c r="H48" s="1379"/>
      <c r="I48" s="1379"/>
      <c r="J48" s="1400">
        <f>'I. Summary Outputs'!L91/10^6</f>
        <v>0</v>
      </c>
      <c r="K48" s="1401"/>
      <c r="L48" s="1400">
        <f>'I. Summary Outputs'!N91/10^6</f>
        <v>338.7775766423357</v>
      </c>
      <c r="M48" s="1385"/>
    </row>
    <row r="49" spans="2:13" ht="12.75" customHeight="1" x14ac:dyDescent="0.25">
      <c r="B49" s="1384"/>
      <c r="C49" s="1379"/>
      <c r="D49" s="1379"/>
      <c r="E49" s="1379" t="s">
        <v>599</v>
      </c>
      <c r="F49" s="1379"/>
      <c r="G49" s="1379"/>
      <c r="H49" s="1379"/>
      <c r="I49" s="1379"/>
      <c r="J49" s="1400">
        <f>'I. Summary Outputs'!L92/10^6</f>
        <v>0</v>
      </c>
      <c r="K49" s="1401"/>
      <c r="L49" s="1400">
        <f>'I. Summary Outputs'!N92/10^6</f>
        <v>0</v>
      </c>
      <c r="M49" s="1385"/>
    </row>
    <row r="50" spans="2:13" ht="12.75" customHeight="1" x14ac:dyDescent="0.25">
      <c r="B50" s="1384"/>
      <c r="C50" s="1379"/>
      <c r="D50" s="1379"/>
      <c r="E50" s="1379" t="s">
        <v>181</v>
      </c>
      <c r="F50" s="1379"/>
      <c r="G50" s="1379"/>
      <c r="H50" s="1379"/>
      <c r="I50" s="1379"/>
      <c r="J50" s="1400">
        <f>'I. Summary Outputs'!L93/10^6</f>
        <v>654.19118248175164</v>
      </c>
      <c r="K50" s="1401"/>
      <c r="L50" s="1400">
        <f>'I. Summary Outputs'!N93/10^6</f>
        <v>338.7775766423357</v>
      </c>
      <c r="M50" s="1385"/>
    </row>
    <row r="51" spans="2:13" ht="12.75" customHeight="1" x14ac:dyDescent="0.25">
      <c r="B51" s="1384"/>
      <c r="C51" s="1379"/>
      <c r="D51" s="1379"/>
      <c r="E51" s="1379"/>
      <c r="F51" s="1379"/>
      <c r="G51" s="1379"/>
      <c r="H51" s="1379"/>
      <c r="I51" s="1379"/>
      <c r="J51" s="1402"/>
      <c r="K51" s="1403"/>
      <c r="L51" s="1402"/>
      <c r="M51" s="1385"/>
    </row>
    <row r="52" spans="2:13" ht="12.75" customHeight="1" x14ac:dyDescent="0.25">
      <c r="B52" s="1384"/>
      <c r="C52" s="1379"/>
      <c r="D52" s="1379" t="s">
        <v>624</v>
      </c>
      <c r="E52" s="1379"/>
      <c r="F52" s="1379"/>
      <c r="G52" s="1379"/>
      <c r="H52" s="1379"/>
      <c r="I52" s="1379"/>
      <c r="J52" s="1400">
        <f>'I. Summary Outputs'!L87/10^6</f>
        <v>280.3676496350364</v>
      </c>
      <c r="K52" s="1401"/>
      <c r="L52" s="1400">
        <f>'I. Summary Outputs'!N87/10^6</f>
        <v>257.00367883211675</v>
      </c>
      <c r="M52" s="1385"/>
    </row>
    <row r="53" spans="2:13" ht="12.75" hidden="1" customHeight="1" outlineLevel="1" x14ac:dyDescent="0.25">
      <c r="B53" s="1384"/>
      <c r="C53" s="1379"/>
      <c r="D53" s="1379"/>
      <c r="E53" s="1379" t="s">
        <v>621</v>
      </c>
      <c r="F53" s="1379"/>
      <c r="G53" s="1379"/>
      <c r="H53" s="1379"/>
      <c r="I53" s="1379"/>
      <c r="J53" s="1400" t="s">
        <v>232</v>
      </c>
      <c r="K53" s="1401"/>
      <c r="L53" s="1400" t="s">
        <v>232</v>
      </c>
      <c r="M53" s="1385"/>
    </row>
    <row r="54" spans="2:13" ht="12.75" hidden="1" customHeight="1" outlineLevel="1" x14ac:dyDescent="0.25">
      <c r="B54" s="1384"/>
      <c r="C54" s="1379"/>
      <c r="D54" s="1379"/>
      <c r="E54" s="1379" t="s">
        <v>600</v>
      </c>
      <c r="F54" s="1379"/>
      <c r="G54" s="1379"/>
      <c r="H54" s="1379"/>
      <c r="I54" s="1379"/>
      <c r="J54" s="1400" t="s">
        <v>232</v>
      </c>
      <c r="K54" s="1404"/>
      <c r="L54" s="1400" t="s">
        <v>232</v>
      </c>
      <c r="M54" s="1385"/>
    </row>
    <row r="55" spans="2:13" ht="12.75" customHeight="1" collapsed="1" x14ac:dyDescent="0.25">
      <c r="B55" s="1384"/>
      <c r="C55" s="1379"/>
      <c r="D55" s="1379"/>
      <c r="E55" s="1379"/>
      <c r="F55" s="1379"/>
      <c r="G55" s="1379"/>
      <c r="H55" s="1379"/>
      <c r="I55" s="1379"/>
      <c r="J55" s="1402"/>
      <c r="K55" s="1403"/>
      <c r="L55" s="1402"/>
      <c r="M55" s="1385"/>
    </row>
    <row r="56" spans="2:13" ht="12.75" customHeight="1" x14ac:dyDescent="0.25">
      <c r="B56" s="1384"/>
      <c r="C56" s="1379" t="s">
        <v>145</v>
      </c>
      <c r="D56" s="1379"/>
      <c r="E56" s="1379"/>
      <c r="F56" s="1379"/>
      <c r="G56" s="1379"/>
      <c r="H56" s="1379"/>
      <c r="I56" s="1379"/>
      <c r="J56" s="1402"/>
      <c r="K56" s="1403"/>
      <c r="L56" s="1402"/>
      <c r="M56" s="1385"/>
    </row>
    <row r="57" spans="2:13" ht="12.75" customHeight="1" x14ac:dyDescent="0.25">
      <c r="B57" s="1384"/>
      <c r="C57" s="1379"/>
      <c r="D57" s="1379" t="s">
        <v>681</v>
      </c>
      <c r="E57" s="1379"/>
      <c r="F57" s="1379"/>
      <c r="G57" s="1379"/>
      <c r="H57" s="1379"/>
      <c r="I57" s="1379"/>
      <c r="J57" s="1402"/>
      <c r="K57" s="1403"/>
      <c r="L57" s="1402"/>
      <c r="M57" s="1385"/>
    </row>
    <row r="58" spans="2:13" ht="12.75" customHeight="1" x14ac:dyDescent="0.25">
      <c r="B58" s="1384"/>
      <c r="C58" s="1379"/>
      <c r="D58" s="1379"/>
      <c r="E58" s="1379" t="str">
        <f>'I. Summary Outputs'!D103</f>
        <v>Power Market Risk Instruments</v>
      </c>
      <c r="F58" s="1379"/>
      <c r="G58" s="1379"/>
      <c r="H58" s="1379"/>
      <c r="I58" s="1379"/>
      <c r="J58" s="1400">
        <f>IF('I. Summary Outputs'!L103/10^6=0,"NA",'I. Summary Outputs'!L103/10^6)</f>
        <v>0.77606438062053396</v>
      </c>
      <c r="K58" s="1401"/>
      <c r="L58" s="1400">
        <f>IF('I. Summary Outputs'!N103/10^6=0,"NA",'I. Summary Outputs'!N103/10^6)</f>
        <v>2.2108823818184948</v>
      </c>
      <c r="M58" s="1385"/>
    </row>
    <row r="59" spans="2:13" ht="12.75" customHeight="1" x14ac:dyDescent="0.25">
      <c r="B59" s="1384"/>
      <c r="C59" s="1379"/>
      <c r="D59" s="1379"/>
      <c r="E59" s="1379" t="str">
        <f>'I. Summary Outputs'!D104</f>
        <v>Permits Risk Instruments</v>
      </c>
      <c r="F59" s="1379"/>
      <c r="G59" s="1379"/>
      <c r="H59" s="1379"/>
      <c r="I59" s="1379"/>
      <c r="J59" s="1400" t="str">
        <f>IF('I. Summary Outputs'!L104/10^6=0,"NA",'I. Summary Outputs'!L104/10^6)</f>
        <v>NA</v>
      </c>
      <c r="K59" s="1401"/>
      <c r="L59" s="1400">
        <f>IF('I. Summary Outputs'!N104/10^6=0,"NA",'I. Summary Outputs'!N104/10^6)</f>
        <v>0.41592026083712386</v>
      </c>
      <c r="M59" s="1385"/>
    </row>
    <row r="60" spans="2:13" ht="12.75" customHeight="1" x14ac:dyDescent="0.25">
      <c r="B60" s="1384"/>
      <c r="C60" s="1379"/>
      <c r="D60" s="1379"/>
      <c r="E60" s="1379" t="str">
        <f>'I. Summary Outputs'!D105</f>
        <v>Social Acceptance Risk Instruments</v>
      </c>
      <c r="F60" s="1379"/>
      <c r="G60" s="1379"/>
      <c r="H60" s="1379"/>
      <c r="I60" s="1379"/>
      <c r="J60" s="1400" t="str">
        <f>IF('I. Summary Outputs'!L105/10^6=0,"NA",'I. Summary Outputs'!L105/10^6)</f>
        <v>NA</v>
      </c>
      <c r="K60" s="1401"/>
      <c r="L60" s="1400">
        <f>IF('I. Summary Outputs'!N105/10^6=0,"NA",'I. Summary Outputs'!N105/10^6)</f>
        <v>0.51281419237781156</v>
      </c>
      <c r="M60" s="1385"/>
    </row>
    <row r="61" spans="2:13" ht="12.75" customHeight="1" x14ac:dyDescent="0.25">
      <c r="B61" s="1384"/>
      <c r="C61" s="1379"/>
      <c r="D61" s="1379"/>
      <c r="E61" s="1379" t="str">
        <f>'I. Summary Outputs'!D106</f>
        <v>Resource &amp; Technology Risk Instruments</v>
      </c>
      <c r="F61" s="1379"/>
      <c r="G61" s="1379"/>
      <c r="H61" s="1379"/>
      <c r="I61" s="1379"/>
      <c r="J61" s="1400" t="str">
        <f>IF('I. Summary Outputs'!L106/10^6=0,"NA",'I. Summary Outputs'!L106/10^6)</f>
        <v>NA</v>
      </c>
      <c r="K61" s="1401"/>
      <c r="L61" s="1400">
        <f>IF('I. Summary Outputs'!N106/10^6=0,"NA",'I. Summary Outputs'!N106/10^6)</f>
        <v>0.41215792203996193</v>
      </c>
      <c r="M61" s="1385"/>
    </row>
    <row r="62" spans="2:13" ht="12.75" customHeight="1" x14ac:dyDescent="0.25">
      <c r="B62" s="1384"/>
      <c r="C62" s="1379"/>
      <c r="D62" s="1379"/>
      <c r="E62" s="1379" t="str">
        <f>'I. Summary Outputs'!D107</f>
        <v>Grid/Transmission Risk Instruments</v>
      </c>
      <c r="F62" s="1379"/>
      <c r="G62" s="1379"/>
      <c r="H62" s="1379"/>
      <c r="I62" s="1379"/>
      <c r="J62" s="1400" t="str">
        <f>IF('I. Summary Outputs'!L107/10^6=0,"NA",'I. Summary Outputs'!L107/10^6)</f>
        <v>NA</v>
      </c>
      <c r="K62" s="1401"/>
      <c r="L62" s="1400">
        <f>IF('I. Summary Outputs'!N107/10^6=0,"NA",'I. Summary Outputs'!N107/10^6)</f>
        <v>0.41927004894888592</v>
      </c>
      <c r="M62" s="1385"/>
    </row>
    <row r="63" spans="2:13" ht="12.75" customHeight="1" x14ac:dyDescent="0.25">
      <c r="B63" s="1384"/>
      <c r="C63" s="1379"/>
      <c r="D63" s="1379"/>
      <c r="E63" s="1379" t="str">
        <f>'I. Summary Outputs'!D108</f>
        <v>Counterparty Risk Instruments</v>
      </c>
      <c r="F63" s="1379"/>
      <c r="G63" s="1379"/>
      <c r="H63" s="1379"/>
      <c r="I63" s="1379"/>
      <c r="J63" s="1400" t="str">
        <f>IF('I. Summary Outputs'!L108/10^6=0,"NA",'I. Summary Outputs'!L108/10^6)</f>
        <v>NA</v>
      </c>
      <c r="K63" s="1401"/>
      <c r="L63" s="1400">
        <f>IF('I. Summary Outputs'!N108/10^6=0,"NA",'I. Summary Outputs'!N108/10^6)</f>
        <v>0.18615084223674577</v>
      </c>
      <c r="M63" s="1385"/>
    </row>
    <row r="64" spans="2:13" ht="12.75" customHeight="1" x14ac:dyDescent="0.25">
      <c r="B64" s="1384"/>
      <c r="C64" s="1379"/>
      <c r="D64" s="1379"/>
      <c r="E64" s="1379" t="str">
        <f>'I. Summary Outputs'!D109</f>
        <v>Financial Sector Risk Instruments</v>
      </c>
      <c r="F64" s="1379"/>
      <c r="G64" s="1379"/>
      <c r="H64" s="1379"/>
      <c r="I64" s="1379"/>
      <c r="J64" s="1400" t="str">
        <f>IF('I. Summary Outputs'!L109/10^6=0,"NA",'I. Summary Outputs'!L109/10^6)</f>
        <v>NA</v>
      </c>
      <c r="K64" s="1401"/>
      <c r="L64" s="1400">
        <f>IF('I. Summary Outputs'!N109/10^6=0,"NA",'I. Summary Outputs'!N109/10^6)</f>
        <v>0.23158442452103178</v>
      </c>
      <c r="M64" s="1385"/>
    </row>
    <row r="65" spans="2:13" ht="12.75" customHeight="1" x14ac:dyDescent="0.25">
      <c r="B65" s="1384"/>
      <c r="C65" s="1379"/>
      <c r="D65" s="1379"/>
      <c r="E65" s="1405"/>
      <c r="F65" s="1379" t="s">
        <v>169</v>
      </c>
      <c r="G65" s="1379"/>
      <c r="H65" s="1379"/>
      <c r="I65" s="1379"/>
      <c r="J65" s="1400">
        <f>IF('I. Summary Outputs'!L110/10^6=0,"NA",'I. Summary Outputs'!L110/10^6)</f>
        <v>0.77606438062053396</v>
      </c>
      <c r="K65" s="1401"/>
      <c r="L65" s="1400">
        <f>IF('I. Summary Outputs'!N110/10^6=0,"NA",'I. Summary Outputs'!N110/10^6)</f>
        <v>4.3887800727800563</v>
      </c>
      <c r="M65" s="1385"/>
    </row>
    <row r="66" spans="2:13" ht="12.75" customHeight="1" x14ac:dyDescent="0.25">
      <c r="B66" s="1384"/>
      <c r="C66" s="1379"/>
      <c r="D66" s="1379"/>
      <c r="E66" s="1379"/>
      <c r="F66" s="1379"/>
      <c r="G66" s="1379"/>
      <c r="H66" s="1379"/>
      <c r="I66" s="1379"/>
      <c r="J66" s="1402"/>
      <c r="K66" s="1403"/>
      <c r="L66" s="1402"/>
      <c r="M66" s="1385"/>
    </row>
    <row r="67" spans="2:13" ht="12.75" customHeight="1" x14ac:dyDescent="0.25">
      <c r="B67" s="1384"/>
      <c r="C67" s="1379"/>
      <c r="D67" s="1379" t="s">
        <v>680</v>
      </c>
      <c r="E67" s="1379"/>
      <c r="F67" s="1379"/>
      <c r="G67" s="1379"/>
      <c r="H67" s="1379"/>
      <c r="I67" s="1379"/>
      <c r="J67" s="1402"/>
      <c r="K67" s="1403"/>
      <c r="L67" s="1402"/>
      <c r="M67" s="1385"/>
    </row>
    <row r="68" spans="2:13" ht="12.75" customHeight="1" x14ac:dyDescent="0.25">
      <c r="B68" s="1384"/>
      <c r="C68" s="1379"/>
      <c r="D68" s="1379"/>
      <c r="E68" s="1379" t="str">
        <f>'I. Summary Outputs'!D114</f>
        <v>Grid/Transmission Risk Instruments</v>
      </c>
      <c r="F68" s="1379"/>
      <c r="G68" s="1379"/>
      <c r="H68" s="1379"/>
      <c r="I68" s="1379"/>
      <c r="J68" s="1400" t="str">
        <f>IF('I. Summary Outputs'!L114/10^6=0,"NA",'I. Summary Outputs'!L114/10^6)</f>
        <v>NA</v>
      </c>
      <c r="K68" s="1403"/>
      <c r="L68" s="1400">
        <f>IF('I. Summary Outputs'!N114/10^6=0,"NA",'I. Summary Outputs'!N114/10^6)</f>
        <v>11.641969258038964</v>
      </c>
      <c r="M68" s="1385"/>
    </row>
    <row r="69" spans="2:13" ht="12.75" customHeight="1" x14ac:dyDescent="0.25">
      <c r="B69" s="1384"/>
      <c r="C69" s="1379"/>
      <c r="D69" s="1379"/>
      <c r="E69" s="1379" t="str">
        <f>'I. Summary Outputs'!D115</f>
        <v>Counterparty Risk Instruments</v>
      </c>
      <c r="F69" s="1379"/>
      <c r="G69" s="1379"/>
      <c r="H69" s="1379"/>
      <c r="I69" s="1379"/>
      <c r="J69" s="1400" t="str">
        <f>IF('I. Summary Outputs'!L115/10^6=0,"NA",'I. Summary Outputs'!L115/10^6)</f>
        <v>NA</v>
      </c>
      <c r="K69" s="1403"/>
      <c r="L69" s="1400" t="str">
        <f>IF('I. Summary Outputs'!N115/10^6=0,"NA",'I. Summary Outputs'!N115/10^6)</f>
        <v>NA</v>
      </c>
      <c r="M69" s="1385"/>
    </row>
    <row r="70" spans="2:13" ht="12.75" customHeight="1" x14ac:dyDescent="0.25">
      <c r="B70" s="1384"/>
      <c r="C70" s="1379"/>
      <c r="D70" s="1379"/>
      <c r="E70" s="1379" t="str">
        <f>'I. Summary Outputs'!D116</f>
        <v>Financial Sector Risk Instruments</v>
      </c>
      <c r="F70" s="1379"/>
      <c r="G70" s="1379"/>
      <c r="H70" s="1379"/>
      <c r="I70" s="1379"/>
      <c r="J70" s="1400" t="str">
        <f>IF('I. Summary Outputs'!L116/10^6=0,"NA",'I. Summary Outputs'!L116/10^6)</f>
        <v>NA</v>
      </c>
      <c r="K70" s="1403"/>
      <c r="L70" s="1400" t="str">
        <f>IF('I. Summary Outputs'!N116/10^6=0,"NA",'I. Summary Outputs'!N116/10^6)</f>
        <v>NA</v>
      </c>
      <c r="M70" s="1385"/>
    </row>
    <row r="71" spans="2:13" ht="12.75" customHeight="1" x14ac:dyDescent="0.25">
      <c r="B71" s="1384"/>
      <c r="C71" s="1379"/>
      <c r="D71" s="1379"/>
      <c r="E71" s="1379"/>
      <c r="F71" s="1379" t="str">
        <f>'I. Summary Outputs'!E117</f>
        <v>Public Loans</v>
      </c>
      <c r="G71" s="1379"/>
      <c r="H71" s="1379"/>
      <c r="I71" s="1379"/>
      <c r="J71" s="1400" t="str">
        <f>IF('I. Summary Outputs'!L117/10^6=0,"NA",'I. Summary Outputs'!L117/10^6)</f>
        <v>NA</v>
      </c>
      <c r="K71" s="1403"/>
      <c r="L71" s="1400">
        <f>IF('I. Summary Outputs'!N117/10^6=0,"NA",'I. Summary Outputs'!N117/10^6)</f>
        <v>96.793593326381639</v>
      </c>
      <c r="M71" s="1385"/>
    </row>
    <row r="72" spans="2:13" ht="12.75" customHeight="1" x14ac:dyDescent="0.25">
      <c r="B72" s="1384"/>
      <c r="C72" s="1379"/>
      <c r="D72" s="1379"/>
      <c r="E72" s="1379"/>
      <c r="F72" s="1379" t="str">
        <f>'I. Summary Outputs'!E118</f>
        <v>Public Guarantees for Commercial Loans</v>
      </c>
      <c r="G72" s="1379"/>
      <c r="H72" s="1379"/>
      <c r="I72" s="1379"/>
      <c r="J72" s="1400" t="str">
        <f>IF('I. Summary Outputs'!L118/10^6=0,"NA",'I. Summary Outputs'!L118/10^6)</f>
        <v>NA</v>
      </c>
      <c r="K72" s="1403"/>
      <c r="L72" s="1400" t="str">
        <f>IF('I. Summary Outputs'!N118/10^6=0,"NA",'I. Summary Outputs'!N118/10^6)</f>
        <v>NA</v>
      </c>
      <c r="M72" s="1385"/>
    </row>
    <row r="73" spans="2:13" ht="12.75" customHeight="1" x14ac:dyDescent="0.25">
      <c r="B73" s="1384"/>
      <c r="C73" s="1379"/>
      <c r="D73" s="1379"/>
      <c r="E73" s="1379" t="str">
        <f>'I. Summary Outputs'!D119</f>
        <v>Political Risk Instruments</v>
      </c>
      <c r="F73" s="1379"/>
      <c r="G73" s="1379"/>
      <c r="H73" s="1379"/>
      <c r="I73" s="1379"/>
      <c r="J73" s="1400" t="str">
        <f>IF('I. Summary Outputs'!L119/10^6=0,"NA",'I. Summary Outputs'!L119/10^6)</f>
        <v>NA</v>
      </c>
      <c r="K73" s="1403"/>
      <c r="L73" s="1400" t="str">
        <f>IF('I. Summary Outputs'!N119/10^6=0,"NA",'I. Summary Outputs'!N119/10^6)</f>
        <v>NA</v>
      </c>
      <c r="M73" s="1385"/>
    </row>
    <row r="74" spans="2:13" ht="12.75" customHeight="1" x14ac:dyDescent="0.25">
      <c r="B74" s="1384"/>
      <c r="C74" s="1379"/>
      <c r="D74" s="1379"/>
      <c r="E74" s="1379" t="str">
        <f>'I. Summary Outputs'!D120</f>
        <v>Currency/Macro Risk Instruments</v>
      </c>
      <c r="F74" s="1379"/>
      <c r="G74" s="1379"/>
      <c r="H74" s="1379"/>
      <c r="I74" s="1379"/>
      <c r="J74" s="1400" t="str">
        <f>IF('I. Summary Outputs'!L120/10^6=0,"NA",'I. Summary Outputs'!L120/10^6)</f>
        <v>NA</v>
      </c>
      <c r="K74" s="1403"/>
      <c r="L74" s="1400">
        <f>IF('I. Summary Outputs'!N120/10^6=0,"NA",'I. Summary Outputs'!N120/10^6)</f>
        <v>32.154938700440894</v>
      </c>
      <c r="M74" s="1385"/>
    </row>
    <row r="75" spans="2:13" ht="12.75" customHeight="1" x14ac:dyDescent="0.25">
      <c r="B75" s="1384"/>
      <c r="C75" s="1379"/>
      <c r="D75" s="1379"/>
      <c r="E75" s="1405"/>
      <c r="F75" s="1379" t="s">
        <v>169</v>
      </c>
      <c r="G75" s="1379"/>
      <c r="H75" s="1379"/>
      <c r="I75" s="1379"/>
      <c r="J75" s="1400" t="str">
        <f>IF('I. Summary Outputs'!L121/10^6=0,"NA",'I. Summary Outputs'!L121/10^6)</f>
        <v>NA</v>
      </c>
      <c r="K75" s="1403"/>
      <c r="L75" s="1400">
        <f>IF('I. Summary Outputs'!N121/10^6=0,"NA",'I. Summary Outputs'!N121/10^6)</f>
        <v>140.59050128486152</v>
      </c>
      <c r="M75" s="1385"/>
    </row>
    <row r="76" spans="2:13" ht="12.75" customHeight="1" x14ac:dyDescent="0.25">
      <c r="B76" s="1384"/>
      <c r="C76" s="1379"/>
      <c r="D76" s="1379"/>
      <c r="E76" s="1405"/>
      <c r="F76" s="1379"/>
      <c r="G76" s="1379"/>
      <c r="H76" s="1379"/>
      <c r="I76" s="1379"/>
      <c r="J76" s="1400"/>
      <c r="K76" s="1404"/>
      <c r="L76" s="1400"/>
      <c r="M76" s="1385"/>
    </row>
    <row r="77" spans="2:13" ht="12.75" customHeight="1" x14ac:dyDescent="0.25">
      <c r="B77" s="1384"/>
      <c r="C77" s="1379"/>
      <c r="D77" s="1379" t="s">
        <v>625</v>
      </c>
      <c r="E77" s="1379"/>
      <c r="F77" s="1379"/>
      <c r="G77" s="1379"/>
      <c r="H77" s="1379"/>
      <c r="I77" s="1379"/>
      <c r="J77" s="1402"/>
      <c r="K77" s="1403"/>
      <c r="L77" s="1402"/>
      <c r="M77" s="1385"/>
    </row>
    <row r="78" spans="2:13" ht="12.75" customHeight="1" x14ac:dyDescent="0.25">
      <c r="B78" s="1384"/>
      <c r="C78" s="1379"/>
      <c r="D78" s="1379"/>
      <c r="E78" s="1379" t="s">
        <v>679</v>
      </c>
      <c r="F78" s="1379"/>
      <c r="G78" s="1379"/>
      <c r="H78" s="1379"/>
      <c r="I78" s="1379"/>
      <c r="J78" s="1400">
        <f>'I. Summary Outputs'!L124/10^6</f>
        <v>634.45338010621776</v>
      </c>
      <c r="K78" s="1401"/>
      <c r="L78" s="1400">
        <f>'I. Summary Outputs'!N124/10^6</f>
        <v>275.55705579840622</v>
      </c>
      <c r="M78" s="1385"/>
    </row>
    <row r="79" spans="2:13" ht="12.75" hidden="1" customHeight="1" outlineLevel="1" x14ac:dyDescent="0.25">
      <c r="B79" s="1384"/>
      <c r="C79" s="1379"/>
      <c r="D79" s="1379"/>
      <c r="E79" s="1379"/>
      <c r="F79" s="1379" t="s">
        <v>601</v>
      </c>
      <c r="G79" s="1379"/>
      <c r="H79" s="1379"/>
      <c r="I79" s="1379"/>
      <c r="J79" s="1406" t="s">
        <v>232</v>
      </c>
      <c r="K79" s="1407"/>
      <c r="L79" s="1406" t="s">
        <v>232</v>
      </c>
      <c r="M79" s="1385"/>
    </row>
    <row r="80" spans="2:13" ht="12.75" hidden="1" customHeight="1" outlineLevel="1" x14ac:dyDescent="0.25">
      <c r="B80" s="1384"/>
      <c r="C80" s="1379"/>
      <c r="D80" s="1379"/>
      <c r="E80" s="1379"/>
      <c r="F80" s="1379" t="s">
        <v>602</v>
      </c>
      <c r="G80" s="1379"/>
      <c r="H80" s="1379"/>
      <c r="I80" s="1379"/>
      <c r="J80" s="1406" t="s">
        <v>232</v>
      </c>
      <c r="K80" s="1407"/>
      <c r="L80" s="1406" t="s">
        <v>232</v>
      </c>
      <c r="M80" s="1385"/>
    </row>
    <row r="81" spans="2:13" ht="12.75" customHeight="1" collapsed="1" x14ac:dyDescent="0.25">
      <c r="B81" s="1384"/>
      <c r="C81" s="1379"/>
      <c r="D81" s="1379"/>
      <c r="E81" s="1379"/>
      <c r="F81" s="1379"/>
      <c r="G81" s="1379"/>
      <c r="H81" s="1379"/>
      <c r="I81" s="1379"/>
      <c r="J81" s="1408"/>
      <c r="K81" s="1379"/>
      <c r="L81" s="1408"/>
      <c r="M81" s="1385"/>
    </row>
    <row r="82" spans="2:13" ht="12.75" customHeight="1" x14ac:dyDescent="0.25">
      <c r="B82" s="1386"/>
      <c r="C82" s="1387"/>
      <c r="D82" s="1387"/>
      <c r="E82" s="1387"/>
      <c r="F82" s="1387"/>
      <c r="G82" s="1387"/>
      <c r="H82" s="1387"/>
      <c r="I82" s="1387"/>
      <c r="J82" s="1387"/>
      <c r="K82" s="1387"/>
      <c r="L82" s="1387"/>
      <c r="M82" s="1388"/>
    </row>
    <row r="83" spans="2:13" ht="12.75" customHeight="1" x14ac:dyDescent="0.25"/>
    <row r="84" spans="2:13" ht="12.75" customHeight="1" x14ac:dyDescent="0.25"/>
    <row r="85" spans="2:13" ht="12.75" customHeight="1" x14ac:dyDescent="0.25"/>
    <row r="86" spans="2:13" ht="12.75" customHeight="1" x14ac:dyDescent="0.25"/>
    <row r="87" spans="2:13" ht="12.75" customHeight="1" x14ac:dyDescent="0.25"/>
    <row r="88" spans="2:13" ht="12.75" customHeight="1" x14ac:dyDescent="0.25"/>
    <row r="89" spans="2:13" ht="12.75" customHeight="1" x14ac:dyDescent="0.25"/>
    <row r="90" spans="2:13" ht="12.75" customHeight="1" x14ac:dyDescent="0.25"/>
    <row r="91" spans="2:13" ht="12.75" customHeight="1" x14ac:dyDescent="0.25"/>
    <row r="92" spans="2:13" ht="12.75" customHeight="1" x14ac:dyDescent="0.25"/>
    <row r="93" spans="2:13" ht="12.75" customHeight="1" x14ac:dyDescent="0.25"/>
    <row r="94" spans="2:13" ht="12.75" customHeight="1" x14ac:dyDescent="0.25"/>
    <row r="95" spans="2:13" ht="12.75" customHeight="1" x14ac:dyDescent="0.25"/>
    <row r="96" spans="2:13"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sheetData>
  <mergeCells count="7">
    <mergeCell ref="J19:L19"/>
    <mergeCell ref="J20:L20"/>
    <mergeCell ref="J9:L9"/>
    <mergeCell ref="J10:L10"/>
    <mergeCell ref="J11:L11"/>
    <mergeCell ref="J15:L15"/>
    <mergeCell ref="J16:L16"/>
  </mergeCells>
  <pageMargins left="0.42" right="0.5" top="0.75" bottom="0.75" header="0.5" footer="0.5"/>
  <pageSetup scale="62" orientation="landscape" horizontalDpi="300" verticalDpi="300"/>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19</vt:i4>
      </vt:variant>
    </vt:vector>
  </HeadingPairs>
  <TitlesOfParts>
    <vt:vector size="32" baseType="lpstr">
      <vt:lpstr>Introduction</vt:lpstr>
      <vt:lpstr>I. Summary Outputs</vt:lpstr>
      <vt:lpstr>II. Inputs, Baseline Energy Mix</vt:lpstr>
      <vt:lpstr>III. Inputs, Renewable Energy</vt:lpstr>
      <vt:lpstr>IV. LCOE, Baseline Energy Mix</vt:lpstr>
      <vt:lpstr>V. LCOE, Ren. En. Generation</vt:lpstr>
      <vt:lpstr>VI. LCOE, Ren. En. Grid Intconx</vt:lpstr>
      <vt:lpstr>VII. Sensitivity Outputs</vt:lpstr>
      <vt:lpstr>VIII. Report Table</vt:lpstr>
      <vt:lpstr>IX. Additional Data</vt:lpstr>
      <vt:lpstr>X. Supplementary Info</vt:lpstr>
      <vt:lpstr>IX. Notes</vt:lpstr>
      <vt:lpstr>Backup</vt:lpstr>
      <vt:lpstr>BAUselection</vt:lpstr>
      <vt:lpstr>EffectivenessDebt</vt:lpstr>
      <vt:lpstr>EffectivenessEquity</vt:lpstr>
      <vt:lpstr>fuelcostmb</vt:lpstr>
      <vt:lpstr>InputMethod</vt:lpstr>
      <vt:lpstr>InstrumentSelectionMB</vt:lpstr>
      <vt:lpstr>Multiplier</vt:lpstr>
      <vt:lpstr>OperationsandMaint</vt:lpstr>
      <vt:lpstr>POLICYCOSTING</vt:lpstr>
      <vt:lpstr>Prederiskingselection</vt:lpstr>
      <vt:lpstr>'III. Inputs, Renewable Energy'!Print_Area</vt:lpstr>
      <vt:lpstr>Introduction!Print_Area</vt:lpstr>
      <vt:lpstr>'IV. LCOE, Baseline Energy Mix'!Print_Area</vt:lpstr>
      <vt:lpstr>'IX. Notes'!Print_Area</vt:lpstr>
      <vt:lpstr>'VII. Sensitivity Outputs'!Print_Area</vt:lpstr>
      <vt:lpstr>'VIII. Report Table'!Print_Area</vt:lpstr>
      <vt:lpstr>'X. Supplementary Info'!Print_Area</vt:lpstr>
      <vt:lpstr>SELECTION</vt:lpstr>
      <vt:lpstr>TIME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dc:creator>
  <cp:lastModifiedBy>Oliver Waissbein</cp:lastModifiedBy>
  <cp:lastPrinted>2014-10-14T15:02:10Z</cp:lastPrinted>
  <dcterms:created xsi:type="dcterms:W3CDTF">2012-12-25T17:19:10Z</dcterms:created>
  <dcterms:modified xsi:type="dcterms:W3CDTF">2015-03-23T21:26:42Z</dcterms:modified>
</cp:coreProperties>
</file>